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pivotTables/pivotTable1.xml" ContentType="application/vnd.openxmlformats-officedocument.spreadsheetml.pivotTable+xml"/>
  <Override PartName="/xl/customProperty19.bin" ContentType="application/vnd.openxmlformats-officedocument.spreadsheetml.customProperty"/>
  <Override PartName="/xl/customProperty20.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0" windowWidth="12270" windowHeight="8835"/>
  </bookViews>
  <sheets>
    <sheet name="Team Info" sheetId="5" r:id="rId1"/>
    <sheet name="Judges" sheetId="35" r:id="rId2"/>
    <sheet name="Wildcards" sheetId="21" r:id="rId3"/>
    <sheet name="Competitor" sheetId="1" r:id="rId4"/>
    <sheet name="Group Team Show" sheetId="3" r:id="rId5"/>
    <sheet name="Male SR 30 Second Speed" sheetId="33" r:id="rId6"/>
    <sheet name="Male SR Individual Speed" sheetId="4" r:id="rId7"/>
    <sheet name="Male 30-second Double Under" sheetId="29" r:id="rId8"/>
    <sheet name="Male SR Endurance Speed" sheetId="15" r:id="rId9"/>
    <sheet name="Male SR Individual Freestyle" sheetId="22" r:id="rId10"/>
    <sheet name="Female SR 30 Second Speed" sheetId="34" r:id="rId11"/>
    <sheet name="Female SR Individual Speed" sheetId="20" r:id="rId12"/>
    <sheet name="Female 30-second Double Under" sheetId="31" r:id="rId13"/>
    <sheet name="Female SR Endurance Speed" sheetId="16" r:id="rId14"/>
    <sheet name="Female SR Individual Freestyle" sheetId="23" r:id="rId15"/>
    <sheet name="Triple Unders" sheetId="9" r:id="rId16"/>
    <sheet name="Single Rope Pairs Freestyle" sheetId="24" r:id="rId17"/>
    <sheet name="DD Speed Relay" sheetId="19" r:id="rId18"/>
    <sheet name="Double Dutch Single Freestyle" sheetId="25" r:id="rId19"/>
    <sheet name="SR Speed Relay" sheetId="17" r:id="rId20"/>
    <sheet name="DD Pairs Speed" sheetId="18" r:id="rId21"/>
    <sheet name="Double Dutch Pairs Freestyle" sheetId="26" r:id="rId22"/>
    <sheet name="Lists" sheetId="10" state="hidden" r:id="rId23"/>
    <sheet name="analysis" sheetId="28" state="hidden" r:id="rId24"/>
    <sheet name="ConsolidatedEventList" sheetId="11" state="hidden" r:id="rId25"/>
    <sheet name="DV-IDENTITY-0" sheetId="27" state="veryHidden" r:id="rId26"/>
  </sheets>
  <externalReferences>
    <externalReference r:id="rId27"/>
  </externalReferences>
  <definedNames>
    <definedName name="_xlnm._FilterDatabase" localSheetId="24" hidden="1">ConsolidatedEventList!$A$3:$I$2205</definedName>
    <definedName name="AgeGroup">Lists!$H$3:$I$59</definedName>
    <definedName name="AgeGroupFemale">[1]Lists!$K$3:$L$21</definedName>
    <definedName name="AgeGroupMale">[1]Lists!$H$3:$I$21</definedName>
    <definedName name="AgeInfo" localSheetId="1">[1]Lists!$D$3:$F$20</definedName>
    <definedName name="AgeInfo">Lists!$D$3:$F$25</definedName>
    <definedName name="EVENTS">Lists!$A$4:$B$27</definedName>
    <definedName name="Jumpers" localSheetId="1">[1]Competitor!$A$3:$I$103</definedName>
    <definedName name="Jumpers">Competitor!$A$3:$I$103</definedName>
    <definedName name="_xlnm.Print_Area" localSheetId="23">analysis!$A$3:$B$120</definedName>
    <definedName name="_xlnm.Print_Area" localSheetId="3">Competitor!$A$1:$I$103</definedName>
    <definedName name="_xlnm.Print_Area" localSheetId="20">'DD Pairs Speed'!$A$1:$K$72</definedName>
    <definedName name="_xlnm.Print_Area" localSheetId="17">'DD Speed Relay'!$A$1:$I$77</definedName>
    <definedName name="_xlnm.Print_Area" localSheetId="21">'Double Dutch Pairs Freestyle'!$A$1:$K$86</definedName>
    <definedName name="_xlnm.Print_Area" localSheetId="18">'Double Dutch Single Freestyle'!$A$1:$I$106</definedName>
    <definedName name="_xlnm.Print_Area" localSheetId="12">'Female 30-second Double Under'!$A$1:$M$129</definedName>
    <definedName name="_xlnm.Print_Area" localSheetId="10">'Female SR 30 Second Speed'!$A$1:$M$129</definedName>
    <definedName name="_xlnm.Print_Area" localSheetId="13">'Female SR Endurance Speed'!$A$1:$M$129</definedName>
    <definedName name="_xlnm.Print_Area" localSheetId="14">'Female SR Individual Freestyle'!$A$1:$M$130</definedName>
    <definedName name="_xlnm.Print_Area" localSheetId="11">'Female SR Individual Speed'!$A$1:$M$129</definedName>
    <definedName name="_xlnm.Print_Area" localSheetId="4">'Group Team Show'!$A$1:$M$37</definedName>
    <definedName name="_xlnm.Print_Area" localSheetId="7">'Male 30-second Double Under'!$A$1:$M$77</definedName>
    <definedName name="_xlnm.Print_Area" localSheetId="5">'Male SR 30 Second Speed'!$A$1:$M$75</definedName>
    <definedName name="_xlnm.Print_Area" localSheetId="8">'Male SR Endurance Speed'!$A$1:$M$77</definedName>
    <definedName name="_xlnm.Print_Area" localSheetId="9">'Male SR Individual Freestyle'!$A$1:$M$78</definedName>
    <definedName name="_xlnm.Print_Area" localSheetId="6">'Male SR Individual Speed'!$A$1:$M$77</definedName>
    <definedName name="_xlnm.Print_Area" localSheetId="16">'Single Rope Pairs Freestyle'!$A$1:$G$160</definedName>
    <definedName name="_xlnm.Print_Area" localSheetId="19">'SR Speed Relay'!$A$1:$K$72</definedName>
    <definedName name="_xlnm.Print_Area" localSheetId="0">'Team Info'!$A$1:$E$19</definedName>
    <definedName name="_xlnm.Print_Area" localSheetId="15">'Triple Unders'!$A$1:$M$45</definedName>
    <definedName name="_xlnm.Print_Area" localSheetId="2">Wildcards!$A$1:$D$33</definedName>
    <definedName name="_xlnm.Print_Titles" localSheetId="3">Competitor!$3:$3</definedName>
    <definedName name="_xlnm.Print_Titles" localSheetId="12">'Female 30-second Double Under'!$1:$1</definedName>
    <definedName name="_xlnm.Print_Titles" localSheetId="10">'Female SR 30 Second Speed'!$1:$1</definedName>
    <definedName name="_xlnm.Print_Titles" localSheetId="14">'Female SR Individual Freestyle'!$1:$1</definedName>
    <definedName name="_xlnm.Print_Titles" localSheetId="11">'Female SR Individual Speed'!$1:$1</definedName>
    <definedName name="_xlnm.Print_Titles" localSheetId="7">'Male 30-second Double Under'!$1:$1</definedName>
    <definedName name="_xlnm.Print_Titles" localSheetId="5">'Male SR 30 Second Speed'!$1:$1</definedName>
    <definedName name="_xlnm.Print_Titles" localSheetId="9">'Male SR Individual Freestyle'!$1:$1</definedName>
    <definedName name="_xlnm.Print_Titles" localSheetId="6">'Male SR Individual Speed'!$1:$1</definedName>
  </definedNames>
  <calcPr calcId="145621" concurrentCalc="0"/>
  <pivotCaches>
    <pivotCache cacheId="0" r:id="rId28"/>
  </pivotCaches>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4" i="1" l="1"/>
  <c r="N7" i="1"/>
  <c r="C478" i="11"/>
  <c r="A4" i="10"/>
  <c r="A5" i="10"/>
  <c r="A6" i="10"/>
  <c r="A7" i="10"/>
  <c r="A8" i="10"/>
  <c r="A9" i="10"/>
  <c r="A10" i="10"/>
  <c r="A11" i="10"/>
  <c r="A12" i="10"/>
  <c r="A13" i="10"/>
  <c r="A14" i="10"/>
  <c r="A15" i="10"/>
  <c r="A16" i="10"/>
  <c r="A17" i="10"/>
  <c r="A18" i="10"/>
  <c r="A19" i="10"/>
  <c r="A20" i="10"/>
  <c r="A21" i="10"/>
  <c r="A22" i="10"/>
  <c r="A23" i="10"/>
  <c r="A24" i="10"/>
  <c r="A25" i="10"/>
  <c r="A26" i="10"/>
  <c r="A27" i="10"/>
  <c r="I478" i="11"/>
  <c r="E478" i="11"/>
  <c r="D478" i="11"/>
  <c r="B478" i="11"/>
  <c r="A478" i="11"/>
  <c r="C477" i="11"/>
  <c r="I477" i="11"/>
  <c r="E477" i="11"/>
  <c r="D477" i="11"/>
  <c r="B477" i="11"/>
  <c r="A477" i="11"/>
  <c r="C476" i="11"/>
  <c r="I476" i="11"/>
  <c r="E476" i="11"/>
  <c r="D476" i="11"/>
  <c r="B476" i="11"/>
  <c r="A476" i="11"/>
  <c r="M123" i="23"/>
  <c r="L123" i="23"/>
  <c r="M122" i="23"/>
  <c r="L122" i="23"/>
  <c r="M121" i="23"/>
  <c r="L121" i="23"/>
  <c r="C1157" i="11"/>
  <c r="I1157" i="11"/>
  <c r="E1157" i="11"/>
  <c r="D1157" i="11"/>
  <c r="B1157" i="11"/>
  <c r="A1157" i="11"/>
  <c r="C1156" i="11"/>
  <c r="I1156" i="11"/>
  <c r="E1156" i="11"/>
  <c r="D1156" i="11"/>
  <c r="B1156" i="11"/>
  <c r="A1156" i="11"/>
  <c r="C1155" i="11"/>
  <c r="I1155" i="11"/>
  <c r="E1155" i="11"/>
  <c r="D1155" i="11"/>
  <c r="B1155" i="11"/>
  <c r="A1155" i="11"/>
  <c r="M122" i="16"/>
  <c r="L122" i="16"/>
  <c r="M121" i="16"/>
  <c r="L121" i="16"/>
  <c r="M120" i="16"/>
  <c r="L120" i="16"/>
  <c r="C936" i="11"/>
  <c r="I936" i="11"/>
  <c r="E936" i="11"/>
  <c r="D936" i="11"/>
  <c r="B936" i="11"/>
  <c r="A936" i="11"/>
  <c r="C935" i="11"/>
  <c r="I935" i="11"/>
  <c r="E935" i="11"/>
  <c r="D935" i="11"/>
  <c r="B935" i="11"/>
  <c r="A935" i="11"/>
  <c r="C934" i="11"/>
  <c r="I934" i="11"/>
  <c r="E934" i="11"/>
  <c r="D934" i="11"/>
  <c r="B934" i="11"/>
  <c r="A934" i="11"/>
  <c r="M122" i="31"/>
  <c r="L122" i="31"/>
  <c r="M121" i="31"/>
  <c r="L121" i="31"/>
  <c r="M120" i="31"/>
  <c r="L120" i="31"/>
  <c r="C715" i="11"/>
  <c r="I715" i="11"/>
  <c r="E715" i="11"/>
  <c r="D715" i="11"/>
  <c r="B715" i="11"/>
  <c r="A715" i="11"/>
  <c r="C714" i="11"/>
  <c r="I714" i="11"/>
  <c r="E714" i="11"/>
  <c r="D714" i="11"/>
  <c r="B714" i="11"/>
  <c r="A714" i="11"/>
  <c r="C713" i="11"/>
  <c r="I713" i="11"/>
  <c r="E713" i="11"/>
  <c r="D713" i="11"/>
  <c r="B713" i="11"/>
  <c r="A713" i="11"/>
  <c r="M122" i="20"/>
  <c r="L122" i="20"/>
  <c r="M121" i="20"/>
  <c r="L121" i="20"/>
  <c r="M120" i="20"/>
  <c r="L120" i="20"/>
  <c r="C1378" i="11"/>
  <c r="I1378" i="11"/>
  <c r="E1378" i="11"/>
  <c r="D1378" i="11"/>
  <c r="B1378" i="11"/>
  <c r="A1378" i="11"/>
  <c r="C1377" i="11"/>
  <c r="I1377" i="11"/>
  <c r="E1377" i="11"/>
  <c r="D1377" i="11"/>
  <c r="B1377" i="11"/>
  <c r="A1377" i="11"/>
  <c r="C1376" i="11"/>
  <c r="I1376" i="11"/>
  <c r="E1376" i="11"/>
  <c r="D1376" i="11"/>
  <c r="B1376" i="11"/>
  <c r="A1376" i="11"/>
  <c r="M122" i="34"/>
  <c r="L122" i="34"/>
  <c r="M121" i="34"/>
  <c r="L121" i="34"/>
  <c r="M120" i="34"/>
  <c r="L120" i="34"/>
  <c r="C1538" i="11"/>
  <c r="I1538" i="11"/>
  <c r="E1538" i="11"/>
  <c r="D1538" i="11"/>
  <c r="B1538" i="11"/>
  <c r="A1538" i="11"/>
  <c r="C1537" i="11"/>
  <c r="I1537" i="11"/>
  <c r="E1537" i="11"/>
  <c r="D1537" i="11"/>
  <c r="B1537" i="11"/>
  <c r="A1537" i="11"/>
  <c r="C1536" i="11"/>
  <c r="I1536" i="11"/>
  <c r="E1536" i="11"/>
  <c r="D1536" i="11"/>
  <c r="B1536" i="11"/>
  <c r="A1536" i="11"/>
  <c r="C1535" i="11"/>
  <c r="I1535" i="11"/>
  <c r="E1535" i="11"/>
  <c r="D1535" i="11"/>
  <c r="B1535" i="11"/>
  <c r="A1535" i="11"/>
  <c r="E1534" i="11"/>
  <c r="D1534" i="11"/>
  <c r="C1534" i="11"/>
  <c r="B1534" i="11"/>
  <c r="I1534" i="11"/>
  <c r="A1534" i="11"/>
  <c r="C1531" i="11"/>
  <c r="I1531" i="11"/>
  <c r="E1531" i="11"/>
  <c r="D1531" i="11"/>
  <c r="B1531" i="11"/>
  <c r="A1531" i="11"/>
  <c r="C1532" i="11"/>
  <c r="I1532" i="11"/>
  <c r="E1532" i="11"/>
  <c r="D1532" i="11"/>
  <c r="B1532" i="11"/>
  <c r="A1532" i="11"/>
  <c r="C1522" i="11"/>
  <c r="I1522" i="11"/>
  <c r="E1522" i="11"/>
  <c r="D1522" i="11"/>
  <c r="B1522" i="11"/>
  <c r="A1522" i="11"/>
  <c r="C1521" i="11"/>
  <c r="I1521" i="11"/>
  <c r="E1521" i="11"/>
  <c r="D1521" i="11"/>
  <c r="B1521" i="11"/>
  <c r="A1521" i="11"/>
  <c r="F78" i="22"/>
  <c r="E78" i="22"/>
  <c r="F77" i="22"/>
  <c r="E77" i="22"/>
  <c r="F76" i="22"/>
  <c r="E76" i="22"/>
  <c r="F75" i="22"/>
  <c r="E75" i="22"/>
  <c r="F74" i="22"/>
  <c r="E74" i="22"/>
  <c r="C1911" i="11"/>
  <c r="I1911" i="11"/>
  <c r="E1911" i="11"/>
  <c r="D1911" i="11"/>
  <c r="B1911" i="11"/>
  <c r="A1911" i="11"/>
  <c r="C1910" i="11"/>
  <c r="I1910" i="11"/>
  <c r="E1910" i="11"/>
  <c r="D1910" i="11"/>
  <c r="B1910" i="11"/>
  <c r="A1910" i="11"/>
  <c r="C1909" i="11"/>
  <c r="I1909" i="11"/>
  <c r="E1909" i="11"/>
  <c r="D1909" i="11"/>
  <c r="B1909" i="11"/>
  <c r="A1909" i="11"/>
  <c r="C1908" i="11"/>
  <c r="I1908" i="11"/>
  <c r="E1908" i="11"/>
  <c r="D1908" i="11"/>
  <c r="B1908" i="11"/>
  <c r="A1908" i="11"/>
  <c r="E1907" i="11"/>
  <c r="D1907" i="11"/>
  <c r="C1907" i="11"/>
  <c r="B1907" i="11"/>
  <c r="I1907" i="11"/>
  <c r="A1907" i="11"/>
  <c r="C1905" i="11"/>
  <c r="I1905" i="11"/>
  <c r="E1905" i="11"/>
  <c r="D1905" i="11"/>
  <c r="B1905" i="11"/>
  <c r="A1905" i="11"/>
  <c r="C1904" i="11"/>
  <c r="I1904" i="11"/>
  <c r="E1904" i="11"/>
  <c r="D1904" i="11"/>
  <c r="B1904" i="11"/>
  <c r="A1904" i="11"/>
  <c r="C1895" i="11"/>
  <c r="I1895" i="11"/>
  <c r="E1895" i="11"/>
  <c r="D1895" i="11"/>
  <c r="B1895" i="11"/>
  <c r="A1895" i="11"/>
  <c r="C1894" i="11"/>
  <c r="I1894" i="11"/>
  <c r="E1894" i="11"/>
  <c r="D1894" i="11"/>
  <c r="B1894" i="11"/>
  <c r="A1894" i="11"/>
  <c r="F77" i="15"/>
  <c r="E77" i="15"/>
  <c r="F76" i="15"/>
  <c r="E76" i="15"/>
  <c r="F75" i="15"/>
  <c r="E75" i="15"/>
  <c r="F74" i="15"/>
  <c r="E74" i="15"/>
  <c r="F73" i="15"/>
  <c r="E73" i="15"/>
  <c r="C1791" i="11"/>
  <c r="I1791" i="11"/>
  <c r="E1791" i="11"/>
  <c r="D1791" i="11"/>
  <c r="B1791" i="11"/>
  <c r="A1791" i="11"/>
  <c r="C1790" i="11"/>
  <c r="I1790" i="11"/>
  <c r="E1790" i="11"/>
  <c r="D1790" i="11"/>
  <c r="B1790" i="11"/>
  <c r="A1790" i="11"/>
  <c r="C1789" i="11"/>
  <c r="I1789" i="11"/>
  <c r="E1789" i="11"/>
  <c r="D1789" i="11"/>
  <c r="B1789" i="11"/>
  <c r="A1789" i="11"/>
  <c r="C1788" i="11"/>
  <c r="I1788" i="11"/>
  <c r="E1788" i="11"/>
  <c r="D1788" i="11"/>
  <c r="B1788" i="11"/>
  <c r="A1788" i="11"/>
  <c r="E1787" i="11"/>
  <c r="D1787" i="11"/>
  <c r="C1787" i="11"/>
  <c r="B1787" i="11"/>
  <c r="I1787" i="11"/>
  <c r="A1787" i="11"/>
  <c r="C1786" i="11"/>
  <c r="I1786" i="11"/>
  <c r="E1786" i="11"/>
  <c r="D1786" i="11"/>
  <c r="B1786" i="11"/>
  <c r="A1786" i="11"/>
  <c r="C1785" i="11"/>
  <c r="I1785" i="11"/>
  <c r="E1785" i="11"/>
  <c r="D1785" i="11"/>
  <c r="B1785" i="11"/>
  <c r="A1785" i="11"/>
  <c r="C1784" i="11"/>
  <c r="I1784" i="11"/>
  <c r="E1784" i="11"/>
  <c r="D1784" i="11"/>
  <c r="B1784" i="11"/>
  <c r="A1784" i="11"/>
  <c r="C1782" i="11"/>
  <c r="I1782" i="11"/>
  <c r="E1782" i="11"/>
  <c r="D1782" i="11"/>
  <c r="B1782" i="11"/>
  <c r="A1782" i="11"/>
  <c r="C1781" i="11"/>
  <c r="I1781" i="11"/>
  <c r="E1781" i="11"/>
  <c r="D1781" i="11"/>
  <c r="B1781" i="11"/>
  <c r="A1781" i="11"/>
  <c r="C1772" i="11"/>
  <c r="I1772" i="11"/>
  <c r="E1772" i="11"/>
  <c r="D1772" i="11"/>
  <c r="B1772" i="11"/>
  <c r="A1772" i="11"/>
  <c r="C1771" i="11"/>
  <c r="I1771" i="11"/>
  <c r="E1771" i="11"/>
  <c r="D1771" i="11"/>
  <c r="B1771" i="11"/>
  <c r="A1771" i="11"/>
  <c r="F77" i="29"/>
  <c r="E77" i="29"/>
  <c r="F76" i="29"/>
  <c r="E76" i="29"/>
  <c r="F75" i="29"/>
  <c r="E75" i="29"/>
  <c r="F74" i="29"/>
  <c r="E74" i="29"/>
  <c r="F73" i="29"/>
  <c r="E73" i="29"/>
  <c r="C1663" i="11"/>
  <c r="I1663" i="11"/>
  <c r="E1663" i="11"/>
  <c r="D1663" i="11"/>
  <c r="B1663" i="11"/>
  <c r="A1663" i="11"/>
  <c r="C1662" i="11"/>
  <c r="I1662" i="11"/>
  <c r="E1662" i="11"/>
  <c r="D1662" i="11"/>
  <c r="B1662" i="11"/>
  <c r="A1662" i="11"/>
  <c r="C1661" i="11"/>
  <c r="I1661" i="11"/>
  <c r="E1661" i="11"/>
  <c r="D1661" i="11"/>
  <c r="B1661" i="11"/>
  <c r="A1661" i="11"/>
  <c r="C1660" i="11"/>
  <c r="I1660" i="11"/>
  <c r="E1660" i="11"/>
  <c r="D1660" i="11"/>
  <c r="B1660" i="11"/>
  <c r="A1660" i="11"/>
  <c r="E1659" i="11"/>
  <c r="D1659" i="11"/>
  <c r="C1659" i="11"/>
  <c r="B1659" i="11"/>
  <c r="I1659" i="11"/>
  <c r="A1659" i="11"/>
  <c r="C1657" i="11"/>
  <c r="I1657" i="11"/>
  <c r="E1657" i="11"/>
  <c r="D1657" i="11"/>
  <c r="B1657" i="11"/>
  <c r="A1657" i="11"/>
  <c r="C1656" i="11"/>
  <c r="I1656" i="11"/>
  <c r="E1656" i="11"/>
  <c r="D1656" i="11"/>
  <c r="B1656" i="11"/>
  <c r="A1656" i="11"/>
  <c r="C1647" i="11"/>
  <c r="I1647" i="11"/>
  <c r="E1647" i="11"/>
  <c r="D1647" i="11"/>
  <c r="B1647" i="11"/>
  <c r="A1647" i="11"/>
  <c r="C1646" i="11"/>
  <c r="I1646" i="11"/>
  <c r="E1646" i="11"/>
  <c r="D1646" i="11"/>
  <c r="B1646" i="11"/>
  <c r="A1646" i="11"/>
  <c r="F77" i="4"/>
  <c r="E77" i="4"/>
  <c r="F76" i="4"/>
  <c r="E76" i="4"/>
  <c r="F75" i="4"/>
  <c r="E75" i="4"/>
  <c r="F74" i="4"/>
  <c r="E74" i="4"/>
  <c r="F73" i="4"/>
  <c r="E73" i="4"/>
  <c r="C2042" i="11"/>
  <c r="I2042" i="11"/>
  <c r="E2042" i="11"/>
  <c r="D2042" i="11"/>
  <c r="B2042" i="11"/>
  <c r="C2041" i="11"/>
  <c r="I2041" i="11"/>
  <c r="E2041" i="11"/>
  <c r="D2041" i="11"/>
  <c r="B2041" i="11"/>
  <c r="C2040" i="11"/>
  <c r="I2040" i="11"/>
  <c r="E2040" i="11"/>
  <c r="D2040" i="11"/>
  <c r="B2040" i="11"/>
  <c r="C2039" i="11"/>
  <c r="I2039" i="11"/>
  <c r="E2039" i="11"/>
  <c r="D2039" i="11"/>
  <c r="B2039" i="11"/>
  <c r="E2038" i="11"/>
  <c r="D2038" i="11"/>
  <c r="C2038" i="11"/>
  <c r="I2038" i="11"/>
  <c r="B2038" i="11"/>
  <c r="A2042" i="11"/>
  <c r="A2041" i="11"/>
  <c r="A2040" i="11"/>
  <c r="A2039" i="11"/>
  <c r="A2038" i="11"/>
  <c r="C2037" i="11"/>
  <c r="I2037" i="11"/>
  <c r="E2037" i="11"/>
  <c r="D2037" i="11"/>
  <c r="B2037" i="11"/>
  <c r="A2037" i="11"/>
  <c r="F83" i="33"/>
  <c r="E83" i="33"/>
  <c r="F82" i="33"/>
  <c r="E82" i="33"/>
  <c r="F81" i="33"/>
  <c r="E81" i="33"/>
  <c r="F80" i="33"/>
  <c r="E80" i="33"/>
  <c r="F79" i="33"/>
  <c r="E79" i="33"/>
  <c r="P1" i="35"/>
  <c r="O1" i="35"/>
  <c r="A2206" i="11"/>
  <c r="A2176" i="11"/>
  <c r="K64" i="26"/>
  <c r="I64" i="26"/>
  <c r="G64" i="26"/>
  <c r="E64" i="26"/>
  <c r="K63" i="26"/>
  <c r="I63" i="26"/>
  <c r="G63" i="26"/>
  <c r="E63" i="26"/>
  <c r="K62" i="26"/>
  <c r="I62" i="26"/>
  <c r="G62" i="26"/>
  <c r="E62" i="26"/>
  <c r="K61" i="26"/>
  <c r="I61" i="26"/>
  <c r="G61" i="26"/>
  <c r="E61" i="26"/>
  <c r="K60" i="26"/>
  <c r="I60" i="26"/>
  <c r="G60" i="26"/>
  <c r="E60" i="26"/>
  <c r="K59" i="26"/>
  <c r="I59" i="26"/>
  <c r="G59" i="26"/>
  <c r="E59" i="26"/>
  <c r="K86" i="26"/>
  <c r="I86" i="26"/>
  <c r="G86" i="26"/>
  <c r="E86" i="26"/>
  <c r="K85" i="26"/>
  <c r="I85" i="26"/>
  <c r="G85" i="26"/>
  <c r="E85" i="26"/>
  <c r="K84" i="26"/>
  <c r="I84" i="26"/>
  <c r="G84" i="26"/>
  <c r="E84" i="26"/>
  <c r="K83" i="26"/>
  <c r="I83" i="26"/>
  <c r="G83" i="26"/>
  <c r="E83" i="26"/>
  <c r="K82" i="26"/>
  <c r="I82" i="26"/>
  <c r="G82" i="26"/>
  <c r="E82" i="26"/>
  <c r="K81" i="26"/>
  <c r="I81" i="26"/>
  <c r="G81" i="26"/>
  <c r="E81" i="26"/>
  <c r="K77" i="26"/>
  <c r="I77" i="26"/>
  <c r="G77" i="26"/>
  <c r="E77" i="26"/>
  <c r="K76" i="26"/>
  <c r="I76" i="26"/>
  <c r="G76" i="26"/>
  <c r="E76" i="26"/>
  <c r="K75" i="26"/>
  <c r="I75" i="26"/>
  <c r="G75" i="26"/>
  <c r="E75" i="26"/>
  <c r="K74" i="26"/>
  <c r="I74" i="26"/>
  <c r="G74" i="26"/>
  <c r="E74" i="26"/>
  <c r="K73" i="26"/>
  <c r="I73" i="26"/>
  <c r="G73" i="26"/>
  <c r="E73" i="26"/>
  <c r="K72" i="26"/>
  <c r="I72" i="26"/>
  <c r="G72" i="26"/>
  <c r="E72" i="26"/>
  <c r="K71" i="26"/>
  <c r="I71" i="26"/>
  <c r="G71" i="26"/>
  <c r="E71" i="26"/>
  <c r="K70" i="26"/>
  <c r="I70" i="26"/>
  <c r="G70" i="26"/>
  <c r="E70" i="26"/>
  <c r="K55" i="26"/>
  <c r="I55" i="26"/>
  <c r="G55" i="26"/>
  <c r="E55" i="26"/>
  <c r="K54" i="26"/>
  <c r="I54" i="26"/>
  <c r="G54" i="26"/>
  <c r="E54" i="26"/>
  <c r="K53" i="26"/>
  <c r="I53" i="26"/>
  <c r="G53" i="26"/>
  <c r="E53" i="26"/>
  <c r="K52" i="26"/>
  <c r="I52" i="26"/>
  <c r="G52" i="26"/>
  <c r="E52" i="26"/>
  <c r="K51" i="26"/>
  <c r="I51" i="26"/>
  <c r="G51" i="26"/>
  <c r="E51" i="26"/>
  <c r="K50" i="26"/>
  <c r="I50" i="26"/>
  <c r="G50" i="26"/>
  <c r="E50" i="26"/>
  <c r="K49" i="26"/>
  <c r="I49" i="26"/>
  <c r="G49" i="26"/>
  <c r="E49" i="26"/>
  <c r="K48" i="26"/>
  <c r="I48" i="26"/>
  <c r="G48" i="26"/>
  <c r="E48" i="26"/>
  <c r="K44" i="26"/>
  <c r="I44" i="26"/>
  <c r="G44" i="26"/>
  <c r="E44" i="26"/>
  <c r="K43" i="26"/>
  <c r="I43" i="26"/>
  <c r="G43" i="26"/>
  <c r="E43" i="26"/>
  <c r="K42" i="26"/>
  <c r="I42" i="26"/>
  <c r="G42" i="26"/>
  <c r="E42" i="26"/>
  <c r="K39" i="26"/>
  <c r="I39" i="26"/>
  <c r="G39" i="26"/>
  <c r="E39" i="26"/>
  <c r="K38" i="26"/>
  <c r="I38" i="26"/>
  <c r="G38" i="26"/>
  <c r="E38" i="26"/>
  <c r="K37" i="26"/>
  <c r="I37" i="26"/>
  <c r="G37" i="26"/>
  <c r="E37" i="26"/>
  <c r="K36" i="26"/>
  <c r="I36" i="26"/>
  <c r="G36" i="26"/>
  <c r="E36" i="26"/>
  <c r="K35" i="26"/>
  <c r="I35" i="26"/>
  <c r="G35" i="26"/>
  <c r="E35" i="26"/>
  <c r="K34" i="26"/>
  <c r="I34" i="26"/>
  <c r="G34" i="26"/>
  <c r="E34" i="26"/>
  <c r="K31" i="26"/>
  <c r="I31" i="26"/>
  <c r="G31" i="26"/>
  <c r="E31" i="26"/>
  <c r="K30" i="26"/>
  <c r="I30" i="26"/>
  <c r="G30" i="26"/>
  <c r="E30" i="26"/>
  <c r="K29" i="26"/>
  <c r="I29" i="26"/>
  <c r="G29" i="26"/>
  <c r="E29" i="26"/>
  <c r="K28" i="26"/>
  <c r="I28" i="26"/>
  <c r="G28" i="26"/>
  <c r="E28" i="26"/>
  <c r="K27" i="26"/>
  <c r="I27" i="26"/>
  <c r="G27" i="26"/>
  <c r="E27" i="26"/>
  <c r="K26" i="26"/>
  <c r="I26" i="26"/>
  <c r="G26" i="26"/>
  <c r="E26" i="26"/>
  <c r="K25" i="26"/>
  <c r="I25" i="26"/>
  <c r="G25" i="26"/>
  <c r="E25" i="26"/>
  <c r="K24" i="26"/>
  <c r="I24" i="26"/>
  <c r="G24" i="26"/>
  <c r="E24" i="26"/>
  <c r="K23" i="26"/>
  <c r="I23" i="26"/>
  <c r="G23" i="26"/>
  <c r="E23" i="26"/>
  <c r="K22" i="26"/>
  <c r="I22" i="26"/>
  <c r="G22" i="26"/>
  <c r="E22" i="26"/>
  <c r="K21" i="26"/>
  <c r="I21" i="26"/>
  <c r="G21" i="26"/>
  <c r="E21" i="26"/>
  <c r="K20" i="26"/>
  <c r="I20" i="26"/>
  <c r="G20" i="26"/>
  <c r="E20" i="26"/>
  <c r="K17" i="26"/>
  <c r="I17" i="26"/>
  <c r="G17" i="26"/>
  <c r="E17" i="26"/>
  <c r="K16" i="26"/>
  <c r="I16" i="26"/>
  <c r="G16" i="26"/>
  <c r="E16" i="26"/>
  <c r="K15" i="26"/>
  <c r="I15" i="26"/>
  <c r="G15" i="26"/>
  <c r="E15" i="26"/>
  <c r="K14" i="26"/>
  <c r="I14" i="26"/>
  <c r="G14" i="26"/>
  <c r="E14" i="26"/>
  <c r="K13" i="26"/>
  <c r="I13" i="26"/>
  <c r="G13" i="26"/>
  <c r="E13" i="26"/>
  <c r="K12" i="26"/>
  <c r="I12" i="26"/>
  <c r="G12" i="26"/>
  <c r="E12" i="26"/>
  <c r="K11" i="26"/>
  <c r="I11" i="26"/>
  <c r="G11" i="26"/>
  <c r="E11" i="26"/>
  <c r="K10" i="26"/>
  <c r="I10" i="26"/>
  <c r="G10" i="26"/>
  <c r="E10" i="26"/>
  <c r="K9" i="26"/>
  <c r="I9" i="26"/>
  <c r="G9" i="26"/>
  <c r="E9" i="26"/>
  <c r="K8" i="26"/>
  <c r="I8" i="26"/>
  <c r="G8" i="26"/>
  <c r="E8" i="26"/>
  <c r="K7" i="26"/>
  <c r="I7" i="26"/>
  <c r="G7" i="26"/>
  <c r="E7" i="26"/>
  <c r="K6" i="26"/>
  <c r="I6" i="26"/>
  <c r="G6" i="26"/>
  <c r="E6" i="26"/>
  <c r="K72" i="18"/>
  <c r="I72" i="18"/>
  <c r="G72" i="18"/>
  <c r="E72" i="18"/>
  <c r="K71" i="18"/>
  <c r="I71" i="18"/>
  <c r="G71" i="18"/>
  <c r="E71" i="18"/>
  <c r="K70" i="18"/>
  <c r="I70" i="18"/>
  <c r="G70" i="18"/>
  <c r="E70" i="18"/>
  <c r="K69" i="18"/>
  <c r="I69" i="18"/>
  <c r="G69" i="18"/>
  <c r="E69" i="18"/>
  <c r="K68" i="18"/>
  <c r="I68" i="18"/>
  <c r="G68" i="18"/>
  <c r="E68" i="18"/>
  <c r="K67" i="18"/>
  <c r="I67" i="18"/>
  <c r="G67" i="18"/>
  <c r="E67" i="18"/>
  <c r="K66" i="18"/>
  <c r="I66" i="18"/>
  <c r="G66" i="18"/>
  <c r="E66" i="18"/>
  <c r="K65" i="18"/>
  <c r="I65" i="18"/>
  <c r="G65" i="18"/>
  <c r="E65" i="18"/>
  <c r="K62" i="18"/>
  <c r="I62" i="18"/>
  <c r="G62" i="18"/>
  <c r="E62" i="18"/>
  <c r="K61" i="18"/>
  <c r="I61" i="18"/>
  <c r="G61" i="18"/>
  <c r="E61" i="18"/>
  <c r="K60" i="18"/>
  <c r="I60" i="18"/>
  <c r="G60" i="18"/>
  <c r="E60" i="18"/>
  <c r="K59" i="18"/>
  <c r="I59" i="18"/>
  <c r="G59" i="18"/>
  <c r="E59" i="18"/>
  <c r="K58" i="18"/>
  <c r="I58" i="18"/>
  <c r="G58" i="18"/>
  <c r="E58" i="18"/>
  <c r="K57" i="18"/>
  <c r="I57" i="18"/>
  <c r="G57" i="18"/>
  <c r="E57" i="18"/>
  <c r="K56" i="18"/>
  <c r="I56" i="18"/>
  <c r="G56" i="18"/>
  <c r="E56" i="18"/>
  <c r="K55" i="18"/>
  <c r="I55" i="18"/>
  <c r="G55" i="18"/>
  <c r="E55" i="18"/>
  <c r="K52" i="18"/>
  <c r="I52" i="18"/>
  <c r="G52" i="18"/>
  <c r="E52" i="18"/>
  <c r="K51" i="18"/>
  <c r="I51" i="18"/>
  <c r="G51" i="18"/>
  <c r="E51" i="18"/>
  <c r="K50" i="18"/>
  <c r="I50" i="18"/>
  <c r="G50" i="18"/>
  <c r="E50" i="18"/>
  <c r="K49" i="18"/>
  <c r="I49" i="18"/>
  <c r="G49" i="18"/>
  <c r="E49" i="18"/>
  <c r="K48" i="18"/>
  <c r="I48" i="18"/>
  <c r="G48" i="18"/>
  <c r="E48" i="18"/>
  <c r="K47" i="18"/>
  <c r="I47" i="18"/>
  <c r="G47" i="18"/>
  <c r="E47" i="18"/>
  <c r="K46" i="18"/>
  <c r="I46" i="18"/>
  <c r="G46" i="18"/>
  <c r="E46" i="18"/>
  <c r="K45" i="18"/>
  <c r="I45" i="18"/>
  <c r="G45" i="18"/>
  <c r="E45" i="18"/>
  <c r="K42" i="18"/>
  <c r="I42" i="18"/>
  <c r="G42" i="18"/>
  <c r="E42" i="18"/>
  <c r="K41" i="18"/>
  <c r="I41" i="18"/>
  <c r="G41" i="18"/>
  <c r="E41" i="18"/>
  <c r="K40" i="18"/>
  <c r="I40" i="18"/>
  <c r="G40" i="18"/>
  <c r="E40" i="18"/>
  <c r="K39" i="18"/>
  <c r="I39" i="18"/>
  <c r="G39" i="18"/>
  <c r="E39" i="18"/>
  <c r="K38" i="18"/>
  <c r="I38" i="18"/>
  <c r="G38" i="18"/>
  <c r="E38" i="18"/>
  <c r="K37" i="18"/>
  <c r="I37" i="18"/>
  <c r="G37" i="18"/>
  <c r="E37" i="18"/>
  <c r="K36" i="18"/>
  <c r="I36" i="18"/>
  <c r="G36" i="18"/>
  <c r="E36" i="18"/>
  <c r="K35" i="18"/>
  <c r="I35" i="18"/>
  <c r="G35" i="18"/>
  <c r="E35" i="18"/>
  <c r="K34" i="18"/>
  <c r="I34" i="18"/>
  <c r="G34" i="18"/>
  <c r="E34" i="18"/>
  <c r="K33" i="18"/>
  <c r="I33" i="18"/>
  <c r="G33" i="18"/>
  <c r="E33" i="18"/>
  <c r="K30" i="18"/>
  <c r="I30" i="18"/>
  <c r="G30" i="18"/>
  <c r="E30" i="18"/>
  <c r="K29" i="18"/>
  <c r="I29" i="18"/>
  <c r="G29" i="18"/>
  <c r="E29" i="18"/>
  <c r="K28" i="18"/>
  <c r="I28" i="18"/>
  <c r="G28" i="18"/>
  <c r="E28" i="18"/>
  <c r="K27" i="18"/>
  <c r="I27" i="18"/>
  <c r="G27" i="18"/>
  <c r="E27" i="18"/>
  <c r="K26" i="18"/>
  <c r="I26" i="18"/>
  <c r="G26" i="18"/>
  <c r="E26" i="18"/>
  <c r="K25" i="18"/>
  <c r="I25" i="18"/>
  <c r="G25" i="18"/>
  <c r="E25" i="18"/>
  <c r="K24" i="18"/>
  <c r="I24" i="18"/>
  <c r="G24" i="18"/>
  <c r="E24" i="18"/>
  <c r="K23" i="18"/>
  <c r="I23" i="18"/>
  <c r="G23" i="18"/>
  <c r="E23" i="18"/>
  <c r="K22" i="18"/>
  <c r="I22" i="18"/>
  <c r="G22" i="18"/>
  <c r="E22" i="18"/>
  <c r="K21" i="18"/>
  <c r="I21" i="18"/>
  <c r="G21" i="18"/>
  <c r="E21" i="18"/>
  <c r="K20" i="18"/>
  <c r="I20" i="18"/>
  <c r="G20" i="18"/>
  <c r="E20" i="18"/>
  <c r="K19" i="18"/>
  <c r="I19" i="18"/>
  <c r="G19" i="18"/>
  <c r="E19" i="18"/>
  <c r="K16" i="18"/>
  <c r="I16" i="18"/>
  <c r="G16" i="18"/>
  <c r="E16" i="18"/>
  <c r="K15" i="18"/>
  <c r="I15" i="18"/>
  <c r="G15" i="18"/>
  <c r="E15" i="18"/>
  <c r="K14" i="18"/>
  <c r="I14" i="18"/>
  <c r="G14" i="18"/>
  <c r="E14" i="18"/>
  <c r="K13" i="18"/>
  <c r="I13" i="18"/>
  <c r="G13" i="18"/>
  <c r="E13" i="18"/>
  <c r="K12" i="18"/>
  <c r="I12" i="18"/>
  <c r="G12" i="18"/>
  <c r="E12" i="18"/>
  <c r="K11" i="18"/>
  <c r="I11" i="18"/>
  <c r="G11" i="18"/>
  <c r="E11" i="18"/>
  <c r="K10" i="18"/>
  <c r="I10" i="18"/>
  <c r="G10" i="18"/>
  <c r="E10" i="18"/>
  <c r="K9" i="18"/>
  <c r="I9" i="18"/>
  <c r="G9" i="18"/>
  <c r="E9" i="18"/>
  <c r="K8" i="18"/>
  <c r="I8" i="18"/>
  <c r="G8" i="18"/>
  <c r="E8" i="18"/>
  <c r="K7" i="18"/>
  <c r="I7" i="18"/>
  <c r="G7" i="18"/>
  <c r="E7" i="18"/>
  <c r="K6" i="18"/>
  <c r="I6" i="18"/>
  <c r="G6" i="18"/>
  <c r="E6" i="18"/>
  <c r="K5" i="18"/>
  <c r="I5" i="18"/>
  <c r="G5" i="18"/>
  <c r="E5" i="18"/>
  <c r="C84" i="11"/>
  <c r="I84" i="11"/>
  <c r="H84" i="11"/>
  <c r="G84" i="11"/>
  <c r="F84" i="11"/>
  <c r="E84" i="11"/>
  <c r="D84" i="11"/>
  <c r="B84" i="11"/>
  <c r="A84" i="11"/>
  <c r="C83" i="11"/>
  <c r="I83" i="11"/>
  <c r="H83" i="11"/>
  <c r="G83" i="11"/>
  <c r="F83" i="11"/>
  <c r="E83" i="11"/>
  <c r="D83" i="11"/>
  <c r="B83" i="11"/>
  <c r="A83" i="11"/>
  <c r="C74" i="11"/>
  <c r="I74" i="11"/>
  <c r="H74" i="11"/>
  <c r="G74" i="11"/>
  <c r="F74" i="11"/>
  <c r="E74" i="11"/>
  <c r="D74" i="11"/>
  <c r="B74" i="11"/>
  <c r="A74" i="11"/>
  <c r="C73" i="11"/>
  <c r="I73" i="11"/>
  <c r="H73" i="11"/>
  <c r="G73" i="11"/>
  <c r="F73" i="11"/>
  <c r="E73" i="11"/>
  <c r="D73" i="11"/>
  <c r="B73" i="11"/>
  <c r="A73" i="11"/>
  <c r="C62" i="11"/>
  <c r="I62" i="11"/>
  <c r="H62" i="11"/>
  <c r="G62" i="11"/>
  <c r="F62" i="11"/>
  <c r="E62" i="11"/>
  <c r="D62" i="11"/>
  <c r="B62" i="11"/>
  <c r="A62" i="11"/>
  <c r="C61" i="11"/>
  <c r="I61" i="11"/>
  <c r="H61" i="11"/>
  <c r="G61" i="11"/>
  <c r="F61" i="11"/>
  <c r="E61" i="11"/>
  <c r="D61" i="11"/>
  <c r="B61" i="11"/>
  <c r="A61" i="11"/>
  <c r="K72" i="17"/>
  <c r="I72" i="17"/>
  <c r="G72" i="17"/>
  <c r="E72" i="17"/>
  <c r="K71" i="17"/>
  <c r="I71" i="17"/>
  <c r="G71" i="17"/>
  <c r="E71" i="17"/>
  <c r="K70" i="17"/>
  <c r="I70" i="17"/>
  <c r="G70" i="17"/>
  <c r="E70" i="17"/>
  <c r="K69" i="17"/>
  <c r="I69" i="17"/>
  <c r="G69" i="17"/>
  <c r="E69" i="17"/>
  <c r="K68" i="17"/>
  <c r="I68" i="17"/>
  <c r="G68" i="17"/>
  <c r="E68" i="17"/>
  <c r="K67" i="17"/>
  <c r="I67" i="17"/>
  <c r="G67" i="17"/>
  <c r="E67" i="17"/>
  <c r="K66" i="17"/>
  <c r="I66" i="17"/>
  <c r="G66" i="17"/>
  <c r="E66" i="17"/>
  <c r="K65" i="17"/>
  <c r="I65" i="17"/>
  <c r="G65" i="17"/>
  <c r="E65" i="17"/>
  <c r="K62" i="17"/>
  <c r="I62" i="17"/>
  <c r="G62" i="17"/>
  <c r="E62" i="17"/>
  <c r="K61" i="17"/>
  <c r="I61" i="17"/>
  <c r="G61" i="17"/>
  <c r="E61" i="17"/>
  <c r="K60" i="17"/>
  <c r="I60" i="17"/>
  <c r="G60" i="17"/>
  <c r="E60" i="17"/>
  <c r="K59" i="17"/>
  <c r="I59" i="17"/>
  <c r="G59" i="17"/>
  <c r="E59" i="17"/>
  <c r="K58" i="17"/>
  <c r="I58" i="17"/>
  <c r="G58" i="17"/>
  <c r="E58" i="17"/>
  <c r="K57" i="17"/>
  <c r="I57" i="17"/>
  <c r="G57" i="17"/>
  <c r="E57" i="17"/>
  <c r="K56" i="17"/>
  <c r="I56" i="17"/>
  <c r="G56" i="17"/>
  <c r="E56" i="17"/>
  <c r="K55" i="17"/>
  <c r="I55" i="17"/>
  <c r="G55" i="17"/>
  <c r="E55" i="17"/>
  <c r="K52" i="17"/>
  <c r="I52" i="17"/>
  <c r="G52" i="17"/>
  <c r="E52" i="17"/>
  <c r="K51" i="17"/>
  <c r="I51" i="17"/>
  <c r="G51" i="17"/>
  <c r="E51" i="17"/>
  <c r="K50" i="17"/>
  <c r="I50" i="17"/>
  <c r="G50" i="17"/>
  <c r="E50" i="17"/>
  <c r="K49" i="17"/>
  <c r="I49" i="17"/>
  <c r="G49" i="17"/>
  <c r="E49" i="17"/>
  <c r="K48" i="17"/>
  <c r="I48" i="17"/>
  <c r="G48" i="17"/>
  <c r="E48" i="17"/>
  <c r="K47" i="17"/>
  <c r="I47" i="17"/>
  <c r="G47" i="17"/>
  <c r="E47" i="17"/>
  <c r="K46" i="17"/>
  <c r="I46" i="17"/>
  <c r="G46" i="17"/>
  <c r="E46" i="17"/>
  <c r="K45" i="17"/>
  <c r="I45" i="17"/>
  <c r="G45" i="17"/>
  <c r="E45" i="17"/>
  <c r="K42" i="17"/>
  <c r="I42" i="17"/>
  <c r="G42" i="17"/>
  <c r="E42" i="17"/>
  <c r="K41" i="17"/>
  <c r="I41" i="17"/>
  <c r="G41" i="17"/>
  <c r="E41" i="17"/>
  <c r="K40" i="17"/>
  <c r="I40" i="17"/>
  <c r="G40" i="17"/>
  <c r="E40" i="17"/>
  <c r="K39" i="17"/>
  <c r="I39" i="17"/>
  <c r="G39" i="17"/>
  <c r="E39" i="17"/>
  <c r="K38" i="17"/>
  <c r="I38" i="17"/>
  <c r="G38" i="17"/>
  <c r="E38" i="17"/>
  <c r="K37" i="17"/>
  <c r="I37" i="17"/>
  <c r="G37" i="17"/>
  <c r="E37" i="17"/>
  <c r="K36" i="17"/>
  <c r="I36" i="17"/>
  <c r="G36" i="17"/>
  <c r="E36" i="17"/>
  <c r="K35" i="17"/>
  <c r="I35" i="17"/>
  <c r="G35" i="17"/>
  <c r="E35" i="17"/>
  <c r="K34" i="17"/>
  <c r="I34" i="17"/>
  <c r="G34" i="17"/>
  <c r="E34" i="17"/>
  <c r="K33" i="17"/>
  <c r="I33" i="17"/>
  <c r="G33" i="17"/>
  <c r="E33" i="17"/>
  <c r="K30" i="17"/>
  <c r="I30" i="17"/>
  <c r="G30" i="17"/>
  <c r="E30" i="17"/>
  <c r="K29" i="17"/>
  <c r="I29" i="17"/>
  <c r="G29" i="17"/>
  <c r="E29" i="17"/>
  <c r="K28" i="17"/>
  <c r="I28" i="17"/>
  <c r="G28" i="17"/>
  <c r="E28" i="17"/>
  <c r="K27" i="17"/>
  <c r="I27" i="17"/>
  <c r="G27" i="17"/>
  <c r="E27" i="17"/>
  <c r="K26" i="17"/>
  <c r="I26" i="17"/>
  <c r="G26" i="17"/>
  <c r="E26" i="17"/>
  <c r="K25" i="17"/>
  <c r="I25" i="17"/>
  <c r="G25" i="17"/>
  <c r="E25" i="17"/>
  <c r="K24" i="17"/>
  <c r="I24" i="17"/>
  <c r="G24" i="17"/>
  <c r="E24" i="17"/>
  <c r="K23" i="17"/>
  <c r="I23" i="17"/>
  <c r="G23" i="17"/>
  <c r="E23" i="17"/>
  <c r="K22" i="17"/>
  <c r="I22" i="17"/>
  <c r="G22" i="17"/>
  <c r="E22" i="17"/>
  <c r="K21" i="17"/>
  <c r="I21" i="17"/>
  <c r="G21" i="17"/>
  <c r="E21" i="17"/>
  <c r="K20" i="17"/>
  <c r="I20" i="17"/>
  <c r="G20" i="17"/>
  <c r="E20" i="17"/>
  <c r="K19" i="17"/>
  <c r="I19" i="17"/>
  <c r="G19" i="17"/>
  <c r="E19" i="17"/>
  <c r="I16" i="17"/>
  <c r="G16" i="17"/>
  <c r="E16" i="17"/>
  <c r="I15" i="17"/>
  <c r="G15" i="17"/>
  <c r="E15" i="17"/>
  <c r="I14" i="17"/>
  <c r="G14" i="17"/>
  <c r="E14" i="17"/>
  <c r="I13" i="17"/>
  <c r="G13" i="17"/>
  <c r="E13" i="17"/>
  <c r="I12" i="17"/>
  <c r="G12" i="17"/>
  <c r="E12" i="17"/>
  <c r="I11" i="17"/>
  <c r="G11" i="17"/>
  <c r="E11" i="17"/>
  <c r="I10" i="17"/>
  <c r="G10" i="17"/>
  <c r="E10" i="17"/>
  <c r="I9" i="17"/>
  <c r="G9" i="17"/>
  <c r="E9" i="17"/>
  <c r="I8" i="17"/>
  <c r="G8" i="17"/>
  <c r="E8" i="17"/>
  <c r="I7" i="17"/>
  <c r="G7" i="17"/>
  <c r="E7" i="17"/>
  <c r="I6" i="17"/>
  <c r="G6" i="17"/>
  <c r="E6" i="17"/>
  <c r="I5" i="17"/>
  <c r="G5" i="17"/>
  <c r="E5" i="17"/>
  <c r="I83" i="25"/>
  <c r="G83" i="25"/>
  <c r="E83" i="25"/>
  <c r="I82" i="25"/>
  <c r="G82" i="25"/>
  <c r="E82" i="25"/>
  <c r="I81" i="25"/>
  <c r="G81" i="25"/>
  <c r="E81" i="25"/>
  <c r="I80" i="25"/>
  <c r="G80" i="25"/>
  <c r="E80" i="25"/>
  <c r="I79" i="25"/>
  <c r="G79" i="25"/>
  <c r="E79" i="25"/>
  <c r="I78" i="25"/>
  <c r="G78" i="25"/>
  <c r="E78" i="25"/>
  <c r="I77" i="25"/>
  <c r="G77" i="25"/>
  <c r="E77" i="25"/>
  <c r="I76" i="25"/>
  <c r="G76" i="25"/>
  <c r="E76" i="25"/>
  <c r="I72" i="25"/>
  <c r="G72" i="25"/>
  <c r="E72" i="25"/>
  <c r="I71" i="25"/>
  <c r="G71" i="25"/>
  <c r="E71" i="25"/>
  <c r="I70" i="25"/>
  <c r="G70" i="25"/>
  <c r="E70" i="25"/>
  <c r="I69" i="25"/>
  <c r="G69" i="25"/>
  <c r="E69" i="25"/>
  <c r="I68" i="25"/>
  <c r="G68" i="25"/>
  <c r="E68" i="25"/>
  <c r="I67" i="25"/>
  <c r="G67" i="25"/>
  <c r="E67" i="25"/>
  <c r="I66" i="25"/>
  <c r="G66" i="25"/>
  <c r="E66" i="25"/>
  <c r="I65" i="25"/>
  <c r="G65" i="25"/>
  <c r="E65" i="25"/>
  <c r="I106" i="25"/>
  <c r="G106" i="25"/>
  <c r="E106" i="25"/>
  <c r="I105" i="25"/>
  <c r="G105" i="25"/>
  <c r="E105" i="25"/>
  <c r="I104" i="25"/>
  <c r="G104" i="25"/>
  <c r="E104" i="25"/>
  <c r="I103" i="25"/>
  <c r="G103" i="25"/>
  <c r="E103" i="25"/>
  <c r="I102" i="25"/>
  <c r="G102" i="25"/>
  <c r="E102" i="25"/>
  <c r="I101" i="25"/>
  <c r="G101" i="25"/>
  <c r="E101" i="25"/>
  <c r="I100" i="25"/>
  <c r="G100" i="25"/>
  <c r="E100" i="25"/>
  <c r="I99" i="25"/>
  <c r="G99" i="25"/>
  <c r="E99" i="25"/>
  <c r="I95" i="25"/>
  <c r="G95" i="25"/>
  <c r="E95" i="25"/>
  <c r="I94" i="25"/>
  <c r="G94" i="25"/>
  <c r="E94" i="25"/>
  <c r="I93" i="25"/>
  <c r="G93" i="25"/>
  <c r="E93" i="25"/>
  <c r="I92" i="25"/>
  <c r="G92" i="25"/>
  <c r="E92" i="25"/>
  <c r="I91" i="25"/>
  <c r="G91" i="25"/>
  <c r="E91" i="25"/>
  <c r="I90" i="25"/>
  <c r="G90" i="25"/>
  <c r="E90" i="25"/>
  <c r="I89" i="25"/>
  <c r="G89" i="25"/>
  <c r="E89" i="25"/>
  <c r="I88" i="25"/>
  <c r="G88" i="25"/>
  <c r="E88" i="25"/>
  <c r="I59" i="25"/>
  <c r="G59" i="25"/>
  <c r="E59" i="25"/>
  <c r="I58" i="25"/>
  <c r="G58" i="25"/>
  <c r="E58" i="25"/>
  <c r="I57" i="25"/>
  <c r="G57" i="25"/>
  <c r="E57" i="25"/>
  <c r="I53" i="25"/>
  <c r="G53" i="25"/>
  <c r="E53" i="25"/>
  <c r="I52" i="25"/>
  <c r="G52" i="25"/>
  <c r="E52" i="25"/>
  <c r="I51" i="25"/>
  <c r="G51" i="25"/>
  <c r="E51" i="25"/>
  <c r="I50" i="25"/>
  <c r="G50" i="25"/>
  <c r="E50" i="25"/>
  <c r="I49" i="25"/>
  <c r="G49" i="25"/>
  <c r="E49" i="25"/>
  <c r="I48" i="25"/>
  <c r="G48" i="25"/>
  <c r="E48" i="25"/>
  <c r="I47" i="25"/>
  <c r="G47" i="25"/>
  <c r="E47" i="25"/>
  <c r="I46" i="25"/>
  <c r="G46" i="25"/>
  <c r="E46" i="25"/>
  <c r="I45" i="25"/>
  <c r="G45" i="25"/>
  <c r="E45" i="25"/>
  <c r="I44" i="25"/>
  <c r="G44" i="25"/>
  <c r="E44" i="25"/>
  <c r="I43" i="25"/>
  <c r="G43" i="25"/>
  <c r="E43" i="25"/>
  <c r="I42" i="25"/>
  <c r="G42" i="25"/>
  <c r="E42" i="25"/>
  <c r="I35" i="25"/>
  <c r="G35" i="25"/>
  <c r="E35" i="25"/>
  <c r="I34" i="25"/>
  <c r="G34" i="25"/>
  <c r="E34" i="25"/>
  <c r="I33" i="25"/>
  <c r="G33" i="25"/>
  <c r="E33" i="25"/>
  <c r="I32" i="25"/>
  <c r="G32" i="25"/>
  <c r="E32" i="25"/>
  <c r="I31" i="25"/>
  <c r="G31" i="25"/>
  <c r="E31" i="25"/>
  <c r="I30" i="25"/>
  <c r="G30" i="25"/>
  <c r="E30" i="25"/>
  <c r="I29" i="25"/>
  <c r="G29" i="25"/>
  <c r="E29" i="25"/>
  <c r="I28" i="25"/>
  <c r="G28" i="25"/>
  <c r="E28" i="25"/>
  <c r="I27" i="25"/>
  <c r="G27" i="25"/>
  <c r="E27" i="25"/>
  <c r="I26" i="25"/>
  <c r="G26" i="25"/>
  <c r="E26" i="25"/>
  <c r="I25" i="25"/>
  <c r="G25" i="25"/>
  <c r="E25" i="25"/>
  <c r="I24" i="25"/>
  <c r="G24" i="25"/>
  <c r="E24" i="25"/>
  <c r="I38" i="25"/>
  <c r="G38" i="25"/>
  <c r="E38" i="25"/>
  <c r="I37" i="25"/>
  <c r="G37" i="25"/>
  <c r="E37" i="25"/>
  <c r="I36" i="25"/>
  <c r="G36" i="25"/>
  <c r="E36" i="25"/>
  <c r="I21" i="25"/>
  <c r="G21" i="25"/>
  <c r="E21" i="25"/>
  <c r="I20" i="25"/>
  <c r="G20" i="25"/>
  <c r="E20" i="25"/>
  <c r="I19" i="25"/>
  <c r="G19" i="25"/>
  <c r="E19" i="25"/>
  <c r="I18" i="25"/>
  <c r="G18" i="25"/>
  <c r="E18" i="25"/>
  <c r="I17" i="25"/>
  <c r="G17" i="25"/>
  <c r="E17" i="25"/>
  <c r="I16" i="25"/>
  <c r="G16" i="25"/>
  <c r="E16" i="25"/>
  <c r="I15" i="25"/>
  <c r="G15" i="25"/>
  <c r="E15" i="25"/>
  <c r="I14" i="25"/>
  <c r="G14" i="25"/>
  <c r="E14" i="25"/>
  <c r="I13" i="25"/>
  <c r="G13" i="25"/>
  <c r="E13" i="25"/>
  <c r="I12" i="25"/>
  <c r="G12" i="25"/>
  <c r="E12" i="25"/>
  <c r="I11" i="25"/>
  <c r="G11" i="25"/>
  <c r="E11" i="25"/>
  <c r="I10" i="25"/>
  <c r="G10" i="25"/>
  <c r="E10" i="25"/>
  <c r="I9" i="25"/>
  <c r="G9" i="25"/>
  <c r="E9" i="25"/>
  <c r="I8" i="25"/>
  <c r="G8" i="25"/>
  <c r="E8" i="25"/>
  <c r="I7" i="25"/>
  <c r="G7" i="25"/>
  <c r="E7" i="25"/>
  <c r="I77" i="19"/>
  <c r="G77" i="19"/>
  <c r="E77" i="19"/>
  <c r="I76" i="19"/>
  <c r="G76" i="19"/>
  <c r="E76" i="19"/>
  <c r="I75" i="19"/>
  <c r="G75" i="19"/>
  <c r="E75" i="19"/>
  <c r="I74" i="19"/>
  <c r="G74" i="19"/>
  <c r="E74" i="19"/>
  <c r="I73" i="19"/>
  <c r="G73" i="19"/>
  <c r="E73" i="19"/>
  <c r="I70" i="19"/>
  <c r="G70" i="19"/>
  <c r="E70" i="19"/>
  <c r="I69" i="19"/>
  <c r="G69" i="19"/>
  <c r="E69" i="19"/>
  <c r="I68" i="19"/>
  <c r="G68" i="19"/>
  <c r="E68" i="19"/>
  <c r="I67" i="19"/>
  <c r="G67" i="19"/>
  <c r="E67" i="19"/>
  <c r="I66" i="19"/>
  <c r="G66" i="19"/>
  <c r="E66" i="19"/>
  <c r="I65" i="19"/>
  <c r="G65" i="19"/>
  <c r="E65" i="19"/>
  <c r="I64" i="19"/>
  <c r="G64" i="19"/>
  <c r="E64" i="19"/>
  <c r="I63" i="19"/>
  <c r="G63" i="19"/>
  <c r="E63" i="19"/>
  <c r="I60" i="19"/>
  <c r="G60" i="19"/>
  <c r="E60" i="19"/>
  <c r="I59" i="19"/>
  <c r="G59" i="19"/>
  <c r="E59" i="19"/>
  <c r="I58" i="19"/>
  <c r="G58" i="19"/>
  <c r="E58" i="19"/>
  <c r="I57" i="19"/>
  <c r="G57" i="19"/>
  <c r="E57" i="19"/>
  <c r="I56" i="19"/>
  <c r="G56" i="19"/>
  <c r="E56" i="19"/>
  <c r="I55" i="19"/>
  <c r="G55" i="19"/>
  <c r="E55" i="19"/>
  <c r="I54" i="19"/>
  <c r="G54" i="19"/>
  <c r="E54" i="19"/>
  <c r="I53" i="19"/>
  <c r="G53" i="19"/>
  <c r="E53" i="19"/>
  <c r="I50" i="19"/>
  <c r="G50" i="19"/>
  <c r="E50" i="19"/>
  <c r="I49" i="19"/>
  <c r="G49" i="19"/>
  <c r="E49" i="19"/>
  <c r="I48" i="19"/>
  <c r="G48" i="19"/>
  <c r="E48" i="19"/>
  <c r="I47" i="19"/>
  <c r="G47" i="19"/>
  <c r="E47" i="19"/>
  <c r="I46" i="19"/>
  <c r="G46" i="19"/>
  <c r="E46" i="19"/>
  <c r="I45" i="19"/>
  <c r="G45" i="19"/>
  <c r="E45" i="19"/>
  <c r="I44" i="19"/>
  <c r="G44" i="19"/>
  <c r="E44" i="19"/>
  <c r="I43" i="19"/>
  <c r="G43" i="19"/>
  <c r="E43" i="19"/>
  <c r="I42" i="19"/>
  <c r="G42" i="19"/>
  <c r="E42" i="19"/>
  <c r="I41" i="19"/>
  <c r="G41" i="19"/>
  <c r="E41" i="19"/>
  <c r="I40" i="19"/>
  <c r="G40" i="19"/>
  <c r="E40" i="19"/>
  <c r="I39" i="19"/>
  <c r="G39" i="19"/>
  <c r="E39" i="19"/>
  <c r="I36" i="19"/>
  <c r="G36" i="19"/>
  <c r="E36" i="19"/>
  <c r="I35" i="19"/>
  <c r="G35" i="19"/>
  <c r="E35" i="19"/>
  <c r="I34" i="19"/>
  <c r="G34" i="19"/>
  <c r="E34" i="19"/>
  <c r="I33" i="19"/>
  <c r="G33" i="19"/>
  <c r="E33" i="19"/>
  <c r="I32" i="19"/>
  <c r="G32" i="19"/>
  <c r="E32" i="19"/>
  <c r="I31" i="19"/>
  <c r="G31" i="19"/>
  <c r="E31" i="19"/>
  <c r="I30" i="19"/>
  <c r="G30" i="19"/>
  <c r="E30" i="19"/>
  <c r="I29" i="19"/>
  <c r="G29" i="19"/>
  <c r="E29" i="19"/>
  <c r="I28" i="19"/>
  <c r="G28" i="19"/>
  <c r="E28" i="19"/>
  <c r="I27" i="19"/>
  <c r="G27" i="19"/>
  <c r="E27" i="19"/>
  <c r="I26" i="19"/>
  <c r="G26" i="19"/>
  <c r="E26" i="19"/>
  <c r="I25" i="19"/>
  <c r="G25" i="19"/>
  <c r="E25" i="19"/>
  <c r="I24" i="19"/>
  <c r="G24" i="19"/>
  <c r="E24" i="19"/>
  <c r="I23" i="19"/>
  <c r="G23" i="19"/>
  <c r="E23" i="19"/>
  <c r="I22" i="19"/>
  <c r="G22" i="19"/>
  <c r="E22" i="19"/>
  <c r="G52" i="24"/>
  <c r="G33" i="1"/>
  <c r="H33" i="1"/>
  <c r="G32" i="1"/>
  <c r="H32" i="1"/>
  <c r="G31" i="1"/>
  <c r="H31" i="1"/>
  <c r="C442" i="11"/>
  <c r="I442" i="11"/>
  <c r="E442" i="11"/>
  <c r="D442" i="11"/>
  <c r="B442" i="11"/>
  <c r="A442" i="11"/>
  <c r="C441" i="11"/>
  <c r="I441" i="11"/>
  <c r="E441" i="11"/>
  <c r="D441" i="11"/>
  <c r="B441" i="11"/>
  <c r="A441" i="11"/>
  <c r="C440" i="11"/>
  <c r="I440" i="11"/>
  <c r="E440" i="11"/>
  <c r="D440" i="11"/>
  <c r="B440" i="11"/>
  <c r="A440" i="11"/>
  <c r="C439" i="11"/>
  <c r="I439" i="11"/>
  <c r="E439" i="11"/>
  <c r="D439" i="11"/>
  <c r="B439" i="11"/>
  <c r="A439" i="11"/>
  <c r="C438" i="11"/>
  <c r="I438" i="11"/>
  <c r="E438" i="11"/>
  <c r="D438" i="11"/>
  <c r="B438" i="11"/>
  <c r="A438" i="11"/>
  <c r="C437" i="11"/>
  <c r="I437" i="11"/>
  <c r="E437" i="11"/>
  <c r="D437" i="11"/>
  <c r="B437" i="11"/>
  <c r="A437" i="11"/>
  <c r="C436" i="11"/>
  <c r="I436" i="11"/>
  <c r="E436" i="11"/>
  <c r="D436" i="11"/>
  <c r="B436" i="11"/>
  <c r="A436" i="11"/>
  <c r="C435" i="11"/>
  <c r="I435" i="11"/>
  <c r="E435" i="11"/>
  <c r="D435" i="11"/>
  <c r="B435" i="11"/>
  <c r="A435" i="11"/>
  <c r="C434" i="11"/>
  <c r="I434" i="11"/>
  <c r="E434" i="11"/>
  <c r="D434" i="11"/>
  <c r="B434" i="11"/>
  <c r="A434" i="11"/>
  <c r="C433" i="11"/>
  <c r="I433" i="11"/>
  <c r="E433" i="11"/>
  <c r="D433" i="11"/>
  <c r="B433" i="11"/>
  <c r="A433" i="11"/>
  <c r="C432" i="11"/>
  <c r="I432" i="11"/>
  <c r="E432" i="11"/>
  <c r="D432" i="11"/>
  <c r="B432" i="11"/>
  <c r="A432" i="11"/>
  <c r="C431" i="11"/>
  <c r="I431" i="11"/>
  <c r="E431" i="11"/>
  <c r="D431" i="11"/>
  <c r="B431" i="11"/>
  <c r="A431" i="11"/>
  <c r="C430" i="11"/>
  <c r="I430" i="11"/>
  <c r="E430" i="11"/>
  <c r="D430" i="11"/>
  <c r="B430" i="11"/>
  <c r="A430" i="11"/>
  <c r="C429" i="11"/>
  <c r="I429" i="11"/>
  <c r="E429" i="11"/>
  <c r="D429" i="11"/>
  <c r="B429" i="11"/>
  <c r="A429" i="11"/>
  <c r="C428" i="11"/>
  <c r="I428" i="11"/>
  <c r="E428" i="11"/>
  <c r="D428" i="11"/>
  <c r="B428" i="11"/>
  <c r="A428" i="11"/>
  <c r="C427" i="11"/>
  <c r="I427" i="11"/>
  <c r="E427" i="11"/>
  <c r="D427" i="11"/>
  <c r="B427" i="11"/>
  <c r="A427" i="11"/>
  <c r="C426" i="11"/>
  <c r="I426" i="11"/>
  <c r="E426" i="11"/>
  <c r="D426" i="11"/>
  <c r="B426" i="11"/>
  <c r="A426" i="11"/>
  <c r="C425" i="11"/>
  <c r="I425" i="11"/>
  <c r="E425" i="11"/>
  <c r="D425" i="11"/>
  <c r="B425" i="11"/>
  <c r="A425" i="11"/>
  <c r="C424" i="11"/>
  <c r="I424" i="11"/>
  <c r="E424" i="11"/>
  <c r="D424" i="11"/>
  <c r="B424" i="11"/>
  <c r="A424" i="11"/>
  <c r="C423" i="11"/>
  <c r="I423" i="11"/>
  <c r="E423" i="11"/>
  <c r="D423" i="11"/>
  <c r="B423" i="11"/>
  <c r="A423" i="11"/>
  <c r="C462" i="11"/>
  <c r="I462" i="11"/>
  <c r="E462" i="11"/>
  <c r="D462" i="11"/>
  <c r="B462" i="11"/>
  <c r="A462" i="11"/>
  <c r="C461" i="11"/>
  <c r="I461" i="11"/>
  <c r="E461" i="11"/>
  <c r="D461" i="11"/>
  <c r="B461" i="11"/>
  <c r="A461" i="11"/>
  <c r="C460" i="11"/>
  <c r="I460" i="11"/>
  <c r="E460" i="11"/>
  <c r="D460" i="11"/>
  <c r="B460" i="11"/>
  <c r="A460" i="11"/>
  <c r="C459" i="11"/>
  <c r="I459" i="11"/>
  <c r="E459" i="11"/>
  <c r="D459" i="11"/>
  <c r="B459" i="11"/>
  <c r="A459" i="11"/>
  <c r="C458" i="11"/>
  <c r="I458" i="11"/>
  <c r="E458" i="11"/>
  <c r="D458" i="11"/>
  <c r="B458" i="11"/>
  <c r="A458" i="11"/>
  <c r="C457" i="11"/>
  <c r="I457" i="11"/>
  <c r="E457" i="11"/>
  <c r="D457" i="11"/>
  <c r="B457" i="11"/>
  <c r="A457" i="11"/>
  <c r="C456" i="11"/>
  <c r="I456" i="11"/>
  <c r="E456" i="11"/>
  <c r="D456" i="11"/>
  <c r="B456" i="11"/>
  <c r="A456" i="11"/>
  <c r="C455" i="11"/>
  <c r="I455" i="11"/>
  <c r="E455" i="11"/>
  <c r="D455" i="11"/>
  <c r="B455" i="11"/>
  <c r="A455" i="11"/>
  <c r="C454" i="11"/>
  <c r="I454" i="11"/>
  <c r="E454" i="11"/>
  <c r="D454" i="11"/>
  <c r="B454" i="11"/>
  <c r="A454" i="11"/>
  <c r="C453" i="11"/>
  <c r="I453" i="11"/>
  <c r="E453" i="11"/>
  <c r="D453" i="11"/>
  <c r="B453" i="11"/>
  <c r="A453" i="11"/>
  <c r="C452" i="11"/>
  <c r="I452" i="11"/>
  <c r="E452" i="11"/>
  <c r="D452" i="11"/>
  <c r="B452" i="11"/>
  <c r="A452" i="11"/>
  <c r="C451" i="11"/>
  <c r="I451" i="11"/>
  <c r="E451" i="11"/>
  <c r="D451" i="11"/>
  <c r="B451" i="11"/>
  <c r="A451" i="11"/>
  <c r="C450" i="11"/>
  <c r="I450" i="11"/>
  <c r="E450" i="11"/>
  <c r="D450" i="11"/>
  <c r="B450" i="11"/>
  <c r="A450" i="11"/>
  <c r="C449" i="11"/>
  <c r="I449" i="11"/>
  <c r="E449" i="11"/>
  <c r="D449" i="11"/>
  <c r="B449" i="11"/>
  <c r="A449" i="11"/>
  <c r="C448" i="11"/>
  <c r="I448" i="11"/>
  <c r="E448" i="11"/>
  <c r="D448" i="11"/>
  <c r="B448" i="11"/>
  <c r="A448" i="11"/>
  <c r="C447" i="11"/>
  <c r="I447" i="11"/>
  <c r="E447" i="11"/>
  <c r="D447" i="11"/>
  <c r="B447" i="11"/>
  <c r="A447" i="11"/>
  <c r="C446" i="11"/>
  <c r="I446" i="11"/>
  <c r="E446" i="11"/>
  <c r="D446" i="11"/>
  <c r="B446" i="11"/>
  <c r="A446" i="11"/>
  <c r="C445" i="11"/>
  <c r="I445" i="11"/>
  <c r="E445" i="11"/>
  <c r="D445" i="11"/>
  <c r="B445" i="11"/>
  <c r="A445" i="11"/>
  <c r="C444" i="11"/>
  <c r="I444" i="11"/>
  <c r="E444" i="11"/>
  <c r="D444" i="11"/>
  <c r="B444" i="11"/>
  <c r="A444" i="11"/>
  <c r="C443" i="11"/>
  <c r="I443" i="11"/>
  <c r="E443" i="11"/>
  <c r="D443" i="11"/>
  <c r="B443" i="11"/>
  <c r="A443" i="11"/>
  <c r="M113" i="23"/>
  <c r="L113" i="23"/>
  <c r="F113" i="23"/>
  <c r="E113" i="23"/>
  <c r="M112" i="23"/>
  <c r="L112" i="23"/>
  <c r="F112" i="23"/>
  <c r="E112" i="23"/>
  <c r="M111" i="23"/>
  <c r="L111" i="23"/>
  <c r="F111" i="23"/>
  <c r="E111" i="23"/>
  <c r="M110" i="23"/>
  <c r="L110" i="23"/>
  <c r="F110" i="23"/>
  <c r="E110" i="23"/>
  <c r="M109" i="23"/>
  <c r="L109" i="23"/>
  <c r="F109" i="23"/>
  <c r="E109" i="23"/>
  <c r="M108" i="23"/>
  <c r="L108" i="23"/>
  <c r="F108" i="23"/>
  <c r="E108" i="23"/>
  <c r="M107" i="23"/>
  <c r="L107" i="23"/>
  <c r="F107" i="23"/>
  <c r="E107" i="23"/>
  <c r="M106" i="23"/>
  <c r="L106" i="23"/>
  <c r="F106" i="23"/>
  <c r="E106" i="23"/>
  <c r="M105" i="23"/>
  <c r="L105" i="23"/>
  <c r="F105" i="23"/>
  <c r="E105" i="23"/>
  <c r="M104" i="23"/>
  <c r="L104" i="23"/>
  <c r="F104" i="23"/>
  <c r="E104" i="23"/>
  <c r="M103" i="23"/>
  <c r="L103" i="23"/>
  <c r="F103" i="23"/>
  <c r="E103" i="23"/>
  <c r="M102" i="23"/>
  <c r="L102" i="23"/>
  <c r="F102" i="23"/>
  <c r="E102" i="23"/>
  <c r="M101" i="23"/>
  <c r="L101" i="23"/>
  <c r="F101" i="23"/>
  <c r="E101" i="23"/>
  <c r="M100" i="23"/>
  <c r="L100" i="23"/>
  <c r="F100" i="23"/>
  <c r="E100" i="23"/>
  <c r="M99" i="23"/>
  <c r="L99" i="23"/>
  <c r="F99" i="23"/>
  <c r="E99" i="23"/>
  <c r="M98" i="23"/>
  <c r="L98" i="23"/>
  <c r="F98" i="23"/>
  <c r="E98" i="23"/>
  <c r="M97" i="23"/>
  <c r="L97" i="23"/>
  <c r="F97" i="23"/>
  <c r="E97" i="23"/>
  <c r="M96" i="23"/>
  <c r="L96" i="23"/>
  <c r="F96" i="23"/>
  <c r="E96" i="23"/>
  <c r="M95" i="23"/>
  <c r="L95" i="23"/>
  <c r="F95" i="23"/>
  <c r="E95" i="23"/>
  <c r="M94" i="23"/>
  <c r="L94" i="23"/>
  <c r="F94" i="23"/>
  <c r="E94" i="23"/>
  <c r="C1121" i="11"/>
  <c r="I1121" i="11"/>
  <c r="E1121" i="11"/>
  <c r="D1121" i="11"/>
  <c r="B1121" i="11"/>
  <c r="A1121" i="11"/>
  <c r="C1120" i="11"/>
  <c r="I1120" i="11"/>
  <c r="E1120" i="11"/>
  <c r="D1120" i="11"/>
  <c r="B1120" i="11"/>
  <c r="A1120" i="11"/>
  <c r="C1119" i="11"/>
  <c r="I1119" i="11"/>
  <c r="E1119" i="11"/>
  <c r="D1119" i="11"/>
  <c r="B1119" i="11"/>
  <c r="A1119" i="11"/>
  <c r="C1118" i="11"/>
  <c r="I1118" i="11"/>
  <c r="E1118" i="11"/>
  <c r="D1118" i="11"/>
  <c r="B1118" i="11"/>
  <c r="A1118" i="11"/>
  <c r="C1117" i="11"/>
  <c r="I1117" i="11"/>
  <c r="E1117" i="11"/>
  <c r="D1117" i="11"/>
  <c r="B1117" i="11"/>
  <c r="A1117" i="11"/>
  <c r="C1116" i="11"/>
  <c r="I1116" i="11"/>
  <c r="E1116" i="11"/>
  <c r="D1116" i="11"/>
  <c r="B1116" i="11"/>
  <c r="A1116" i="11"/>
  <c r="C1115" i="11"/>
  <c r="I1115" i="11"/>
  <c r="E1115" i="11"/>
  <c r="D1115" i="11"/>
  <c r="B1115" i="11"/>
  <c r="A1115" i="11"/>
  <c r="C1114" i="11"/>
  <c r="I1114" i="11"/>
  <c r="E1114" i="11"/>
  <c r="D1114" i="11"/>
  <c r="B1114" i="11"/>
  <c r="A1114" i="11"/>
  <c r="C1113" i="11"/>
  <c r="I1113" i="11"/>
  <c r="E1113" i="11"/>
  <c r="D1113" i="11"/>
  <c r="B1113" i="11"/>
  <c r="A1113" i="11"/>
  <c r="C1112" i="11"/>
  <c r="I1112" i="11"/>
  <c r="E1112" i="11"/>
  <c r="D1112" i="11"/>
  <c r="B1112" i="11"/>
  <c r="A1112" i="11"/>
  <c r="C1111" i="11"/>
  <c r="I1111" i="11"/>
  <c r="E1111" i="11"/>
  <c r="D1111" i="11"/>
  <c r="B1111" i="11"/>
  <c r="A1111" i="11"/>
  <c r="C1110" i="11"/>
  <c r="I1110" i="11"/>
  <c r="E1110" i="11"/>
  <c r="D1110" i="11"/>
  <c r="B1110" i="11"/>
  <c r="A1110" i="11"/>
  <c r="C1109" i="11"/>
  <c r="I1109" i="11"/>
  <c r="E1109" i="11"/>
  <c r="D1109" i="11"/>
  <c r="B1109" i="11"/>
  <c r="A1109" i="11"/>
  <c r="C1108" i="11"/>
  <c r="I1108" i="11"/>
  <c r="E1108" i="11"/>
  <c r="D1108" i="11"/>
  <c r="B1108" i="11"/>
  <c r="A1108" i="11"/>
  <c r="C1107" i="11"/>
  <c r="I1107" i="11"/>
  <c r="E1107" i="11"/>
  <c r="D1107" i="11"/>
  <c r="B1107" i="11"/>
  <c r="A1107" i="11"/>
  <c r="C1106" i="11"/>
  <c r="I1106" i="11"/>
  <c r="E1106" i="11"/>
  <c r="D1106" i="11"/>
  <c r="B1106" i="11"/>
  <c r="A1106" i="11"/>
  <c r="C1105" i="11"/>
  <c r="I1105" i="11"/>
  <c r="E1105" i="11"/>
  <c r="D1105" i="11"/>
  <c r="B1105" i="11"/>
  <c r="A1105" i="11"/>
  <c r="C1104" i="11"/>
  <c r="I1104" i="11"/>
  <c r="E1104" i="11"/>
  <c r="D1104" i="11"/>
  <c r="B1104" i="11"/>
  <c r="A1104" i="11"/>
  <c r="C1103" i="11"/>
  <c r="I1103" i="11"/>
  <c r="E1103" i="11"/>
  <c r="D1103" i="11"/>
  <c r="B1103" i="11"/>
  <c r="A1103" i="11"/>
  <c r="C1102" i="11"/>
  <c r="I1102" i="11"/>
  <c r="E1102" i="11"/>
  <c r="D1102" i="11"/>
  <c r="B1102" i="11"/>
  <c r="A1102" i="11"/>
  <c r="C1141" i="11"/>
  <c r="I1141" i="11"/>
  <c r="E1141" i="11"/>
  <c r="D1141" i="11"/>
  <c r="B1141" i="11"/>
  <c r="A1141" i="11"/>
  <c r="C1140" i="11"/>
  <c r="I1140" i="11"/>
  <c r="E1140" i="11"/>
  <c r="D1140" i="11"/>
  <c r="B1140" i="11"/>
  <c r="A1140" i="11"/>
  <c r="C1139" i="11"/>
  <c r="I1139" i="11"/>
  <c r="E1139" i="11"/>
  <c r="D1139" i="11"/>
  <c r="B1139" i="11"/>
  <c r="A1139" i="11"/>
  <c r="C1138" i="11"/>
  <c r="I1138" i="11"/>
  <c r="E1138" i="11"/>
  <c r="D1138" i="11"/>
  <c r="B1138" i="11"/>
  <c r="A1138" i="11"/>
  <c r="C1137" i="11"/>
  <c r="I1137" i="11"/>
  <c r="E1137" i="11"/>
  <c r="D1137" i="11"/>
  <c r="B1137" i="11"/>
  <c r="A1137" i="11"/>
  <c r="C1136" i="11"/>
  <c r="I1136" i="11"/>
  <c r="E1136" i="11"/>
  <c r="D1136" i="11"/>
  <c r="B1136" i="11"/>
  <c r="A1136" i="11"/>
  <c r="C1135" i="11"/>
  <c r="I1135" i="11"/>
  <c r="E1135" i="11"/>
  <c r="D1135" i="11"/>
  <c r="B1135" i="11"/>
  <c r="A1135" i="11"/>
  <c r="C1134" i="11"/>
  <c r="I1134" i="11"/>
  <c r="E1134" i="11"/>
  <c r="D1134" i="11"/>
  <c r="B1134" i="11"/>
  <c r="A1134" i="11"/>
  <c r="C1133" i="11"/>
  <c r="I1133" i="11"/>
  <c r="E1133" i="11"/>
  <c r="D1133" i="11"/>
  <c r="B1133" i="11"/>
  <c r="A1133" i="11"/>
  <c r="C1132" i="11"/>
  <c r="I1132" i="11"/>
  <c r="E1132" i="11"/>
  <c r="D1132" i="11"/>
  <c r="B1132" i="11"/>
  <c r="A1132" i="11"/>
  <c r="C1131" i="11"/>
  <c r="I1131" i="11"/>
  <c r="E1131" i="11"/>
  <c r="D1131" i="11"/>
  <c r="B1131" i="11"/>
  <c r="A1131" i="11"/>
  <c r="C1130" i="11"/>
  <c r="I1130" i="11"/>
  <c r="E1130" i="11"/>
  <c r="D1130" i="11"/>
  <c r="B1130" i="11"/>
  <c r="A1130" i="11"/>
  <c r="C1129" i="11"/>
  <c r="I1129" i="11"/>
  <c r="E1129" i="11"/>
  <c r="D1129" i="11"/>
  <c r="B1129" i="11"/>
  <c r="A1129" i="11"/>
  <c r="C1128" i="11"/>
  <c r="I1128" i="11"/>
  <c r="E1128" i="11"/>
  <c r="D1128" i="11"/>
  <c r="B1128" i="11"/>
  <c r="A1128" i="11"/>
  <c r="C1127" i="11"/>
  <c r="I1127" i="11"/>
  <c r="E1127" i="11"/>
  <c r="D1127" i="11"/>
  <c r="B1127" i="11"/>
  <c r="A1127" i="11"/>
  <c r="C1126" i="11"/>
  <c r="I1126" i="11"/>
  <c r="E1126" i="11"/>
  <c r="D1126" i="11"/>
  <c r="B1126" i="11"/>
  <c r="A1126" i="11"/>
  <c r="C1125" i="11"/>
  <c r="I1125" i="11"/>
  <c r="E1125" i="11"/>
  <c r="D1125" i="11"/>
  <c r="B1125" i="11"/>
  <c r="A1125" i="11"/>
  <c r="C1124" i="11"/>
  <c r="I1124" i="11"/>
  <c r="E1124" i="11"/>
  <c r="D1124" i="11"/>
  <c r="B1124" i="11"/>
  <c r="A1124" i="11"/>
  <c r="C1123" i="11"/>
  <c r="I1123" i="11"/>
  <c r="E1123" i="11"/>
  <c r="D1123" i="11"/>
  <c r="B1123" i="11"/>
  <c r="A1123" i="11"/>
  <c r="C1122" i="11"/>
  <c r="I1122" i="11"/>
  <c r="E1122" i="11"/>
  <c r="D1122" i="11"/>
  <c r="B1122" i="11"/>
  <c r="A1122" i="11"/>
  <c r="M112" i="16"/>
  <c r="L112" i="16"/>
  <c r="F112" i="16"/>
  <c r="E112" i="16"/>
  <c r="M111" i="16"/>
  <c r="L111" i="16"/>
  <c r="F111" i="16"/>
  <c r="E111" i="16"/>
  <c r="M110" i="16"/>
  <c r="L110" i="16"/>
  <c r="F110" i="16"/>
  <c r="E110" i="16"/>
  <c r="M109" i="16"/>
  <c r="L109" i="16"/>
  <c r="F109" i="16"/>
  <c r="E109" i="16"/>
  <c r="M108" i="16"/>
  <c r="L108" i="16"/>
  <c r="F108" i="16"/>
  <c r="E108" i="16"/>
  <c r="M107" i="16"/>
  <c r="L107" i="16"/>
  <c r="F107" i="16"/>
  <c r="E107" i="16"/>
  <c r="M106" i="16"/>
  <c r="L106" i="16"/>
  <c r="F106" i="16"/>
  <c r="E106" i="16"/>
  <c r="M105" i="16"/>
  <c r="L105" i="16"/>
  <c r="F105" i="16"/>
  <c r="E105" i="16"/>
  <c r="M104" i="16"/>
  <c r="L104" i="16"/>
  <c r="F104" i="16"/>
  <c r="E104" i="16"/>
  <c r="M103" i="16"/>
  <c r="L103" i="16"/>
  <c r="F103" i="16"/>
  <c r="E103" i="16"/>
  <c r="M102" i="16"/>
  <c r="L102" i="16"/>
  <c r="F102" i="16"/>
  <c r="E102" i="16"/>
  <c r="M101" i="16"/>
  <c r="L101" i="16"/>
  <c r="F101" i="16"/>
  <c r="E101" i="16"/>
  <c r="M100" i="16"/>
  <c r="L100" i="16"/>
  <c r="F100" i="16"/>
  <c r="E100" i="16"/>
  <c r="M99" i="16"/>
  <c r="L99" i="16"/>
  <c r="F99" i="16"/>
  <c r="E99" i="16"/>
  <c r="M98" i="16"/>
  <c r="L98" i="16"/>
  <c r="F98" i="16"/>
  <c r="E98" i="16"/>
  <c r="M97" i="16"/>
  <c r="L97" i="16"/>
  <c r="F97" i="16"/>
  <c r="E97" i="16"/>
  <c r="M96" i="16"/>
  <c r="L96" i="16"/>
  <c r="F96" i="16"/>
  <c r="E96" i="16"/>
  <c r="M95" i="16"/>
  <c r="L95" i="16"/>
  <c r="F95" i="16"/>
  <c r="E95" i="16"/>
  <c r="M94" i="16"/>
  <c r="L94" i="16"/>
  <c r="F94" i="16"/>
  <c r="E94" i="16"/>
  <c r="M93" i="16"/>
  <c r="L93" i="16"/>
  <c r="F93" i="16"/>
  <c r="E93" i="16"/>
  <c r="C900" i="11"/>
  <c r="I900" i="11"/>
  <c r="E900" i="11"/>
  <c r="D900" i="11"/>
  <c r="B900" i="11"/>
  <c r="A900" i="11"/>
  <c r="C899" i="11"/>
  <c r="I899" i="11"/>
  <c r="E899" i="11"/>
  <c r="D899" i="11"/>
  <c r="B899" i="11"/>
  <c r="A899" i="11"/>
  <c r="C898" i="11"/>
  <c r="I898" i="11"/>
  <c r="E898" i="11"/>
  <c r="D898" i="11"/>
  <c r="B898" i="11"/>
  <c r="A898" i="11"/>
  <c r="C897" i="11"/>
  <c r="I897" i="11"/>
  <c r="E897" i="11"/>
  <c r="D897" i="11"/>
  <c r="B897" i="11"/>
  <c r="A897" i="11"/>
  <c r="C896" i="11"/>
  <c r="I896" i="11"/>
  <c r="E896" i="11"/>
  <c r="D896" i="11"/>
  <c r="B896" i="11"/>
  <c r="A896" i="11"/>
  <c r="C895" i="11"/>
  <c r="I895" i="11"/>
  <c r="E895" i="11"/>
  <c r="D895" i="11"/>
  <c r="B895" i="11"/>
  <c r="A895" i="11"/>
  <c r="C894" i="11"/>
  <c r="I894" i="11"/>
  <c r="E894" i="11"/>
  <c r="D894" i="11"/>
  <c r="B894" i="11"/>
  <c r="A894" i="11"/>
  <c r="C893" i="11"/>
  <c r="I893" i="11"/>
  <c r="E893" i="11"/>
  <c r="D893" i="11"/>
  <c r="B893" i="11"/>
  <c r="A893" i="11"/>
  <c r="C892" i="11"/>
  <c r="I892" i="11"/>
  <c r="E892" i="11"/>
  <c r="D892" i="11"/>
  <c r="B892" i="11"/>
  <c r="A892" i="11"/>
  <c r="C891" i="11"/>
  <c r="I891" i="11"/>
  <c r="E891" i="11"/>
  <c r="D891" i="11"/>
  <c r="B891" i="11"/>
  <c r="A891" i="11"/>
  <c r="C890" i="11"/>
  <c r="I890" i="11"/>
  <c r="E890" i="11"/>
  <c r="D890" i="11"/>
  <c r="B890" i="11"/>
  <c r="A890" i="11"/>
  <c r="C889" i="11"/>
  <c r="I889" i="11"/>
  <c r="E889" i="11"/>
  <c r="D889" i="11"/>
  <c r="B889" i="11"/>
  <c r="A889" i="11"/>
  <c r="C888" i="11"/>
  <c r="I888" i="11"/>
  <c r="E888" i="11"/>
  <c r="D888" i="11"/>
  <c r="B888" i="11"/>
  <c r="A888" i="11"/>
  <c r="C887" i="11"/>
  <c r="I887" i="11"/>
  <c r="E887" i="11"/>
  <c r="D887" i="11"/>
  <c r="B887" i="11"/>
  <c r="A887" i="11"/>
  <c r="C886" i="11"/>
  <c r="I886" i="11"/>
  <c r="E886" i="11"/>
  <c r="D886" i="11"/>
  <c r="B886" i="11"/>
  <c r="A886" i="11"/>
  <c r="C885" i="11"/>
  <c r="I885" i="11"/>
  <c r="E885" i="11"/>
  <c r="D885" i="11"/>
  <c r="B885" i="11"/>
  <c r="A885" i="11"/>
  <c r="C884" i="11"/>
  <c r="I884" i="11"/>
  <c r="E884" i="11"/>
  <c r="D884" i="11"/>
  <c r="B884" i="11"/>
  <c r="A884" i="11"/>
  <c r="C883" i="11"/>
  <c r="I883" i="11"/>
  <c r="E883" i="11"/>
  <c r="D883" i="11"/>
  <c r="B883" i="11"/>
  <c r="A883" i="11"/>
  <c r="C882" i="11"/>
  <c r="I882" i="11"/>
  <c r="E882" i="11"/>
  <c r="D882" i="11"/>
  <c r="B882" i="11"/>
  <c r="A882" i="11"/>
  <c r="C881" i="11"/>
  <c r="I881" i="11"/>
  <c r="E881" i="11"/>
  <c r="D881" i="11"/>
  <c r="B881" i="11"/>
  <c r="A881" i="11"/>
  <c r="C920" i="11"/>
  <c r="I920" i="11"/>
  <c r="E920" i="11"/>
  <c r="D920" i="11"/>
  <c r="B920" i="11"/>
  <c r="A920" i="11"/>
  <c r="C919" i="11"/>
  <c r="I919" i="11"/>
  <c r="E919" i="11"/>
  <c r="D919" i="11"/>
  <c r="B919" i="11"/>
  <c r="A919" i="11"/>
  <c r="C918" i="11"/>
  <c r="I918" i="11"/>
  <c r="E918" i="11"/>
  <c r="D918" i="11"/>
  <c r="B918" i="11"/>
  <c r="A918" i="11"/>
  <c r="C917" i="11"/>
  <c r="I917" i="11"/>
  <c r="E917" i="11"/>
  <c r="D917" i="11"/>
  <c r="B917" i="11"/>
  <c r="A917" i="11"/>
  <c r="C916" i="11"/>
  <c r="I916" i="11"/>
  <c r="E916" i="11"/>
  <c r="D916" i="11"/>
  <c r="B916" i="11"/>
  <c r="A916" i="11"/>
  <c r="C915" i="11"/>
  <c r="I915" i="11"/>
  <c r="E915" i="11"/>
  <c r="D915" i="11"/>
  <c r="B915" i="11"/>
  <c r="A915" i="11"/>
  <c r="C914" i="11"/>
  <c r="I914" i="11"/>
  <c r="E914" i="11"/>
  <c r="D914" i="11"/>
  <c r="B914" i="11"/>
  <c r="A914" i="11"/>
  <c r="C913" i="11"/>
  <c r="I913" i="11"/>
  <c r="E913" i="11"/>
  <c r="D913" i="11"/>
  <c r="B913" i="11"/>
  <c r="A913" i="11"/>
  <c r="C912" i="11"/>
  <c r="I912" i="11"/>
  <c r="E912" i="11"/>
  <c r="D912" i="11"/>
  <c r="B912" i="11"/>
  <c r="A912" i="11"/>
  <c r="C911" i="11"/>
  <c r="I911" i="11"/>
  <c r="E911" i="11"/>
  <c r="D911" i="11"/>
  <c r="B911" i="11"/>
  <c r="A911" i="11"/>
  <c r="C910" i="11"/>
  <c r="I910" i="11"/>
  <c r="E910" i="11"/>
  <c r="D910" i="11"/>
  <c r="B910" i="11"/>
  <c r="A910" i="11"/>
  <c r="C909" i="11"/>
  <c r="I909" i="11"/>
  <c r="E909" i="11"/>
  <c r="D909" i="11"/>
  <c r="B909" i="11"/>
  <c r="A909" i="11"/>
  <c r="C908" i="11"/>
  <c r="I908" i="11"/>
  <c r="E908" i="11"/>
  <c r="D908" i="11"/>
  <c r="B908" i="11"/>
  <c r="A908" i="11"/>
  <c r="C907" i="11"/>
  <c r="I907" i="11"/>
  <c r="E907" i="11"/>
  <c r="D907" i="11"/>
  <c r="B907" i="11"/>
  <c r="A907" i="11"/>
  <c r="C906" i="11"/>
  <c r="I906" i="11"/>
  <c r="E906" i="11"/>
  <c r="D906" i="11"/>
  <c r="B906" i="11"/>
  <c r="A906" i="11"/>
  <c r="C905" i="11"/>
  <c r="I905" i="11"/>
  <c r="E905" i="11"/>
  <c r="D905" i="11"/>
  <c r="B905" i="11"/>
  <c r="A905" i="11"/>
  <c r="C904" i="11"/>
  <c r="I904" i="11"/>
  <c r="E904" i="11"/>
  <c r="D904" i="11"/>
  <c r="B904" i="11"/>
  <c r="A904" i="11"/>
  <c r="C903" i="11"/>
  <c r="I903" i="11"/>
  <c r="E903" i="11"/>
  <c r="D903" i="11"/>
  <c r="B903" i="11"/>
  <c r="A903" i="11"/>
  <c r="C902" i="11"/>
  <c r="I902" i="11"/>
  <c r="E902" i="11"/>
  <c r="D902" i="11"/>
  <c r="B902" i="11"/>
  <c r="A902" i="11"/>
  <c r="C901" i="11"/>
  <c r="I901" i="11"/>
  <c r="E901" i="11"/>
  <c r="D901" i="11"/>
  <c r="B901" i="11"/>
  <c r="A901" i="11"/>
  <c r="M112" i="31"/>
  <c r="L112" i="31"/>
  <c r="F112" i="31"/>
  <c r="E112" i="31"/>
  <c r="M111" i="31"/>
  <c r="L111" i="31"/>
  <c r="F111" i="31"/>
  <c r="E111" i="31"/>
  <c r="M110" i="31"/>
  <c r="L110" i="31"/>
  <c r="F110" i="31"/>
  <c r="E110" i="31"/>
  <c r="M109" i="31"/>
  <c r="L109" i="31"/>
  <c r="F109" i="31"/>
  <c r="E109" i="31"/>
  <c r="M108" i="31"/>
  <c r="L108" i="31"/>
  <c r="F108" i="31"/>
  <c r="E108" i="31"/>
  <c r="M107" i="31"/>
  <c r="L107" i="31"/>
  <c r="F107" i="31"/>
  <c r="E107" i="31"/>
  <c r="M106" i="31"/>
  <c r="L106" i="31"/>
  <c r="F106" i="31"/>
  <c r="E106" i="31"/>
  <c r="M105" i="31"/>
  <c r="L105" i="31"/>
  <c r="F105" i="31"/>
  <c r="E105" i="31"/>
  <c r="M104" i="31"/>
  <c r="L104" i="31"/>
  <c r="F104" i="31"/>
  <c r="E104" i="31"/>
  <c r="M103" i="31"/>
  <c r="L103" i="31"/>
  <c r="F103" i="31"/>
  <c r="E103" i="31"/>
  <c r="M102" i="31"/>
  <c r="L102" i="31"/>
  <c r="F102" i="31"/>
  <c r="E102" i="31"/>
  <c r="M101" i="31"/>
  <c r="L101" i="31"/>
  <c r="F101" i="31"/>
  <c r="E101" i="31"/>
  <c r="M100" i="31"/>
  <c r="L100" i="31"/>
  <c r="F100" i="31"/>
  <c r="E100" i="31"/>
  <c r="M99" i="31"/>
  <c r="L99" i="31"/>
  <c r="F99" i="31"/>
  <c r="E99" i="31"/>
  <c r="M98" i="31"/>
  <c r="L98" i="31"/>
  <c r="F98" i="31"/>
  <c r="E98" i="31"/>
  <c r="M97" i="31"/>
  <c r="L97" i="31"/>
  <c r="F97" i="31"/>
  <c r="E97" i="31"/>
  <c r="M96" i="31"/>
  <c r="L96" i="31"/>
  <c r="F96" i="31"/>
  <c r="E96" i="31"/>
  <c r="M95" i="31"/>
  <c r="L95" i="31"/>
  <c r="F95" i="31"/>
  <c r="E95" i="31"/>
  <c r="M94" i="31"/>
  <c r="L94" i="31"/>
  <c r="F94" i="31"/>
  <c r="E94" i="31"/>
  <c r="M93" i="31"/>
  <c r="L93" i="31"/>
  <c r="F93" i="31"/>
  <c r="E93" i="31"/>
  <c r="C679" i="11"/>
  <c r="I679" i="11"/>
  <c r="E679" i="11"/>
  <c r="D679" i="11"/>
  <c r="B679" i="11"/>
  <c r="A679" i="11"/>
  <c r="C678" i="11"/>
  <c r="I678" i="11"/>
  <c r="E678" i="11"/>
  <c r="D678" i="11"/>
  <c r="B678" i="11"/>
  <c r="A678" i="11"/>
  <c r="C677" i="11"/>
  <c r="I677" i="11"/>
  <c r="E677" i="11"/>
  <c r="D677" i="11"/>
  <c r="B677" i="11"/>
  <c r="A677" i="11"/>
  <c r="C676" i="11"/>
  <c r="I676" i="11"/>
  <c r="E676" i="11"/>
  <c r="D676" i="11"/>
  <c r="B676" i="11"/>
  <c r="A676" i="11"/>
  <c r="C675" i="11"/>
  <c r="I675" i="11"/>
  <c r="E675" i="11"/>
  <c r="D675" i="11"/>
  <c r="B675" i="11"/>
  <c r="A675" i="11"/>
  <c r="C674" i="11"/>
  <c r="I674" i="11"/>
  <c r="E674" i="11"/>
  <c r="D674" i="11"/>
  <c r="B674" i="11"/>
  <c r="A674" i="11"/>
  <c r="C673" i="11"/>
  <c r="I673" i="11"/>
  <c r="E673" i="11"/>
  <c r="D673" i="11"/>
  <c r="B673" i="11"/>
  <c r="A673" i="11"/>
  <c r="C672" i="11"/>
  <c r="I672" i="11"/>
  <c r="E672" i="11"/>
  <c r="D672" i="11"/>
  <c r="B672" i="11"/>
  <c r="A672" i="11"/>
  <c r="C671" i="11"/>
  <c r="I671" i="11"/>
  <c r="E671" i="11"/>
  <c r="D671" i="11"/>
  <c r="B671" i="11"/>
  <c r="A671" i="11"/>
  <c r="C670" i="11"/>
  <c r="I670" i="11"/>
  <c r="E670" i="11"/>
  <c r="D670" i="11"/>
  <c r="B670" i="11"/>
  <c r="A670" i="11"/>
  <c r="C669" i="11"/>
  <c r="I669" i="11"/>
  <c r="E669" i="11"/>
  <c r="D669" i="11"/>
  <c r="B669" i="11"/>
  <c r="A669" i="11"/>
  <c r="C668" i="11"/>
  <c r="I668" i="11"/>
  <c r="E668" i="11"/>
  <c r="D668" i="11"/>
  <c r="B668" i="11"/>
  <c r="A668" i="11"/>
  <c r="C667" i="11"/>
  <c r="I667" i="11"/>
  <c r="E667" i="11"/>
  <c r="D667" i="11"/>
  <c r="B667" i="11"/>
  <c r="A667" i="11"/>
  <c r="C666" i="11"/>
  <c r="I666" i="11"/>
  <c r="E666" i="11"/>
  <c r="D666" i="11"/>
  <c r="B666" i="11"/>
  <c r="A666" i="11"/>
  <c r="C665" i="11"/>
  <c r="I665" i="11"/>
  <c r="E665" i="11"/>
  <c r="D665" i="11"/>
  <c r="B665" i="11"/>
  <c r="A665" i="11"/>
  <c r="C664" i="11"/>
  <c r="I664" i="11"/>
  <c r="E664" i="11"/>
  <c r="D664" i="11"/>
  <c r="B664" i="11"/>
  <c r="A664" i="11"/>
  <c r="C663" i="11"/>
  <c r="I663" i="11"/>
  <c r="E663" i="11"/>
  <c r="D663" i="11"/>
  <c r="B663" i="11"/>
  <c r="A663" i="11"/>
  <c r="C662" i="11"/>
  <c r="I662" i="11"/>
  <c r="E662" i="11"/>
  <c r="D662" i="11"/>
  <c r="B662" i="11"/>
  <c r="A662" i="11"/>
  <c r="C661" i="11"/>
  <c r="I661" i="11"/>
  <c r="E661" i="11"/>
  <c r="D661" i="11"/>
  <c r="B661" i="11"/>
  <c r="A661" i="11"/>
  <c r="C660" i="11"/>
  <c r="I660" i="11"/>
  <c r="E660" i="11"/>
  <c r="D660" i="11"/>
  <c r="B660" i="11"/>
  <c r="A660" i="11"/>
  <c r="C699" i="11"/>
  <c r="I699" i="11"/>
  <c r="E699" i="11"/>
  <c r="D699" i="11"/>
  <c r="B699" i="11"/>
  <c r="A699" i="11"/>
  <c r="C698" i="11"/>
  <c r="I698" i="11"/>
  <c r="E698" i="11"/>
  <c r="D698" i="11"/>
  <c r="B698" i="11"/>
  <c r="A698" i="11"/>
  <c r="C697" i="11"/>
  <c r="I697" i="11"/>
  <c r="E697" i="11"/>
  <c r="D697" i="11"/>
  <c r="B697" i="11"/>
  <c r="A697" i="11"/>
  <c r="C696" i="11"/>
  <c r="I696" i="11"/>
  <c r="E696" i="11"/>
  <c r="D696" i="11"/>
  <c r="B696" i="11"/>
  <c r="A696" i="11"/>
  <c r="C695" i="11"/>
  <c r="I695" i="11"/>
  <c r="E695" i="11"/>
  <c r="D695" i="11"/>
  <c r="B695" i="11"/>
  <c r="A695" i="11"/>
  <c r="C694" i="11"/>
  <c r="I694" i="11"/>
  <c r="E694" i="11"/>
  <c r="D694" i="11"/>
  <c r="B694" i="11"/>
  <c r="A694" i="11"/>
  <c r="C693" i="11"/>
  <c r="I693" i="11"/>
  <c r="E693" i="11"/>
  <c r="D693" i="11"/>
  <c r="B693" i="11"/>
  <c r="A693" i="11"/>
  <c r="C692" i="11"/>
  <c r="I692" i="11"/>
  <c r="E692" i="11"/>
  <c r="D692" i="11"/>
  <c r="B692" i="11"/>
  <c r="A692" i="11"/>
  <c r="C691" i="11"/>
  <c r="I691" i="11"/>
  <c r="E691" i="11"/>
  <c r="D691" i="11"/>
  <c r="B691" i="11"/>
  <c r="A691" i="11"/>
  <c r="C690" i="11"/>
  <c r="I690" i="11"/>
  <c r="E690" i="11"/>
  <c r="D690" i="11"/>
  <c r="B690" i="11"/>
  <c r="A690" i="11"/>
  <c r="C689" i="11"/>
  <c r="I689" i="11"/>
  <c r="E689" i="11"/>
  <c r="D689" i="11"/>
  <c r="B689" i="11"/>
  <c r="A689" i="11"/>
  <c r="C688" i="11"/>
  <c r="I688" i="11"/>
  <c r="E688" i="11"/>
  <c r="D688" i="11"/>
  <c r="B688" i="11"/>
  <c r="A688" i="11"/>
  <c r="C687" i="11"/>
  <c r="I687" i="11"/>
  <c r="E687" i="11"/>
  <c r="D687" i="11"/>
  <c r="B687" i="11"/>
  <c r="A687" i="11"/>
  <c r="C686" i="11"/>
  <c r="I686" i="11"/>
  <c r="E686" i="11"/>
  <c r="D686" i="11"/>
  <c r="B686" i="11"/>
  <c r="A686" i="11"/>
  <c r="C685" i="11"/>
  <c r="I685" i="11"/>
  <c r="E685" i="11"/>
  <c r="D685" i="11"/>
  <c r="B685" i="11"/>
  <c r="A685" i="11"/>
  <c r="C684" i="11"/>
  <c r="I684" i="11"/>
  <c r="E684" i="11"/>
  <c r="D684" i="11"/>
  <c r="B684" i="11"/>
  <c r="A684" i="11"/>
  <c r="C683" i="11"/>
  <c r="I683" i="11"/>
  <c r="E683" i="11"/>
  <c r="D683" i="11"/>
  <c r="B683" i="11"/>
  <c r="A683" i="11"/>
  <c r="C682" i="11"/>
  <c r="I682" i="11"/>
  <c r="E682" i="11"/>
  <c r="D682" i="11"/>
  <c r="B682" i="11"/>
  <c r="A682" i="11"/>
  <c r="C681" i="11"/>
  <c r="I681" i="11"/>
  <c r="E681" i="11"/>
  <c r="D681" i="11"/>
  <c r="B681" i="11"/>
  <c r="A681" i="11"/>
  <c r="C680" i="11"/>
  <c r="I680" i="11"/>
  <c r="E680" i="11"/>
  <c r="D680" i="11"/>
  <c r="B680" i="11"/>
  <c r="A680" i="11"/>
  <c r="M112" i="20"/>
  <c r="L112" i="20"/>
  <c r="F112" i="20"/>
  <c r="E112" i="20"/>
  <c r="M111" i="20"/>
  <c r="L111" i="20"/>
  <c r="F111" i="20"/>
  <c r="E111" i="20"/>
  <c r="M110" i="20"/>
  <c r="L110" i="20"/>
  <c r="F110" i="20"/>
  <c r="E110" i="20"/>
  <c r="M109" i="20"/>
  <c r="L109" i="20"/>
  <c r="F109" i="20"/>
  <c r="E109" i="20"/>
  <c r="M108" i="20"/>
  <c r="L108" i="20"/>
  <c r="F108" i="20"/>
  <c r="E108" i="20"/>
  <c r="M107" i="20"/>
  <c r="L107" i="20"/>
  <c r="F107" i="20"/>
  <c r="E107" i="20"/>
  <c r="M106" i="20"/>
  <c r="L106" i="20"/>
  <c r="F106" i="20"/>
  <c r="E106" i="20"/>
  <c r="M105" i="20"/>
  <c r="L105" i="20"/>
  <c r="F105" i="20"/>
  <c r="E105" i="20"/>
  <c r="M104" i="20"/>
  <c r="L104" i="20"/>
  <c r="F104" i="20"/>
  <c r="E104" i="20"/>
  <c r="M103" i="20"/>
  <c r="L103" i="20"/>
  <c r="F103" i="20"/>
  <c r="E103" i="20"/>
  <c r="M102" i="20"/>
  <c r="L102" i="20"/>
  <c r="F102" i="20"/>
  <c r="E102" i="20"/>
  <c r="M101" i="20"/>
  <c r="L101" i="20"/>
  <c r="F101" i="20"/>
  <c r="E101" i="20"/>
  <c r="M100" i="20"/>
  <c r="L100" i="20"/>
  <c r="F100" i="20"/>
  <c r="E100" i="20"/>
  <c r="M99" i="20"/>
  <c r="L99" i="20"/>
  <c r="F99" i="20"/>
  <c r="E99" i="20"/>
  <c r="M98" i="20"/>
  <c r="L98" i="20"/>
  <c r="F98" i="20"/>
  <c r="E98" i="20"/>
  <c r="M97" i="20"/>
  <c r="L97" i="20"/>
  <c r="F97" i="20"/>
  <c r="E97" i="20"/>
  <c r="M96" i="20"/>
  <c r="L96" i="20"/>
  <c r="F96" i="20"/>
  <c r="E96" i="20"/>
  <c r="M95" i="20"/>
  <c r="L95" i="20"/>
  <c r="F95" i="20"/>
  <c r="E95" i="20"/>
  <c r="M94" i="20"/>
  <c r="L94" i="20"/>
  <c r="F94" i="20"/>
  <c r="E94" i="20"/>
  <c r="M93" i="20"/>
  <c r="L93" i="20"/>
  <c r="F93" i="20"/>
  <c r="E93" i="20"/>
  <c r="C1342" i="11"/>
  <c r="I1342" i="11"/>
  <c r="E1342" i="11"/>
  <c r="D1342" i="11"/>
  <c r="B1342" i="11"/>
  <c r="A1342" i="11"/>
  <c r="C1341" i="11"/>
  <c r="I1341" i="11"/>
  <c r="E1341" i="11"/>
  <c r="D1341" i="11"/>
  <c r="B1341" i="11"/>
  <c r="A1341" i="11"/>
  <c r="C1340" i="11"/>
  <c r="I1340" i="11"/>
  <c r="E1340" i="11"/>
  <c r="D1340" i="11"/>
  <c r="B1340" i="11"/>
  <c r="A1340" i="11"/>
  <c r="C1339" i="11"/>
  <c r="I1339" i="11"/>
  <c r="E1339" i="11"/>
  <c r="D1339" i="11"/>
  <c r="B1339" i="11"/>
  <c r="A1339" i="11"/>
  <c r="C1338" i="11"/>
  <c r="I1338" i="11"/>
  <c r="E1338" i="11"/>
  <c r="D1338" i="11"/>
  <c r="B1338" i="11"/>
  <c r="A1338" i="11"/>
  <c r="C1337" i="11"/>
  <c r="I1337" i="11"/>
  <c r="E1337" i="11"/>
  <c r="D1337" i="11"/>
  <c r="B1337" i="11"/>
  <c r="A1337" i="11"/>
  <c r="C1336" i="11"/>
  <c r="I1336" i="11"/>
  <c r="E1336" i="11"/>
  <c r="D1336" i="11"/>
  <c r="B1336" i="11"/>
  <c r="A1336" i="11"/>
  <c r="C1335" i="11"/>
  <c r="I1335" i="11"/>
  <c r="E1335" i="11"/>
  <c r="D1335" i="11"/>
  <c r="B1335" i="11"/>
  <c r="A1335" i="11"/>
  <c r="C1334" i="11"/>
  <c r="I1334" i="11"/>
  <c r="E1334" i="11"/>
  <c r="D1334" i="11"/>
  <c r="B1334" i="11"/>
  <c r="A1334" i="11"/>
  <c r="C1333" i="11"/>
  <c r="I1333" i="11"/>
  <c r="E1333" i="11"/>
  <c r="D1333" i="11"/>
  <c r="B1333" i="11"/>
  <c r="A1333" i="11"/>
  <c r="C1332" i="11"/>
  <c r="I1332" i="11"/>
  <c r="E1332" i="11"/>
  <c r="D1332" i="11"/>
  <c r="B1332" i="11"/>
  <c r="A1332" i="11"/>
  <c r="C1331" i="11"/>
  <c r="I1331" i="11"/>
  <c r="E1331" i="11"/>
  <c r="D1331" i="11"/>
  <c r="B1331" i="11"/>
  <c r="A1331" i="11"/>
  <c r="C1330" i="11"/>
  <c r="I1330" i="11"/>
  <c r="E1330" i="11"/>
  <c r="D1330" i="11"/>
  <c r="B1330" i="11"/>
  <c r="A1330" i="11"/>
  <c r="C1329" i="11"/>
  <c r="I1329" i="11"/>
  <c r="E1329" i="11"/>
  <c r="D1329" i="11"/>
  <c r="B1329" i="11"/>
  <c r="A1329" i="11"/>
  <c r="C1328" i="11"/>
  <c r="I1328" i="11"/>
  <c r="E1328" i="11"/>
  <c r="D1328" i="11"/>
  <c r="B1328" i="11"/>
  <c r="A1328" i="11"/>
  <c r="C1327" i="11"/>
  <c r="I1327" i="11"/>
  <c r="E1327" i="11"/>
  <c r="D1327" i="11"/>
  <c r="B1327" i="11"/>
  <c r="A1327" i="11"/>
  <c r="C1326" i="11"/>
  <c r="I1326" i="11"/>
  <c r="E1326" i="11"/>
  <c r="D1326" i="11"/>
  <c r="B1326" i="11"/>
  <c r="A1326" i="11"/>
  <c r="C1325" i="11"/>
  <c r="I1325" i="11"/>
  <c r="E1325" i="11"/>
  <c r="D1325" i="11"/>
  <c r="B1325" i="11"/>
  <c r="A1325" i="11"/>
  <c r="C1324" i="11"/>
  <c r="I1324" i="11"/>
  <c r="E1324" i="11"/>
  <c r="D1324" i="11"/>
  <c r="B1324" i="11"/>
  <c r="A1324" i="11"/>
  <c r="C1323" i="11"/>
  <c r="I1323" i="11"/>
  <c r="E1323" i="11"/>
  <c r="D1323" i="11"/>
  <c r="B1323" i="11"/>
  <c r="A1323" i="11"/>
  <c r="C1362" i="11"/>
  <c r="I1362" i="11"/>
  <c r="E1362" i="11"/>
  <c r="D1362" i="11"/>
  <c r="B1362" i="11"/>
  <c r="A1362" i="11"/>
  <c r="C1361" i="11"/>
  <c r="I1361" i="11"/>
  <c r="E1361" i="11"/>
  <c r="D1361" i="11"/>
  <c r="B1361" i="11"/>
  <c r="A1361" i="11"/>
  <c r="C1360" i="11"/>
  <c r="I1360" i="11"/>
  <c r="E1360" i="11"/>
  <c r="D1360" i="11"/>
  <c r="B1360" i="11"/>
  <c r="A1360" i="11"/>
  <c r="C1359" i="11"/>
  <c r="I1359" i="11"/>
  <c r="E1359" i="11"/>
  <c r="D1359" i="11"/>
  <c r="B1359" i="11"/>
  <c r="A1359" i="11"/>
  <c r="C1358" i="11"/>
  <c r="I1358" i="11"/>
  <c r="E1358" i="11"/>
  <c r="D1358" i="11"/>
  <c r="B1358" i="11"/>
  <c r="A1358" i="11"/>
  <c r="C1357" i="11"/>
  <c r="I1357" i="11"/>
  <c r="E1357" i="11"/>
  <c r="D1357" i="11"/>
  <c r="B1357" i="11"/>
  <c r="A1357" i="11"/>
  <c r="C1356" i="11"/>
  <c r="I1356" i="11"/>
  <c r="E1356" i="11"/>
  <c r="D1356" i="11"/>
  <c r="B1356" i="11"/>
  <c r="A1356" i="11"/>
  <c r="C1355" i="11"/>
  <c r="I1355" i="11"/>
  <c r="E1355" i="11"/>
  <c r="D1355" i="11"/>
  <c r="B1355" i="11"/>
  <c r="A1355" i="11"/>
  <c r="C1354" i="11"/>
  <c r="I1354" i="11"/>
  <c r="E1354" i="11"/>
  <c r="D1354" i="11"/>
  <c r="B1354" i="11"/>
  <c r="A1354" i="11"/>
  <c r="C1353" i="11"/>
  <c r="I1353" i="11"/>
  <c r="E1353" i="11"/>
  <c r="D1353" i="11"/>
  <c r="B1353" i="11"/>
  <c r="A1353" i="11"/>
  <c r="C1352" i="11"/>
  <c r="I1352" i="11"/>
  <c r="E1352" i="11"/>
  <c r="D1352" i="11"/>
  <c r="B1352" i="11"/>
  <c r="A1352" i="11"/>
  <c r="C1351" i="11"/>
  <c r="I1351" i="11"/>
  <c r="E1351" i="11"/>
  <c r="D1351" i="11"/>
  <c r="B1351" i="11"/>
  <c r="A1351" i="11"/>
  <c r="C1350" i="11"/>
  <c r="I1350" i="11"/>
  <c r="E1350" i="11"/>
  <c r="D1350" i="11"/>
  <c r="B1350" i="11"/>
  <c r="A1350" i="11"/>
  <c r="C1349" i="11"/>
  <c r="I1349" i="11"/>
  <c r="E1349" i="11"/>
  <c r="D1349" i="11"/>
  <c r="B1349" i="11"/>
  <c r="A1349" i="11"/>
  <c r="C1348" i="11"/>
  <c r="I1348" i="11"/>
  <c r="E1348" i="11"/>
  <c r="D1348" i="11"/>
  <c r="B1348" i="11"/>
  <c r="A1348" i="11"/>
  <c r="C1347" i="11"/>
  <c r="I1347" i="11"/>
  <c r="E1347" i="11"/>
  <c r="D1347" i="11"/>
  <c r="B1347" i="11"/>
  <c r="A1347" i="11"/>
  <c r="C1346" i="11"/>
  <c r="I1346" i="11"/>
  <c r="E1346" i="11"/>
  <c r="D1346" i="11"/>
  <c r="B1346" i="11"/>
  <c r="A1346" i="11"/>
  <c r="C1345" i="11"/>
  <c r="I1345" i="11"/>
  <c r="E1345" i="11"/>
  <c r="D1345" i="11"/>
  <c r="B1345" i="11"/>
  <c r="A1345" i="11"/>
  <c r="C1344" i="11"/>
  <c r="I1344" i="11"/>
  <c r="E1344" i="11"/>
  <c r="D1344" i="11"/>
  <c r="B1344" i="11"/>
  <c r="A1344" i="11"/>
  <c r="C1343" i="11"/>
  <c r="I1343" i="11"/>
  <c r="E1343" i="11"/>
  <c r="D1343" i="11"/>
  <c r="B1343" i="11"/>
  <c r="A1343" i="11"/>
  <c r="M112" i="34"/>
  <c r="L112" i="34"/>
  <c r="F112" i="34"/>
  <c r="E112" i="34"/>
  <c r="M111" i="34"/>
  <c r="L111" i="34"/>
  <c r="F111" i="34"/>
  <c r="E111" i="34"/>
  <c r="M110" i="34"/>
  <c r="L110" i="34"/>
  <c r="F110" i="34"/>
  <c r="E110" i="34"/>
  <c r="M109" i="34"/>
  <c r="L109" i="34"/>
  <c r="F109" i="34"/>
  <c r="E109" i="34"/>
  <c r="M108" i="34"/>
  <c r="L108" i="34"/>
  <c r="F108" i="34"/>
  <c r="E108" i="34"/>
  <c r="M107" i="34"/>
  <c r="L107" i="34"/>
  <c r="F107" i="34"/>
  <c r="E107" i="34"/>
  <c r="M106" i="34"/>
  <c r="L106" i="34"/>
  <c r="F106" i="34"/>
  <c r="E106" i="34"/>
  <c r="M105" i="34"/>
  <c r="L105" i="34"/>
  <c r="F105" i="34"/>
  <c r="E105" i="34"/>
  <c r="M104" i="34"/>
  <c r="L104" i="34"/>
  <c r="F104" i="34"/>
  <c r="E104" i="34"/>
  <c r="M103" i="34"/>
  <c r="L103" i="34"/>
  <c r="F103" i="34"/>
  <c r="E103" i="34"/>
  <c r="M102" i="34"/>
  <c r="L102" i="34"/>
  <c r="F102" i="34"/>
  <c r="E102" i="34"/>
  <c r="M101" i="34"/>
  <c r="L101" i="34"/>
  <c r="F101" i="34"/>
  <c r="E101" i="34"/>
  <c r="M100" i="34"/>
  <c r="L100" i="34"/>
  <c r="F100" i="34"/>
  <c r="E100" i="34"/>
  <c r="M99" i="34"/>
  <c r="L99" i="34"/>
  <c r="F99" i="34"/>
  <c r="E99" i="34"/>
  <c r="M98" i="34"/>
  <c r="L98" i="34"/>
  <c r="F98" i="34"/>
  <c r="E98" i="34"/>
  <c r="M97" i="34"/>
  <c r="L97" i="34"/>
  <c r="F97" i="34"/>
  <c r="E97" i="34"/>
  <c r="M96" i="34"/>
  <c r="L96" i="34"/>
  <c r="F96" i="34"/>
  <c r="E96" i="34"/>
  <c r="M95" i="34"/>
  <c r="L95" i="34"/>
  <c r="F95" i="34"/>
  <c r="E95" i="34"/>
  <c r="M94" i="34"/>
  <c r="L94" i="34"/>
  <c r="F94" i="34"/>
  <c r="E94" i="34"/>
  <c r="M93" i="34"/>
  <c r="L93" i="34"/>
  <c r="F93" i="34"/>
  <c r="E93" i="34"/>
  <c r="C2102" i="11"/>
  <c r="I2102" i="11"/>
  <c r="F2102" i="11"/>
  <c r="E2102" i="11"/>
  <c r="D2102" i="11"/>
  <c r="B2102" i="11"/>
  <c r="A2102" i="11"/>
  <c r="C2101" i="11"/>
  <c r="I2101" i="11"/>
  <c r="F2101" i="11"/>
  <c r="E2101" i="11"/>
  <c r="D2101" i="11"/>
  <c r="B2101" i="11"/>
  <c r="A2101" i="11"/>
  <c r="C2100" i="11"/>
  <c r="I2100" i="11"/>
  <c r="F2100" i="11"/>
  <c r="E2100" i="11"/>
  <c r="D2100" i="11"/>
  <c r="B2100" i="11"/>
  <c r="A2100" i="11"/>
  <c r="C2099" i="11"/>
  <c r="I2099" i="11"/>
  <c r="F2099" i="11"/>
  <c r="E2099" i="11"/>
  <c r="D2099" i="11"/>
  <c r="B2099" i="11"/>
  <c r="A2099" i="11"/>
  <c r="C2122" i="11"/>
  <c r="I2122" i="11"/>
  <c r="F2122" i="11"/>
  <c r="E2122" i="11"/>
  <c r="D2122" i="11"/>
  <c r="B2122" i="11"/>
  <c r="A2122" i="11"/>
  <c r="C2121" i="11"/>
  <c r="I2121" i="11"/>
  <c r="F2121" i="11"/>
  <c r="E2121" i="11"/>
  <c r="D2121" i="11"/>
  <c r="B2121" i="11"/>
  <c r="A2121" i="11"/>
  <c r="C2120" i="11"/>
  <c r="I2120" i="11"/>
  <c r="F2120" i="11"/>
  <c r="E2120" i="11"/>
  <c r="D2120" i="11"/>
  <c r="B2120" i="11"/>
  <c r="A2120" i="11"/>
  <c r="C2119" i="11"/>
  <c r="I2119" i="11"/>
  <c r="F2119" i="11"/>
  <c r="E2119" i="11"/>
  <c r="D2119" i="11"/>
  <c r="B2119" i="11"/>
  <c r="A2119" i="11"/>
  <c r="C2142" i="11"/>
  <c r="I2142" i="11"/>
  <c r="F2142" i="11"/>
  <c r="E2142" i="11"/>
  <c r="D2142" i="11"/>
  <c r="B2142" i="11"/>
  <c r="A2142" i="11"/>
  <c r="C2141" i="11"/>
  <c r="I2141" i="11"/>
  <c r="F2141" i="11"/>
  <c r="E2141" i="11"/>
  <c r="D2141" i="11"/>
  <c r="B2141" i="11"/>
  <c r="A2141" i="11"/>
  <c r="C2140" i="11"/>
  <c r="I2140" i="11"/>
  <c r="F2140" i="11"/>
  <c r="E2140" i="11"/>
  <c r="D2140" i="11"/>
  <c r="B2140" i="11"/>
  <c r="A2140" i="11"/>
  <c r="C2139" i="11"/>
  <c r="I2139" i="11"/>
  <c r="F2139" i="11"/>
  <c r="E2139" i="11"/>
  <c r="D2139" i="11"/>
  <c r="B2139" i="11"/>
  <c r="A2139" i="11"/>
  <c r="C2138" i="11"/>
  <c r="I2138" i="11"/>
  <c r="F2138" i="11"/>
  <c r="E2138" i="11"/>
  <c r="D2138" i="11"/>
  <c r="B2138" i="11"/>
  <c r="A2138" i="11"/>
  <c r="C2137" i="11"/>
  <c r="I2137" i="11"/>
  <c r="F2137" i="11"/>
  <c r="E2137" i="11"/>
  <c r="D2137" i="11"/>
  <c r="B2137" i="11"/>
  <c r="A2137" i="11"/>
  <c r="C2136" i="11"/>
  <c r="I2136" i="11"/>
  <c r="F2136" i="11"/>
  <c r="E2136" i="11"/>
  <c r="D2136" i="11"/>
  <c r="B2136" i="11"/>
  <c r="A2136" i="11"/>
  <c r="C2135" i="11"/>
  <c r="I2135" i="11"/>
  <c r="F2135" i="11"/>
  <c r="E2135" i="11"/>
  <c r="D2135" i="11"/>
  <c r="B2135" i="11"/>
  <c r="A2135" i="11"/>
  <c r="C2134" i="11"/>
  <c r="I2134" i="11"/>
  <c r="F2134" i="11"/>
  <c r="E2134" i="11"/>
  <c r="D2134" i="11"/>
  <c r="B2134" i="11"/>
  <c r="A2134" i="11"/>
  <c r="C2133" i="11"/>
  <c r="I2133" i="11"/>
  <c r="F2133" i="11"/>
  <c r="E2133" i="11"/>
  <c r="D2133" i="11"/>
  <c r="B2133" i="11"/>
  <c r="A2133" i="11"/>
  <c r="C2132" i="11"/>
  <c r="I2132" i="11"/>
  <c r="F2132" i="11"/>
  <c r="E2132" i="11"/>
  <c r="D2132" i="11"/>
  <c r="B2132" i="11"/>
  <c r="A2132" i="11"/>
  <c r="C2131" i="11"/>
  <c r="I2131" i="11"/>
  <c r="F2131" i="11"/>
  <c r="E2131" i="11"/>
  <c r="D2131" i="11"/>
  <c r="B2131" i="11"/>
  <c r="A2131" i="11"/>
  <c r="C2162" i="11"/>
  <c r="I2162" i="11"/>
  <c r="F2162" i="11"/>
  <c r="E2162" i="11"/>
  <c r="D2162" i="11"/>
  <c r="B2162" i="11"/>
  <c r="A2162" i="11"/>
  <c r="C2161" i="11"/>
  <c r="I2161" i="11"/>
  <c r="F2161" i="11"/>
  <c r="E2161" i="11"/>
  <c r="D2161" i="11"/>
  <c r="B2161" i="11"/>
  <c r="A2161" i="11"/>
  <c r="C2160" i="11"/>
  <c r="I2160" i="11"/>
  <c r="F2160" i="11"/>
  <c r="E2160" i="11"/>
  <c r="D2160" i="11"/>
  <c r="B2160" i="11"/>
  <c r="A2160" i="11"/>
  <c r="C2159" i="11"/>
  <c r="I2159" i="11"/>
  <c r="F2159" i="11"/>
  <c r="E2159" i="11"/>
  <c r="D2159" i="11"/>
  <c r="B2159" i="11"/>
  <c r="A2159" i="11"/>
  <c r="C2158" i="11"/>
  <c r="I2158" i="11"/>
  <c r="F2158" i="11"/>
  <c r="E2158" i="11"/>
  <c r="D2158" i="11"/>
  <c r="B2158" i="11"/>
  <c r="A2158" i="11"/>
  <c r="C2157" i="11"/>
  <c r="I2157" i="11"/>
  <c r="F2157" i="11"/>
  <c r="E2157" i="11"/>
  <c r="D2157" i="11"/>
  <c r="B2157" i="11"/>
  <c r="A2157" i="11"/>
  <c r="C2156" i="11"/>
  <c r="I2156" i="11"/>
  <c r="F2156" i="11"/>
  <c r="E2156" i="11"/>
  <c r="D2156" i="11"/>
  <c r="B2156" i="11"/>
  <c r="A2156" i="11"/>
  <c r="C2155" i="11"/>
  <c r="I2155" i="11"/>
  <c r="F2155" i="11"/>
  <c r="E2155" i="11"/>
  <c r="D2155" i="11"/>
  <c r="B2155" i="11"/>
  <c r="A2155" i="11"/>
  <c r="C2154" i="11"/>
  <c r="I2154" i="11"/>
  <c r="F2154" i="11"/>
  <c r="E2154" i="11"/>
  <c r="D2154" i="11"/>
  <c r="B2154" i="11"/>
  <c r="A2154" i="11"/>
  <c r="C2153" i="11"/>
  <c r="I2153" i="11"/>
  <c r="F2153" i="11"/>
  <c r="E2153" i="11"/>
  <c r="D2153" i="11"/>
  <c r="B2153" i="11"/>
  <c r="A2153" i="11"/>
  <c r="C2152" i="11"/>
  <c r="I2152" i="11"/>
  <c r="F2152" i="11"/>
  <c r="E2152" i="11"/>
  <c r="D2152" i="11"/>
  <c r="B2152" i="11"/>
  <c r="A2152" i="11"/>
  <c r="C2151" i="11"/>
  <c r="I2151" i="11"/>
  <c r="F2151" i="11"/>
  <c r="E2151" i="11"/>
  <c r="D2151" i="11"/>
  <c r="B2151" i="11"/>
  <c r="A2151" i="11"/>
  <c r="C2182" i="11"/>
  <c r="I2182" i="11"/>
  <c r="F2182" i="11"/>
  <c r="E2182" i="11"/>
  <c r="D2182" i="11"/>
  <c r="B2182" i="11"/>
  <c r="A2182" i="11"/>
  <c r="C2181" i="11"/>
  <c r="I2181" i="11"/>
  <c r="F2181" i="11"/>
  <c r="E2181" i="11"/>
  <c r="D2181" i="11"/>
  <c r="B2181" i="11"/>
  <c r="A2181" i="11"/>
  <c r="C2180" i="11"/>
  <c r="I2180" i="11"/>
  <c r="F2180" i="11"/>
  <c r="E2180" i="11"/>
  <c r="D2180" i="11"/>
  <c r="B2180" i="11"/>
  <c r="A2180" i="11"/>
  <c r="C2179" i="11"/>
  <c r="I2179" i="11"/>
  <c r="F2179" i="11"/>
  <c r="E2179" i="11"/>
  <c r="D2179" i="11"/>
  <c r="B2179" i="11"/>
  <c r="A2179" i="11"/>
  <c r="C2178" i="11"/>
  <c r="I2178" i="11"/>
  <c r="F2178" i="11"/>
  <c r="E2178" i="11"/>
  <c r="D2178" i="11"/>
  <c r="B2178" i="11"/>
  <c r="A2178" i="11"/>
  <c r="C2177" i="11"/>
  <c r="I2177" i="11"/>
  <c r="F2177" i="11"/>
  <c r="E2177" i="11"/>
  <c r="D2177" i="11"/>
  <c r="B2177" i="11"/>
  <c r="A2177" i="11"/>
  <c r="C2176" i="11"/>
  <c r="I2176" i="11"/>
  <c r="F2176" i="11"/>
  <c r="E2176" i="11"/>
  <c r="D2176" i="11"/>
  <c r="B2176" i="11"/>
  <c r="C2175" i="11"/>
  <c r="I2175" i="11"/>
  <c r="F2175" i="11"/>
  <c r="E2175" i="11"/>
  <c r="D2175" i="11"/>
  <c r="B2175" i="11"/>
  <c r="A2175" i="11"/>
  <c r="C2174" i="11"/>
  <c r="I2174" i="11"/>
  <c r="F2174" i="11"/>
  <c r="E2174" i="11"/>
  <c r="D2174" i="11"/>
  <c r="B2174" i="11"/>
  <c r="A2174" i="11"/>
  <c r="C2173" i="11"/>
  <c r="I2173" i="11"/>
  <c r="F2173" i="11"/>
  <c r="E2173" i="11"/>
  <c r="D2173" i="11"/>
  <c r="B2173" i="11"/>
  <c r="A2173" i="11"/>
  <c r="C2172" i="11"/>
  <c r="I2172" i="11"/>
  <c r="F2172" i="11"/>
  <c r="E2172" i="11"/>
  <c r="D2172" i="11"/>
  <c r="B2172" i="11"/>
  <c r="A2172" i="11"/>
  <c r="C2171" i="11"/>
  <c r="I2171" i="11"/>
  <c r="F2171" i="11"/>
  <c r="E2171" i="11"/>
  <c r="D2171" i="11"/>
  <c r="B2171" i="11"/>
  <c r="A2171" i="11"/>
  <c r="G172" i="24"/>
  <c r="E172" i="24"/>
  <c r="G171" i="24"/>
  <c r="E171" i="24"/>
  <c r="G170" i="24"/>
  <c r="E170" i="24"/>
  <c r="G169" i="24"/>
  <c r="E169" i="24"/>
  <c r="G168" i="24"/>
  <c r="E168" i="24"/>
  <c r="G167" i="24"/>
  <c r="E167" i="24"/>
  <c r="G166" i="24"/>
  <c r="E166" i="24"/>
  <c r="G165" i="24"/>
  <c r="E165" i="24"/>
  <c r="G164" i="24"/>
  <c r="E164" i="24"/>
  <c r="G163" i="24"/>
  <c r="E163" i="24"/>
  <c r="G162" i="24"/>
  <c r="E162" i="24"/>
  <c r="G161" i="24"/>
  <c r="E161" i="24"/>
  <c r="G149" i="24"/>
  <c r="E149" i="24"/>
  <c r="G148" i="24"/>
  <c r="E148" i="24"/>
  <c r="G147" i="24"/>
  <c r="E147" i="24"/>
  <c r="G146" i="24"/>
  <c r="E146" i="24"/>
  <c r="G145" i="24"/>
  <c r="E145" i="24"/>
  <c r="G144" i="24"/>
  <c r="E144" i="24"/>
  <c r="G143" i="24"/>
  <c r="E143" i="24"/>
  <c r="G142" i="24"/>
  <c r="E142" i="24"/>
  <c r="G141" i="24"/>
  <c r="E141" i="24"/>
  <c r="G140" i="24"/>
  <c r="E140" i="24"/>
  <c r="G139" i="24"/>
  <c r="E139" i="24"/>
  <c r="G138" i="24"/>
  <c r="E138" i="24"/>
  <c r="G125" i="24"/>
  <c r="E125" i="24"/>
  <c r="G124" i="24"/>
  <c r="E124" i="24"/>
  <c r="G123" i="24"/>
  <c r="E123" i="24"/>
  <c r="G122" i="24"/>
  <c r="E122" i="24"/>
  <c r="G121" i="24"/>
  <c r="E121" i="24"/>
  <c r="G120" i="24"/>
  <c r="E120" i="24"/>
  <c r="G119" i="24"/>
  <c r="E119" i="24"/>
  <c r="G118" i="24"/>
  <c r="E118" i="24"/>
  <c r="G117" i="24"/>
  <c r="E117" i="24"/>
  <c r="G116" i="24"/>
  <c r="E116" i="24"/>
  <c r="G115" i="24"/>
  <c r="E115" i="24"/>
  <c r="G114" i="24"/>
  <c r="E114" i="24"/>
  <c r="G102" i="24"/>
  <c r="E102" i="24"/>
  <c r="G101" i="24"/>
  <c r="E101" i="24"/>
  <c r="G100" i="24"/>
  <c r="E100" i="24"/>
  <c r="G99" i="24"/>
  <c r="E99" i="24"/>
  <c r="G98" i="24"/>
  <c r="E98" i="24"/>
  <c r="G97" i="24"/>
  <c r="E97" i="24"/>
  <c r="G96" i="24"/>
  <c r="E96" i="24"/>
  <c r="G95" i="24"/>
  <c r="E95" i="24"/>
  <c r="G94" i="24"/>
  <c r="E94" i="24"/>
  <c r="G93" i="24"/>
  <c r="E93" i="24"/>
  <c r="G92" i="24"/>
  <c r="E92" i="24"/>
  <c r="G91" i="24"/>
  <c r="E91" i="24"/>
  <c r="G71" i="24"/>
  <c r="E71" i="24"/>
  <c r="G70" i="24"/>
  <c r="E70" i="24"/>
  <c r="G69" i="24"/>
  <c r="E69" i="24"/>
  <c r="G68" i="24"/>
  <c r="E68" i="24"/>
  <c r="G67" i="24"/>
  <c r="E67" i="24"/>
  <c r="G66" i="24"/>
  <c r="E66" i="24"/>
  <c r="G65" i="24"/>
  <c r="E65" i="24"/>
  <c r="G64" i="24"/>
  <c r="E64" i="24"/>
  <c r="G63" i="24"/>
  <c r="E63" i="24"/>
  <c r="G62" i="24"/>
  <c r="E62" i="24"/>
  <c r="G61" i="24"/>
  <c r="E61" i="24"/>
  <c r="G60" i="24"/>
  <c r="E60" i="24"/>
  <c r="G48" i="24"/>
  <c r="E48" i="24"/>
  <c r="G47" i="24"/>
  <c r="E47" i="24"/>
  <c r="G46" i="24"/>
  <c r="E46" i="24"/>
  <c r="G45" i="24"/>
  <c r="E45" i="24"/>
  <c r="G25" i="24"/>
  <c r="E25" i="24"/>
  <c r="G24" i="24"/>
  <c r="E24" i="24"/>
  <c r="G23" i="24"/>
  <c r="E23" i="24"/>
  <c r="G22" i="24"/>
  <c r="E22" i="24"/>
  <c r="C1423" i="11"/>
  <c r="I1423" i="11"/>
  <c r="E1423" i="11"/>
  <c r="D1423" i="11"/>
  <c r="B1423" i="11"/>
  <c r="A1423" i="11"/>
  <c r="C1422" i="11"/>
  <c r="I1422" i="11"/>
  <c r="E1422" i="11"/>
  <c r="D1422" i="11"/>
  <c r="B1422" i="11"/>
  <c r="A1422" i="11"/>
  <c r="C1421" i="11"/>
  <c r="I1421" i="11"/>
  <c r="E1421" i="11"/>
  <c r="D1421" i="11"/>
  <c r="B1421" i="11"/>
  <c r="A1421" i="11"/>
  <c r="C1420" i="11"/>
  <c r="I1420" i="11"/>
  <c r="E1420" i="11"/>
  <c r="D1420" i="11"/>
  <c r="B1420" i="11"/>
  <c r="A1420" i="11"/>
  <c r="C1403" i="11"/>
  <c r="I1403" i="11"/>
  <c r="E1403" i="11"/>
  <c r="D1403" i="11"/>
  <c r="B1403" i="11"/>
  <c r="A1403" i="11"/>
  <c r="C1402" i="11"/>
  <c r="I1402" i="11"/>
  <c r="E1402" i="11"/>
  <c r="D1402" i="11"/>
  <c r="B1402" i="11"/>
  <c r="A1402" i="11"/>
  <c r="C1401" i="11"/>
  <c r="I1401" i="11"/>
  <c r="E1401" i="11"/>
  <c r="D1401" i="11"/>
  <c r="B1401" i="11"/>
  <c r="A1401" i="11"/>
  <c r="C1400" i="11"/>
  <c r="I1400" i="11"/>
  <c r="E1400" i="11"/>
  <c r="D1400" i="11"/>
  <c r="B1400" i="11"/>
  <c r="A1400" i="11"/>
  <c r="C2082" i="11"/>
  <c r="I2082" i="11"/>
  <c r="E2082" i="11"/>
  <c r="D2082" i="11"/>
  <c r="B2082" i="11"/>
  <c r="A2082" i="11"/>
  <c r="C2081" i="11"/>
  <c r="I2081" i="11"/>
  <c r="E2081" i="11"/>
  <c r="D2081" i="11"/>
  <c r="B2081" i="11"/>
  <c r="A2081" i="11"/>
  <c r="C2080" i="11"/>
  <c r="I2080" i="11"/>
  <c r="E2080" i="11"/>
  <c r="D2080" i="11"/>
  <c r="B2080" i="11"/>
  <c r="A2080" i="11"/>
  <c r="C2079" i="11"/>
  <c r="I2079" i="11"/>
  <c r="E2079" i="11"/>
  <c r="D2079" i="11"/>
  <c r="B2079" i="11"/>
  <c r="A2079" i="11"/>
  <c r="C2062" i="11"/>
  <c r="I2062" i="11"/>
  <c r="E2062" i="11"/>
  <c r="D2062" i="11"/>
  <c r="B2062" i="11"/>
  <c r="A2062" i="11"/>
  <c r="C2061" i="11"/>
  <c r="I2061" i="11"/>
  <c r="E2061" i="11"/>
  <c r="D2061" i="11"/>
  <c r="B2061" i="11"/>
  <c r="A2061" i="11"/>
  <c r="C2060" i="11"/>
  <c r="I2060" i="11"/>
  <c r="E2060" i="11"/>
  <c r="D2060" i="11"/>
  <c r="B2060" i="11"/>
  <c r="A2060" i="11"/>
  <c r="C2059" i="11"/>
  <c r="I2059" i="11"/>
  <c r="E2059" i="11"/>
  <c r="D2059" i="11"/>
  <c r="B2059" i="11"/>
  <c r="A2059" i="11"/>
  <c r="M49" i="9"/>
  <c r="L49" i="9"/>
  <c r="M48" i="9"/>
  <c r="L48" i="9"/>
  <c r="M47" i="9"/>
  <c r="L47" i="9"/>
  <c r="M46" i="9"/>
  <c r="L46" i="9"/>
  <c r="F49" i="9"/>
  <c r="E49" i="9"/>
  <c r="F48" i="9"/>
  <c r="E48" i="9"/>
  <c r="F47" i="9"/>
  <c r="E47" i="9"/>
  <c r="F46" i="9"/>
  <c r="E46" i="9"/>
  <c r="M24" i="9"/>
  <c r="L24" i="9"/>
  <c r="M23" i="9"/>
  <c r="L23" i="9"/>
  <c r="M22" i="9"/>
  <c r="L22" i="9"/>
  <c r="M21" i="9"/>
  <c r="L21" i="9"/>
  <c r="F24" i="9"/>
  <c r="E24" i="9"/>
  <c r="F23" i="9"/>
  <c r="E23" i="9"/>
  <c r="F22" i="9"/>
  <c r="E22" i="9"/>
  <c r="F21" i="9"/>
  <c r="E21" i="9"/>
  <c r="C1433" i="11"/>
  <c r="I1433" i="11"/>
  <c r="E1433" i="11"/>
  <c r="D1433" i="11"/>
  <c r="B1433" i="11"/>
  <c r="A1433" i="11"/>
  <c r="E1432" i="11"/>
  <c r="D1432" i="11"/>
  <c r="C1432" i="11"/>
  <c r="B1432" i="11"/>
  <c r="E1431" i="11"/>
  <c r="D1431" i="11"/>
  <c r="C1431" i="11"/>
  <c r="B1431" i="11"/>
  <c r="E1430" i="11"/>
  <c r="D1430" i="11"/>
  <c r="C1430" i="11"/>
  <c r="B1430" i="11"/>
  <c r="E1429" i="11"/>
  <c r="D1429" i="11"/>
  <c r="C1429" i="11"/>
  <c r="B1429" i="11"/>
  <c r="E1428" i="11"/>
  <c r="D1428" i="11"/>
  <c r="C1428" i="11"/>
  <c r="B1428" i="11"/>
  <c r="E1427" i="11"/>
  <c r="D1427" i="11"/>
  <c r="C1427" i="11"/>
  <c r="B1427" i="11"/>
  <c r="E1426" i="11"/>
  <c r="D1426" i="11"/>
  <c r="C1426" i="11"/>
  <c r="B1426" i="11"/>
  <c r="E1425" i="11"/>
  <c r="D1425" i="11"/>
  <c r="C1425" i="11"/>
  <c r="B1425" i="11"/>
  <c r="E1424" i="11"/>
  <c r="D1424" i="11"/>
  <c r="C1424" i="11"/>
  <c r="B1424" i="11"/>
  <c r="I1432" i="11"/>
  <c r="A1432" i="11"/>
  <c r="I1431" i="11"/>
  <c r="A1431" i="11"/>
  <c r="I1430" i="11"/>
  <c r="A1430" i="11"/>
  <c r="I1429" i="11"/>
  <c r="A1429" i="11"/>
  <c r="I1428" i="11"/>
  <c r="A1428" i="11"/>
  <c r="I1427" i="11"/>
  <c r="A1427" i="11"/>
  <c r="I1426" i="11"/>
  <c r="A1426" i="11"/>
  <c r="I1425" i="11"/>
  <c r="A1425" i="11"/>
  <c r="I1424" i="11"/>
  <c r="A1424" i="11"/>
  <c r="E1806" i="11"/>
  <c r="D1806" i="11"/>
  <c r="C1806" i="11"/>
  <c r="B1806" i="11"/>
  <c r="E1805" i="11"/>
  <c r="D1805" i="11"/>
  <c r="C1805" i="11"/>
  <c r="B1805" i="11"/>
  <c r="E1804" i="11"/>
  <c r="D1804" i="11"/>
  <c r="C1804" i="11"/>
  <c r="B1804" i="11"/>
  <c r="E1803" i="11"/>
  <c r="D1803" i="11"/>
  <c r="C1803" i="11"/>
  <c r="B1803" i="11"/>
  <c r="E1802" i="11"/>
  <c r="D1802" i="11"/>
  <c r="C1802" i="11"/>
  <c r="B1802" i="11"/>
  <c r="E1801" i="11"/>
  <c r="D1801" i="11"/>
  <c r="C1801" i="11"/>
  <c r="B1801" i="11"/>
  <c r="E1800" i="11"/>
  <c r="D1800" i="11"/>
  <c r="C1800" i="11"/>
  <c r="B1800" i="11"/>
  <c r="E1799" i="11"/>
  <c r="D1799" i="11"/>
  <c r="C1799" i="11"/>
  <c r="B1799" i="11"/>
  <c r="E1798" i="11"/>
  <c r="D1798" i="11"/>
  <c r="C1798" i="11"/>
  <c r="B1798" i="11"/>
  <c r="E1797" i="11"/>
  <c r="D1797" i="11"/>
  <c r="C1797" i="11"/>
  <c r="B1797" i="11"/>
  <c r="I1806" i="11"/>
  <c r="A1806" i="11"/>
  <c r="I1805" i="11"/>
  <c r="A1805" i="11"/>
  <c r="I1804" i="11"/>
  <c r="A1804" i="11"/>
  <c r="I1803" i="11"/>
  <c r="A1803" i="11"/>
  <c r="I1802" i="11"/>
  <c r="A1802" i="11"/>
  <c r="I1801" i="11"/>
  <c r="A1801" i="11"/>
  <c r="I1800" i="11"/>
  <c r="A1800" i="11"/>
  <c r="I1799" i="11"/>
  <c r="A1799" i="11"/>
  <c r="I1798" i="11"/>
  <c r="A1798" i="11"/>
  <c r="I1797" i="11"/>
  <c r="A1797" i="11"/>
  <c r="E1683" i="11"/>
  <c r="D1683" i="11"/>
  <c r="C1683" i="11"/>
  <c r="E1682" i="11"/>
  <c r="D1682" i="11"/>
  <c r="C1682" i="11"/>
  <c r="E1681" i="11"/>
  <c r="D1681" i="11"/>
  <c r="C1681" i="11"/>
  <c r="E1680" i="11"/>
  <c r="D1680" i="11"/>
  <c r="C1680" i="11"/>
  <c r="E1679" i="11"/>
  <c r="D1679" i="11"/>
  <c r="C1679" i="11"/>
  <c r="E1678" i="11"/>
  <c r="D1678" i="11"/>
  <c r="C1678" i="11"/>
  <c r="E1677" i="11"/>
  <c r="D1677" i="11"/>
  <c r="C1677" i="11"/>
  <c r="E1676" i="11"/>
  <c r="D1676" i="11"/>
  <c r="C1676" i="11"/>
  <c r="E1675" i="11"/>
  <c r="D1675" i="11"/>
  <c r="C1675" i="11"/>
  <c r="E1674" i="11"/>
  <c r="D1674" i="11"/>
  <c r="C1674" i="11"/>
  <c r="B1674" i="11"/>
  <c r="I1674" i="11"/>
  <c r="B1675" i="11"/>
  <c r="I1675" i="11"/>
  <c r="B1676" i="11"/>
  <c r="I1676" i="11"/>
  <c r="B1677" i="11"/>
  <c r="I1677" i="11"/>
  <c r="B1678" i="11"/>
  <c r="I1678" i="11"/>
  <c r="B1679" i="11"/>
  <c r="I1679" i="11"/>
  <c r="B1680" i="11"/>
  <c r="I1680" i="11"/>
  <c r="B1681" i="11"/>
  <c r="I1681" i="11"/>
  <c r="B1682" i="11"/>
  <c r="I1682" i="11"/>
  <c r="B1683" i="11"/>
  <c r="I1683" i="11"/>
  <c r="A1683" i="11"/>
  <c r="A1682" i="11"/>
  <c r="A1681" i="11"/>
  <c r="A1680" i="11"/>
  <c r="A1679" i="11"/>
  <c r="A1678" i="11"/>
  <c r="A1677" i="11"/>
  <c r="A1676" i="11"/>
  <c r="A1675" i="11"/>
  <c r="A1674" i="11"/>
  <c r="E1558" i="11"/>
  <c r="D1558" i="11"/>
  <c r="C1558" i="11"/>
  <c r="B1558" i="11"/>
  <c r="E1557" i="11"/>
  <c r="D1557" i="11"/>
  <c r="C1557" i="11"/>
  <c r="B1557" i="11"/>
  <c r="E1556" i="11"/>
  <c r="D1556" i="11"/>
  <c r="C1556" i="11"/>
  <c r="B1556" i="11"/>
  <c r="E1555" i="11"/>
  <c r="D1555" i="11"/>
  <c r="C1555" i="11"/>
  <c r="B1555" i="11"/>
  <c r="E1554" i="11"/>
  <c r="D1554" i="11"/>
  <c r="C1554" i="11"/>
  <c r="B1554" i="11"/>
  <c r="E1553" i="11"/>
  <c r="D1553" i="11"/>
  <c r="C1553" i="11"/>
  <c r="B1553" i="11"/>
  <c r="E1552" i="11"/>
  <c r="D1552" i="11"/>
  <c r="C1552" i="11"/>
  <c r="B1552" i="11"/>
  <c r="E1551" i="11"/>
  <c r="D1551" i="11"/>
  <c r="C1551" i="11"/>
  <c r="B1551" i="11"/>
  <c r="E1550" i="11"/>
  <c r="D1550" i="11"/>
  <c r="C1550" i="11"/>
  <c r="B1550" i="11"/>
  <c r="E1549" i="11"/>
  <c r="D1549" i="11"/>
  <c r="C1549" i="11"/>
  <c r="B1549" i="11"/>
  <c r="I1558" i="11"/>
  <c r="A1558" i="11"/>
  <c r="I1557" i="11"/>
  <c r="A1557" i="11"/>
  <c r="I1556" i="11"/>
  <c r="A1556" i="11"/>
  <c r="I1555" i="11"/>
  <c r="A1555" i="11"/>
  <c r="I1554" i="11"/>
  <c r="A1554" i="11"/>
  <c r="I1553" i="11"/>
  <c r="A1553" i="11"/>
  <c r="I1552" i="11"/>
  <c r="A1552" i="11"/>
  <c r="I1551" i="11"/>
  <c r="A1551" i="11"/>
  <c r="I1550" i="11"/>
  <c r="A1550" i="11"/>
  <c r="I1549" i="11"/>
  <c r="A1549" i="11"/>
  <c r="F15" i="22"/>
  <c r="E15" i="22"/>
  <c r="F14" i="22"/>
  <c r="E14" i="22"/>
  <c r="F13" i="22"/>
  <c r="E13" i="22"/>
  <c r="F12" i="22"/>
  <c r="E12" i="22"/>
  <c r="F11" i="22"/>
  <c r="E11" i="22"/>
  <c r="F10" i="22"/>
  <c r="E10" i="22"/>
  <c r="F9" i="22"/>
  <c r="E9" i="22"/>
  <c r="F8" i="22"/>
  <c r="E8" i="22"/>
  <c r="F7" i="22"/>
  <c r="E7" i="22"/>
  <c r="F6" i="22"/>
  <c r="E6" i="22"/>
  <c r="F14" i="15"/>
  <c r="E14" i="15"/>
  <c r="F13" i="15"/>
  <c r="E13" i="15"/>
  <c r="F12" i="15"/>
  <c r="E12" i="15"/>
  <c r="F11" i="15"/>
  <c r="E11" i="15"/>
  <c r="F10" i="15"/>
  <c r="E10" i="15"/>
  <c r="F9" i="15"/>
  <c r="E9" i="15"/>
  <c r="F8" i="15"/>
  <c r="E8" i="15"/>
  <c r="F7" i="15"/>
  <c r="E7" i="15"/>
  <c r="F6" i="15"/>
  <c r="E6" i="15"/>
  <c r="F5" i="15"/>
  <c r="E5" i="15"/>
  <c r="F14" i="29"/>
  <c r="E14" i="29"/>
  <c r="F13" i="29"/>
  <c r="E13" i="29"/>
  <c r="F12" i="29"/>
  <c r="E12" i="29"/>
  <c r="F11" i="29"/>
  <c r="E11" i="29"/>
  <c r="F10" i="29"/>
  <c r="E10" i="29"/>
  <c r="F9" i="29"/>
  <c r="E9" i="29"/>
  <c r="F8" i="29"/>
  <c r="E8" i="29"/>
  <c r="F7" i="29"/>
  <c r="E7" i="29"/>
  <c r="F6" i="29"/>
  <c r="E6" i="29"/>
  <c r="F5" i="29"/>
  <c r="E5" i="29"/>
  <c r="C1931" i="11"/>
  <c r="I1931" i="11"/>
  <c r="E1931" i="11"/>
  <c r="D1931" i="11"/>
  <c r="B1931" i="11"/>
  <c r="A1931" i="11"/>
  <c r="C1930" i="11"/>
  <c r="I1930" i="11"/>
  <c r="E1930" i="11"/>
  <c r="D1930" i="11"/>
  <c r="B1930" i="11"/>
  <c r="A1930" i="11"/>
  <c r="C1929" i="11"/>
  <c r="I1929" i="11"/>
  <c r="E1929" i="11"/>
  <c r="D1929" i="11"/>
  <c r="B1929" i="11"/>
  <c r="A1929" i="11"/>
  <c r="C1928" i="11"/>
  <c r="I1928" i="11"/>
  <c r="C1927" i="11"/>
  <c r="I1927" i="11"/>
  <c r="A1928" i="11"/>
  <c r="A1927" i="11"/>
  <c r="E1928" i="11"/>
  <c r="D1928" i="11"/>
  <c r="B1928" i="11"/>
  <c r="E1927" i="11"/>
  <c r="D1927" i="11"/>
  <c r="B1927" i="11"/>
  <c r="E1926" i="11"/>
  <c r="D1926" i="11"/>
  <c r="C1926" i="11"/>
  <c r="B1926" i="11"/>
  <c r="E1925" i="11"/>
  <c r="D1925" i="11"/>
  <c r="C1925" i="11"/>
  <c r="B1925" i="11"/>
  <c r="E1924" i="11"/>
  <c r="D1924" i="11"/>
  <c r="C1924" i="11"/>
  <c r="B1924" i="11"/>
  <c r="E1923" i="11"/>
  <c r="D1923" i="11"/>
  <c r="C1923" i="11"/>
  <c r="B1923" i="11"/>
  <c r="E1922" i="11"/>
  <c r="D1922" i="11"/>
  <c r="C1922" i="11"/>
  <c r="B1922" i="11"/>
  <c r="I1926" i="11"/>
  <c r="A1926" i="11"/>
  <c r="I1925" i="11"/>
  <c r="A1925" i="11"/>
  <c r="I1924" i="11"/>
  <c r="A1924" i="11"/>
  <c r="I1923" i="11"/>
  <c r="A1923" i="11"/>
  <c r="I1922" i="11"/>
  <c r="A1922" i="11"/>
  <c r="F14" i="4"/>
  <c r="E14" i="4"/>
  <c r="F13" i="4"/>
  <c r="E13" i="4"/>
  <c r="F12" i="4"/>
  <c r="E12" i="4"/>
  <c r="F11" i="4"/>
  <c r="E11" i="4"/>
  <c r="F10" i="4"/>
  <c r="E10" i="4"/>
  <c r="F9" i="4"/>
  <c r="E9" i="4"/>
  <c r="F8" i="4"/>
  <c r="E8" i="4"/>
  <c r="F7" i="4"/>
  <c r="E7" i="4"/>
  <c r="F6" i="4"/>
  <c r="E6" i="4"/>
  <c r="F5" i="4"/>
  <c r="E5" i="4"/>
  <c r="F14" i="33"/>
  <c r="E14" i="33"/>
  <c r="F13" i="33"/>
  <c r="E13" i="33"/>
  <c r="F12" i="33"/>
  <c r="E12" i="33"/>
  <c r="F11" i="33"/>
  <c r="E11" i="33"/>
  <c r="F10" i="33"/>
  <c r="E10" i="33"/>
  <c r="F9" i="33"/>
  <c r="E9" i="33"/>
  <c r="F8" i="33"/>
  <c r="E8" i="33"/>
  <c r="F7" i="33"/>
  <c r="E7" i="33"/>
  <c r="F6" i="33"/>
  <c r="E6" i="33"/>
  <c r="F5" i="33"/>
  <c r="E5" i="33"/>
  <c r="C282" i="11"/>
  <c r="I282" i="11"/>
  <c r="E282" i="11"/>
  <c r="D282" i="11"/>
  <c r="B282" i="11"/>
  <c r="A282" i="11"/>
  <c r="C281" i="11"/>
  <c r="I281" i="11"/>
  <c r="E281" i="11"/>
  <c r="D281" i="11"/>
  <c r="B281" i="11"/>
  <c r="A281" i="11"/>
  <c r="C280" i="11"/>
  <c r="I280" i="11"/>
  <c r="E280" i="11"/>
  <c r="D280" i="11"/>
  <c r="B280" i="11"/>
  <c r="A280" i="11"/>
  <c r="C279" i="11"/>
  <c r="I279" i="11"/>
  <c r="E279" i="11"/>
  <c r="D279" i="11"/>
  <c r="B279" i="11"/>
  <c r="A279" i="11"/>
  <c r="C278" i="11"/>
  <c r="I278" i="11"/>
  <c r="E278" i="11"/>
  <c r="D278" i="11"/>
  <c r="B278" i="11"/>
  <c r="A278" i="11"/>
  <c r="C277" i="11"/>
  <c r="I277" i="11"/>
  <c r="E277" i="11"/>
  <c r="D277" i="11"/>
  <c r="B277" i="11"/>
  <c r="A277" i="11"/>
  <c r="C276" i="11"/>
  <c r="I276" i="11"/>
  <c r="E276" i="11"/>
  <c r="D276" i="11"/>
  <c r="B276" i="11"/>
  <c r="A276" i="11"/>
  <c r="C275" i="11"/>
  <c r="I275" i="11"/>
  <c r="E275" i="11"/>
  <c r="D275" i="11"/>
  <c r="B275" i="11"/>
  <c r="A275" i="11"/>
  <c r="C274" i="11"/>
  <c r="I274" i="11"/>
  <c r="E274" i="11"/>
  <c r="D274" i="11"/>
  <c r="B274" i="11"/>
  <c r="A274" i="11"/>
  <c r="C273" i="11"/>
  <c r="I273" i="11"/>
  <c r="E273" i="11"/>
  <c r="D273" i="11"/>
  <c r="B273" i="11"/>
  <c r="A273" i="11"/>
  <c r="C272" i="11"/>
  <c r="I272" i="11"/>
  <c r="E272" i="11"/>
  <c r="D272" i="11"/>
  <c r="B272" i="11"/>
  <c r="A272" i="11"/>
  <c r="C271" i="11"/>
  <c r="I271" i="11"/>
  <c r="E271" i="11"/>
  <c r="D271" i="11"/>
  <c r="B271" i="11"/>
  <c r="A271" i="11"/>
  <c r="C270" i="11"/>
  <c r="I270" i="11"/>
  <c r="E270" i="11"/>
  <c r="D270" i="11"/>
  <c r="B270" i="11"/>
  <c r="A270" i="11"/>
  <c r="C269" i="11"/>
  <c r="I269" i="11"/>
  <c r="E269" i="11"/>
  <c r="D269" i="11"/>
  <c r="B269" i="11"/>
  <c r="A269" i="11"/>
  <c r="C268" i="11"/>
  <c r="I268" i="11"/>
  <c r="E268" i="11"/>
  <c r="D268" i="11"/>
  <c r="B268" i="11"/>
  <c r="A268" i="11"/>
  <c r="C267" i="11"/>
  <c r="I267" i="11"/>
  <c r="E267" i="11"/>
  <c r="D267" i="11"/>
  <c r="B267" i="11"/>
  <c r="A267" i="11"/>
  <c r="C266" i="11"/>
  <c r="I266" i="11"/>
  <c r="E266" i="11"/>
  <c r="D266" i="11"/>
  <c r="B266" i="11"/>
  <c r="A266" i="11"/>
  <c r="C265" i="11"/>
  <c r="I265" i="11"/>
  <c r="E265" i="11"/>
  <c r="D265" i="11"/>
  <c r="B265" i="11"/>
  <c r="A265" i="11"/>
  <c r="C264" i="11"/>
  <c r="I264" i="11"/>
  <c r="E264" i="11"/>
  <c r="D264" i="11"/>
  <c r="B264" i="11"/>
  <c r="A264" i="11"/>
  <c r="C263" i="11"/>
  <c r="I263" i="11"/>
  <c r="E263" i="11"/>
  <c r="D263" i="11"/>
  <c r="B263" i="11"/>
  <c r="A263" i="11"/>
  <c r="C483" i="11"/>
  <c r="I483" i="11"/>
  <c r="E483" i="11"/>
  <c r="D483" i="11"/>
  <c r="B483" i="11"/>
  <c r="A483" i="11"/>
  <c r="C482" i="11"/>
  <c r="I482" i="11"/>
  <c r="E482" i="11"/>
  <c r="D482" i="11"/>
  <c r="B482" i="11"/>
  <c r="A482" i="11"/>
  <c r="C481" i="11"/>
  <c r="I481" i="11"/>
  <c r="E481" i="11"/>
  <c r="D481" i="11"/>
  <c r="B481" i="11"/>
  <c r="A481" i="11"/>
  <c r="C480" i="11"/>
  <c r="I480" i="11"/>
  <c r="E480" i="11"/>
  <c r="D480" i="11"/>
  <c r="B480" i="11"/>
  <c r="A480" i="11"/>
  <c r="C479" i="11"/>
  <c r="I479" i="11"/>
  <c r="E479" i="11"/>
  <c r="D479" i="11"/>
  <c r="B479" i="11"/>
  <c r="A479" i="11"/>
  <c r="C475" i="11"/>
  <c r="I475" i="11"/>
  <c r="E475" i="11"/>
  <c r="D475" i="11"/>
  <c r="B475" i="11"/>
  <c r="A475" i="11"/>
  <c r="C474" i="11"/>
  <c r="I474" i="11"/>
  <c r="E474" i="11"/>
  <c r="D474" i="11"/>
  <c r="B474" i="11"/>
  <c r="A474" i="11"/>
  <c r="C473" i="11"/>
  <c r="I473" i="11"/>
  <c r="E473" i="11"/>
  <c r="D473" i="11"/>
  <c r="B473" i="11"/>
  <c r="A473" i="11"/>
  <c r="C472" i="11"/>
  <c r="I472" i="11"/>
  <c r="E472" i="11"/>
  <c r="D472" i="11"/>
  <c r="B472" i="11"/>
  <c r="A472" i="11"/>
  <c r="C471" i="11"/>
  <c r="I471" i="11"/>
  <c r="E471" i="11"/>
  <c r="D471" i="11"/>
  <c r="B471" i="11"/>
  <c r="A471" i="11"/>
  <c r="C470" i="11"/>
  <c r="I470" i="11"/>
  <c r="E470" i="11"/>
  <c r="D470" i="11"/>
  <c r="B470" i="11"/>
  <c r="A470" i="11"/>
  <c r="C469" i="11"/>
  <c r="I469" i="11"/>
  <c r="E469" i="11"/>
  <c r="D469" i="11"/>
  <c r="B469" i="11"/>
  <c r="A469" i="11"/>
  <c r="C468" i="11"/>
  <c r="I468" i="11"/>
  <c r="E468" i="11"/>
  <c r="D468" i="11"/>
  <c r="B468" i="11"/>
  <c r="A468" i="11"/>
  <c r="C467" i="11"/>
  <c r="I467" i="11"/>
  <c r="E467" i="11"/>
  <c r="D467" i="11"/>
  <c r="B467" i="11"/>
  <c r="A467" i="11"/>
  <c r="C466" i="11"/>
  <c r="I466" i="11"/>
  <c r="E466" i="11"/>
  <c r="D466" i="11"/>
  <c r="B466" i="11"/>
  <c r="A466" i="11"/>
  <c r="C465" i="11"/>
  <c r="I465" i="11"/>
  <c r="E465" i="11"/>
  <c r="D465" i="11"/>
  <c r="B465" i="11"/>
  <c r="A465" i="11"/>
  <c r="C464" i="11"/>
  <c r="I464" i="11"/>
  <c r="E464" i="11"/>
  <c r="D464" i="11"/>
  <c r="B464" i="11"/>
  <c r="A464" i="11"/>
  <c r="C463" i="11"/>
  <c r="I463" i="11"/>
  <c r="E463" i="11"/>
  <c r="D463" i="11"/>
  <c r="B463" i="11"/>
  <c r="A463" i="11"/>
  <c r="C422" i="11"/>
  <c r="I422" i="11"/>
  <c r="E422" i="11"/>
  <c r="D422" i="11"/>
  <c r="B422" i="11"/>
  <c r="A422" i="11"/>
  <c r="C421" i="11"/>
  <c r="I421" i="11"/>
  <c r="E421" i="11"/>
  <c r="D421" i="11"/>
  <c r="B421" i="11"/>
  <c r="A421" i="11"/>
  <c r="C420" i="11"/>
  <c r="I420" i="11"/>
  <c r="E420" i="11"/>
  <c r="D420" i="11"/>
  <c r="B420" i="11"/>
  <c r="A420" i="11"/>
  <c r="C419" i="11"/>
  <c r="I419" i="11"/>
  <c r="E419" i="11"/>
  <c r="D419" i="11"/>
  <c r="B419" i="11"/>
  <c r="A419" i="11"/>
  <c r="C418" i="11"/>
  <c r="I418" i="11"/>
  <c r="E418" i="11"/>
  <c r="D418" i="11"/>
  <c r="B418" i="11"/>
  <c r="A418" i="11"/>
  <c r="C417" i="11"/>
  <c r="I417" i="11"/>
  <c r="E417" i="11"/>
  <c r="D417" i="11"/>
  <c r="B417" i="11"/>
  <c r="A417" i="11"/>
  <c r="C416" i="11"/>
  <c r="I416" i="11"/>
  <c r="E416" i="11"/>
  <c r="D416" i="11"/>
  <c r="B416" i="11"/>
  <c r="A416" i="11"/>
  <c r="C415" i="11"/>
  <c r="I415" i="11"/>
  <c r="E415" i="11"/>
  <c r="D415" i="11"/>
  <c r="B415" i="11"/>
  <c r="A415" i="11"/>
  <c r="C414" i="11"/>
  <c r="I414" i="11"/>
  <c r="E414" i="11"/>
  <c r="D414" i="11"/>
  <c r="B414" i="11"/>
  <c r="A414" i="11"/>
  <c r="C413" i="11"/>
  <c r="I413" i="11"/>
  <c r="E413" i="11"/>
  <c r="D413" i="11"/>
  <c r="B413" i="11"/>
  <c r="A413" i="11"/>
  <c r="C412" i="11"/>
  <c r="I412" i="11"/>
  <c r="E412" i="11"/>
  <c r="D412" i="11"/>
  <c r="B412" i="11"/>
  <c r="A412" i="11"/>
  <c r="C411" i="11"/>
  <c r="I411" i="11"/>
  <c r="E411" i="11"/>
  <c r="D411" i="11"/>
  <c r="B411" i="11"/>
  <c r="A411" i="11"/>
  <c r="C410" i="11"/>
  <c r="I410" i="11"/>
  <c r="E410" i="11"/>
  <c r="D410" i="11"/>
  <c r="B410" i="11"/>
  <c r="A410" i="11"/>
  <c r="C409" i="11"/>
  <c r="I409" i="11"/>
  <c r="E409" i="11"/>
  <c r="D409" i="11"/>
  <c r="B409" i="11"/>
  <c r="A409" i="11"/>
  <c r="C408" i="11"/>
  <c r="I408" i="11"/>
  <c r="E408" i="11"/>
  <c r="D408" i="11"/>
  <c r="B408" i="11"/>
  <c r="A408" i="11"/>
  <c r="C407" i="11"/>
  <c r="I407" i="11"/>
  <c r="E407" i="11"/>
  <c r="D407" i="11"/>
  <c r="B407" i="11"/>
  <c r="A407" i="11"/>
  <c r="C406" i="11"/>
  <c r="I406" i="11"/>
  <c r="E406" i="11"/>
  <c r="D406" i="11"/>
  <c r="B406" i="11"/>
  <c r="A406" i="11"/>
  <c r="C405" i="11"/>
  <c r="I405" i="11"/>
  <c r="E405" i="11"/>
  <c r="D405" i="11"/>
  <c r="B405" i="11"/>
  <c r="A405" i="11"/>
  <c r="C404" i="11"/>
  <c r="I404" i="11"/>
  <c r="E404" i="11"/>
  <c r="D404" i="11"/>
  <c r="B404" i="11"/>
  <c r="A404" i="11"/>
  <c r="C403" i="11"/>
  <c r="I403" i="11"/>
  <c r="E403" i="11"/>
  <c r="D403" i="11"/>
  <c r="B403" i="11"/>
  <c r="A403" i="11"/>
  <c r="C402" i="11"/>
  <c r="I402" i="11"/>
  <c r="E402" i="11"/>
  <c r="D402" i="11"/>
  <c r="B402" i="11"/>
  <c r="A402" i="11"/>
  <c r="C401" i="11"/>
  <c r="I401" i="11"/>
  <c r="E401" i="11"/>
  <c r="D401" i="11"/>
  <c r="B401" i="11"/>
  <c r="A401" i="11"/>
  <c r="C400" i="11"/>
  <c r="I400" i="11"/>
  <c r="E400" i="11"/>
  <c r="D400" i="11"/>
  <c r="B400" i="11"/>
  <c r="A400" i="11"/>
  <c r="C399" i="11"/>
  <c r="I399" i="11"/>
  <c r="E399" i="11"/>
  <c r="D399" i="11"/>
  <c r="B399" i="11"/>
  <c r="A399" i="11"/>
  <c r="C398" i="11"/>
  <c r="I398" i="11"/>
  <c r="E398" i="11"/>
  <c r="D398" i="11"/>
  <c r="B398" i="11"/>
  <c r="A398" i="11"/>
  <c r="C397" i="11"/>
  <c r="I397" i="11"/>
  <c r="E397" i="11"/>
  <c r="D397" i="11"/>
  <c r="B397" i="11"/>
  <c r="A397" i="11"/>
  <c r="C396" i="11"/>
  <c r="I396" i="11"/>
  <c r="E396" i="11"/>
  <c r="D396" i="11"/>
  <c r="B396" i="11"/>
  <c r="A396" i="11"/>
  <c r="C395" i="11"/>
  <c r="I395" i="11"/>
  <c r="E395" i="11"/>
  <c r="D395" i="11"/>
  <c r="B395" i="11"/>
  <c r="A395" i="11"/>
  <c r="C394" i="11"/>
  <c r="I394" i="11"/>
  <c r="E394" i="11"/>
  <c r="D394" i="11"/>
  <c r="B394" i="11"/>
  <c r="A394" i="11"/>
  <c r="C393" i="11"/>
  <c r="I393" i="11"/>
  <c r="E393" i="11"/>
  <c r="D393" i="11"/>
  <c r="B393" i="11"/>
  <c r="A393" i="11"/>
  <c r="C392" i="11"/>
  <c r="I392" i="11"/>
  <c r="E392" i="11"/>
  <c r="D392" i="11"/>
  <c r="B392" i="11"/>
  <c r="A392" i="11"/>
  <c r="C391" i="11"/>
  <c r="I391" i="11"/>
  <c r="E391" i="11"/>
  <c r="D391" i="11"/>
  <c r="B391" i="11"/>
  <c r="A391" i="11"/>
  <c r="C390" i="11"/>
  <c r="I390" i="11"/>
  <c r="E390" i="11"/>
  <c r="D390" i="11"/>
  <c r="B390" i="11"/>
  <c r="A390" i="11"/>
  <c r="C389" i="11"/>
  <c r="I389" i="11"/>
  <c r="E389" i="11"/>
  <c r="D389" i="11"/>
  <c r="B389" i="11"/>
  <c r="A389" i="11"/>
  <c r="C388" i="11"/>
  <c r="I388" i="11"/>
  <c r="E388" i="11"/>
  <c r="D388" i="11"/>
  <c r="B388" i="11"/>
  <c r="A388" i="11"/>
  <c r="C387" i="11"/>
  <c r="I387" i="11"/>
  <c r="E387" i="11"/>
  <c r="D387" i="11"/>
  <c r="B387" i="11"/>
  <c r="A387" i="11"/>
  <c r="C386" i="11"/>
  <c r="I386" i="11"/>
  <c r="E386" i="11"/>
  <c r="D386" i="11"/>
  <c r="B386" i="11"/>
  <c r="A386" i="11"/>
  <c r="C385" i="11"/>
  <c r="I385" i="11"/>
  <c r="E385" i="11"/>
  <c r="D385" i="11"/>
  <c r="B385" i="11"/>
  <c r="A385" i="11"/>
  <c r="C384" i="11"/>
  <c r="I384" i="11"/>
  <c r="E384" i="11"/>
  <c r="D384" i="11"/>
  <c r="B384" i="11"/>
  <c r="A384" i="11"/>
  <c r="C383" i="11"/>
  <c r="I383" i="11"/>
  <c r="E383" i="11"/>
  <c r="D383" i="11"/>
  <c r="B383" i="11"/>
  <c r="A383" i="11"/>
  <c r="C382" i="11"/>
  <c r="I382" i="11"/>
  <c r="E382" i="11"/>
  <c r="D382" i="11"/>
  <c r="B382" i="11"/>
  <c r="A382" i="11"/>
  <c r="C381" i="11"/>
  <c r="I381" i="11"/>
  <c r="E381" i="11"/>
  <c r="D381" i="11"/>
  <c r="B381" i="11"/>
  <c r="A381" i="11"/>
  <c r="C380" i="11"/>
  <c r="I380" i="11"/>
  <c r="E380" i="11"/>
  <c r="D380" i="11"/>
  <c r="B380" i="11"/>
  <c r="A380" i="11"/>
  <c r="C379" i="11"/>
  <c r="I379" i="11"/>
  <c r="E379" i="11"/>
  <c r="D379" i="11"/>
  <c r="B379" i="11"/>
  <c r="A379" i="11"/>
  <c r="C378" i="11"/>
  <c r="I378" i="11"/>
  <c r="E378" i="11"/>
  <c r="D378" i="11"/>
  <c r="B378" i="11"/>
  <c r="A378" i="11"/>
  <c r="C377" i="11"/>
  <c r="I377" i="11"/>
  <c r="E377" i="11"/>
  <c r="D377" i="11"/>
  <c r="B377" i="11"/>
  <c r="A377" i="11"/>
  <c r="C376" i="11"/>
  <c r="I376" i="11"/>
  <c r="E376" i="11"/>
  <c r="D376" i="11"/>
  <c r="B376" i="11"/>
  <c r="A376" i="11"/>
  <c r="C375" i="11"/>
  <c r="I375" i="11"/>
  <c r="E375" i="11"/>
  <c r="D375" i="11"/>
  <c r="B375" i="11"/>
  <c r="A375" i="11"/>
  <c r="C374" i="11"/>
  <c r="I374" i="11"/>
  <c r="E374" i="11"/>
  <c r="D374" i="11"/>
  <c r="B374" i="11"/>
  <c r="A374" i="11"/>
  <c r="C373" i="11"/>
  <c r="I373" i="11"/>
  <c r="E373" i="11"/>
  <c r="D373" i="11"/>
  <c r="B373" i="11"/>
  <c r="A373" i="11"/>
  <c r="C372" i="11"/>
  <c r="I372" i="11"/>
  <c r="E372" i="11"/>
  <c r="D372" i="11"/>
  <c r="B372" i="11"/>
  <c r="A372" i="11"/>
  <c r="C371" i="11"/>
  <c r="I371" i="11"/>
  <c r="E371" i="11"/>
  <c r="D371" i="11"/>
  <c r="B371" i="11"/>
  <c r="A371" i="11"/>
  <c r="C370" i="11"/>
  <c r="I370" i="11"/>
  <c r="E370" i="11"/>
  <c r="D370" i="11"/>
  <c r="B370" i="11"/>
  <c r="A370" i="11"/>
  <c r="C369" i="11"/>
  <c r="I369" i="11"/>
  <c r="E369" i="11"/>
  <c r="D369" i="11"/>
  <c r="B369" i="11"/>
  <c r="A369" i="11"/>
  <c r="C368" i="11"/>
  <c r="I368" i="11"/>
  <c r="E368" i="11"/>
  <c r="D368" i="11"/>
  <c r="B368" i="11"/>
  <c r="A368" i="11"/>
  <c r="C367" i="11"/>
  <c r="I367" i="11"/>
  <c r="E367" i="11"/>
  <c r="D367" i="11"/>
  <c r="B367" i="11"/>
  <c r="A367" i="11"/>
  <c r="C366" i="11"/>
  <c r="I366" i="11"/>
  <c r="E366" i="11"/>
  <c r="D366" i="11"/>
  <c r="B366" i="11"/>
  <c r="A366" i="11"/>
  <c r="C365" i="11"/>
  <c r="I365" i="11"/>
  <c r="E365" i="11"/>
  <c r="D365" i="11"/>
  <c r="B365" i="11"/>
  <c r="A365" i="11"/>
  <c r="C364" i="11"/>
  <c r="I364" i="11"/>
  <c r="E364" i="11"/>
  <c r="D364" i="11"/>
  <c r="B364" i="11"/>
  <c r="A364" i="11"/>
  <c r="C363" i="11"/>
  <c r="I363" i="11"/>
  <c r="E363" i="11"/>
  <c r="D363" i="11"/>
  <c r="B363" i="11"/>
  <c r="A363" i="11"/>
  <c r="C362" i="11"/>
  <c r="I362" i="11"/>
  <c r="E362" i="11"/>
  <c r="D362" i="11"/>
  <c r="B362" i="11"/>
  <c r="A362" i="11"/>
  <c r="C361" i="11"/>
  <c r="I361" i="11"/>
  <c r="E361" i="11"/>
  <c r="D361" i="11"/>
  <c r="B361" i="11"/>
  <c r="A361" i="11"/>
  <c r="C360" i="11"/>
  <c r="I360" i="11"/>
  <c r="E360" i="11"/>
  <c r="D360" i="11"/>
  <c r="B360" i="11"/>
  <c r="A360" i="11"/>
  <c r="C359" i="11"/>
  <c r="I359" i="11"/>
  <c r="E359" i="11"/>
  <c r="D359" i="11"/>
  <c r="B359" i="11"/>
  <c r="A359" i="11"/>
  <c r="C358" i="11"/>
  <c r="I358" i="11"/>
  <c r="E358" i="11"/>
  <c r="D358" i="11"/>
  <c r="B358" i="11"/>
  <c r="A358" i="11"/>
  <c r="C357" i="11"/>
  <c r="I357" i="11"/>
  <c r="E357" i="11"/>
  <c r="D357" i="11"/>
  <c r="B357" i="11"/>
  <c r="A357" i="11"/>
  <c r="C356" i="11"/>
  <c r="I356" i="11"/>
  <c r="E356" i="11"/>
  <c r="D356" i="11"/>
  <c r="B356" i="11"/>
  <c r="A356" i="11"/>
  <c r="C355" i="11"/>
  <c r="I355" i="11"/>
  <c r="E355" i="11"/>
  <c r="D355" i="11"/>
  <c r="B355" i="11"/>
  <c r="A355" i="11"/>
  <c r="C354" i="11"/>
  <c r="I354" i="11"/>
  <c r="E354" i="11"/>
  <c r="D354" i="11"/>
  <c r="B354" i="11"/>
  <c r="A354" i="11"/>
  <c r="C353" i="11"/>
  <c r="I353" i="11"/>
  <c r="E353" i="11"/>
  <c r="D353" i="11"/>
  <c r="B353" i="11"/>
  <c r="A353" i="11"/>
  <c r="C352" i="11"/>
  <c r="I352" i="11"/>
  <c r="E352" i="11"/>
  <c r="D352" i="11"/>
  <c r="B352" i="11"/>
  <c r="A352" i="11"/>
  <c r="C351" i="11"/>
  <c r="I351" i="11"/>
  <c r="E351" i="11"/>
  <c r="D351" i="11"/>
  <c r="B351" i="11"/>
  <c r="A351" i="11"/>
  <c r="C350" i="11"/>
  <c r="I350" i="11"/>
  <c r="E350" i="11"/>
  <c r="D350" i="11"/>
  <c r="B350" i="11"/>
  <c r="A350" i="11"/>
  <c r="C349" i="11"/>
  <c r="I349" i="11"/>
  <c r="E349" i="11"/>
  <c r="D349" i="11"/>
  <c r="B349" i="11"/>
  <c r="A349" i="11"/>
  <c r="C348" i="11"/>
  <c r="I348" i="11"/>
  <c r="E348" i="11"/>
  <c r="D348" i="11"/>
  <c r="B348" i="11"/>
  <c r="A348" i="11"/>
  <c r="C347" i="11"/>
  <c r="I347" i="11"/>
  <c r="E347" i="11"/>
  <c r="D347" i="11"/>
  <c r="B347" i="11"/>
  <c r="A347" i="11"/>
  <c r="C346" i="11"/>
  <c r="I346" i="11"/>
  <c r="E346" i="11"/>
  <c r="D346" i="11"/>
  <c r="B346" i="11"/>
  <c r="A346" i="11"/>
  <c r="C345" i="11"/>
  <c r="I345" i="11"/>
  <c r="E345" i="11"/>
  <c r="D345" i="11"/>
  <c r="B345" i="11"/>
  <c r="A345" i="11"/>
  <c r="C344" i="11"/>
  <c r="I344" i="11"/>
  <c r="E344" i="11"/>
  <c r="D344" i="11"/>
  <c r="B344" i="11"/>
  <c r="A344" i="11"/>
  <c r="C343" i="11"/>
  <c r="I343" i="11"/>
  <c r="E343" i="11"/>
  <c r="D343" i="11"/>
  <c r="B343" i="11"/>
  <c r="A343" i="11"/>
  <c r="C342" i="11"/>
  <c r="I342" i="11"/>
  <c r="E342" i="11"/>
  <c r="D342" i="11"/>
  <c r="B342" i="11"/>
  <c r="A342" i="11"/>
  <c r="C341" i="11"/>
  <c r="I341" i="11"/>
  <c r="E341" i="11"/>
  <c r="D341" i="11"/>
  <c r="B341" i="11"/>
  <c r="A341" i="11"/>
  <c r="C340" i="11"/>
  <c r="I340" i="11"/>
  <c r="E340" i="11"/>
  <c r="D340" i="11"/>
  <c r="B340" i="11"/>
  <c r="A340" i="11"/>
  <c r="C339" i="11"/>
  <c r="I339" i="11"/>
  <c r="E339" i="11"/>
  <c r="D339" i="11"/>
  <c r="B339" i="11"/>
  <c r="A339" i="11"/>
  <c r="C338" i="11"/>
  <c r="I338" i="11"/>
  <c r="E338" i="11"/>
  <c r="D338" i="11"/>
  <c r="B338" i="11"/>
  <c r="A338" i="11"/>
  <c r="C337" i="11"/>
  <c r="I337" i="11"/>
  <c r="E337" i="11"/>
  <c r="D337" i="11"/>
  <c r="B337" i="11"/>
  <c r="A337" i="11"/>
  <c r="C336" i="11"/>
  <c r="I336" i="11"/>
  <c r="E336" i="11"/>
  <c r="D336" i="11"/>
  <c r="B336" i="11"/>
  <c r="A336" i="11"/>
  <c r="C335" i="11"/>
  <c r="I335" i="11"/>
  <c r="E335" i="11"/>
  <c r="D335" i="11"/>
  <c r="B335" i="11"/>
  <c r="A335" i="11"/>
  <c r="C334" i="11"/>
  <c r="I334" i="11"/>
  <c r="E334" i="11"/>
  <c r="D334" i="11"/>
  <c r="B334" i="11"/>
  <c r="A334" i="11"/>
  <c r="C333" i="11"/>
  <c r="I333" i="11"/>
  <c r="E333" i="11"/>
  <c r="D333" i="11"/>
  <c r="B333" i="11"/>
  <c r="A333" i="11"/>
  <c r="C332" i="11"/>
  <c r="I332" i="11"/>
  <c r="E332" i="11"/>
  <c r="D332" i="11"/>
  <c r="B332" i="11"/>
  <c r="A332" i="11"/>
  <c r="C331" i="11"/>
  <c r="I331" i="11"/>
  <c r="E331" i="11"/>
  <c r="D331" i="11"/>
  <c r="B331" i="11"/>
  <c r="A331" i="11"/>
  <c r="C330" i="11"/>
  <c r="I330" i="11"/>
  <c r="E330" i="11"/>
  <c r="D330" i="11"/>
  <c r="B330" i="11"/>
  <c r="A330" i="11"/>
  <c r="C329" i="11"/>
  <c r="I329" i="11"/>
  <c r="E329" i="11"/>
  <c r="D329" i="11"/>
  <c r="B329" i="11"/>
  <c r="A329" i="11"/>
  <c r="C328" i="11"/>
  <c r="I328" i="11"/>
  <c r="E328" i="11"/>
  <c r="D328" i="11"/>
  <c r="B328" i="11"/>
  <c r="A328" i="11"/>
  <c r="C327" i="11"/>
  <c r="I327" i="11"/>
  <c r="E327" i="11"/>
  <c r="D327" i="11"/>
  <c r="B327" i="11"/>
  <c r="A327" i="11"/>
  <c r="C326" i="11"/>
  <c r="I326" i="11"/>
  <c r="E326" i="11"/>
  <c r="D326" i="11"/>
  <c r="B326" i="11"/>
  <c r="A326" i="11"/>
  <c r="C325" i="11"/>
  <c r="I325" i="11"/>
  <c r="E325" i="11"/>
  <c r="D325" i="11"/>
  <c r="B325" i="11"/>
  <c r="A325" i="11"/>
  <c r="C324" i="11"/>
  <c r="I324" i="11"/>
  <c r="E324" i="11"/>
  <c r="D324" i="11"/>
  <c r="B324" i="11"/>
  <c r="A324" i="11"/>
  <c r="C323" i="11"/>
  <c r="I323" i="11"/>
  <c r="E323" i="11"/>
  <c r="D323" i="11"/>
  <c r="B323" i="11"/>
  <c r="A323" i="11"/>
  <c r="C322" i="11"/>
  <c r="I322" i="11"/>
  <c r="E322" i="11"/>
  <c r="D322" i="11"/>
  <c r="B322" i="11"/>
  <c r="A322" i="11"/>
  <c r="C321" i="11"/>
  <c r="I321" i="11"/>
  <c r="E321" i="11"/>
  <c r="D321" i="11"/>
  <c r="B321" i="11"/>
  <c r="A321" i="11"/>
  <c r="C320" i="11"/>
  <c r="I320" i="11"/>
  <c r="E320" i="11"/>
  <c r="D320" i="11"/>
  <c r="B320" i="11"/>
  <c r="A320" i="11"/>
  <c r="C319" i="11"/>
  <c r="I319" i="11"/>
  <c r="E319" i="11"/>
  <c r="D319" i="11"/>
  <c r="B319" i="11"/>
  <c r="A319" i="11"/>
  <c r="C318" i="11"/>
  <c r="I318" i="11"/>
  <c r="E318" i="11"/>
  <c r="D318" i="11"/>
  <c r="B318" i="11"/>
  <c r="A318" i="11"/>
  <c r="C317" i="11"/>
  <c r="I317" i="11"/>
  <c r="E317" i="11"/>
  <c r="D317" i="11"/>
  <c r="B317" i="11"/>
  <c r="A317" i="11"/>
  <c r="C316" i="11"/>
  <c r="I316" i="11"/>
  <c r="E316" i="11"/>
  <c r="D316" i="11"/>
  <c r="B316" i="11"/>
  <c r="A316" i="11"/>
  <c r="C315" i="11"/>
  <c r="I315" i="11"/>
  <c r="E315" i="11"/>
  <c r="D315" i="11"/>
  <c r="B315" i="11"/>
  <c r="A315" i="11"/>
  <c r="C314" i="11"/>
  <c r="I314" i="11"/>
  <c r="E314" i="11"/>
  <c r="D314" i="11"/>
  <c r="B314" i="11"/>
  <c r="A314" i="11"/>
  <c r="C313" i="11"/>
  <c r="I313" i="11"/>
  <c r="E313" i="11"/>
  <c r="D313" i="11"/>
  <c r="B313" i="11"/>
  <c r="A313" i="11"/>
  <c r="C312" i="11"/>
  <c r="I312" i="11"/>
  <c r="E312" i="11"/>
  <c r="D312" i="11"/>
  <c r="B312" i="11"/>
  <c r="A312" i="11"/>
  <c r="C311" i="11"/>
  <c r="I311" i="11"/>
  <c r="E311" i="11"/>
  <c r="D311" i="11"/>
  <c r="B311" i="11"/>
  <c r="A311" i="11"/>
  <c r="C310" i="11"/>
  <c r="I310" i="11"/>
  <c r="E310" i="11"/>
  <c r="D310" i="11"/>
  <c r="B310" i="11"/>
  <c r="A310" i="11"/>
  <c r="C309" i="11"/>
  <c r="I309" i="11"/>
  <c r="E309" i="11"/>
  <c r="D309" i="11"/>
  <c r="B309" i="11"/>
  <c r="A309" i="11"/>
  <c r="C308" i="11"/>
  <c r="I308" i="11"/>
  <c r="E308" i="11"/>
  <c r="D308" i="11"/>
  <c r="B308" i="11"/>
  <c r="A308" i="11"/>
  <c r="C307" i="11"/>
  <c r="I307" i="11"/>
  <c r="E307" i="11"/>
  <c r="D307" i="11"/>
  <c r="B307" i="11"/>
  <c r="A307" i="11"/>
  <c r="C306" i="11"/>
  <c r="I306" i="11"/>
  <c r="E306" i="11"/>
  <c r="D306" i="11"/>
  <c r="B306" i="11"/>
  <c r="A306" i="11"/>
  <c r="C305" i="11"/>
  <c r="I305" i="11"/>
  <c r="E305" i="11"/>
  <c r="D305" i="11"/>
  <c r="B305" i="11"/>
  <c r="A305" i="11"/>
  <c r="C304" i="11"/>
  <c r="I304" i="11"/>
  <c r="E304" i="11"/>
  <c r="D304" i="11"/>
  <c r="B304" i="11"/>
  <c r="A304" i="11"/>
  <c r="C303" i="11"/>
  <c r="I303" i="11"/>
  <c r="E303" i="11"/>
  <c r="D303" i="11"/>
  <c r="B303" i="11"/>
  <c r="A303" i="11"/>
  <c r="C302" i="11"/>
  <c r="I302" i="11"/>
  <c r="E302" i="11"/>
  <c r="D302" i="11"/>
  <c r="B302" i="11"/>
  <c r="A302" i="11"/>
  <c r="C301" i="11"/>
  <c r="I301" i="11"/>
  <c r="E301" i="11"/>
  <c r="D301" i="11"/>
  <c r="B301" i="11"/>
  <c r="A301" i="11"/>
  <c r="C300" i="11"/>
  <c r="I300" i="11"/>
  <c r="E300" i="11"/>
  <c r="D300" i="11"/>
  <c r="B300" i="11"/>
  <c r="A300" i="11"/>
  <c r="C299" i="11"/>
  <c r="I299" i="11"/>
  <c r="E299" i="11"/>
  <c r="D299" i="11"/>
  <c r="B299" i="11"/>
  <c r="A299" i="11"/>
  <c r="C298" i="11"/>
  <c r="I298" i="11"/>
  <c r="E298" i="11"/>
  <c r="D298" i="11"/>
  <c r="B298" i="11"/>
  <c r="A298" i="11"/>
  <c r="C297" i="11"/>
  <c r="I297" i="11"/>
  <c r="E297" i="11"/>
  <c r="D297" i="11"/>
  <c r="B297" i="11"/>
  <c r="A297" i="11"/>
  <c r="C296" i="11"/>
  <c r="I296" i="11"/>
  <c r="E296" i="11"/>
  <c r="D296" i="11"/>
  <c r="B296" i="11"/>
  <c r="A296" i="11"/>
  <c r="C295" i="11"/>
  <c r="I295" i="11"/>
  <c r="E295" i="11"/>
  <c r="D295" i="11"/>
  <c r="B295" i="11"/>
  <c r="A295" i="11"/>
  <c r="C294" i="11"/>
  <c r="I294" i="11"/>
  <c r="E294" i="11"/>
  <c r="D294" i="11"/>
  <c r="B294" i="11"/>
  <c r="A294" i="11"/>
  <c r="C293" i="11"/>
  <c r="I293" i="11"/>
  <c r="E293" i="11"/>
  <c r="D293" i="11"/>
  <c r="B293" i="11"/>
  <c r="A293" i="11"/>
  <c r="C292" i="11"/>
  <c r="I292" i="11"/>
  <c r="E292" i="11"/>
  <c r="D292" i="11"/>
  <c r="B292" i="11"/>
  <c r="A292" i="11"/>
  <c r="C291" i="11"/>
  <c r="I291" i="11"/>
  <c r="E291" i="11"/>
  <c r="D291" i="11"/>
  <c r="B291" i="11"/>
  <c r="A291" i="11"/>
  <c r="C290" i="11"/>
  <c r="I290" i="11"/>
  <c r="E290" i="11"/>
  <c r="D290" i="11"/>
  <c r="B290" i="11"/>
  <c r="A290" i="11"/>
  <c r="C289" i="11"/>
  <c r="I289" i="11"/>
  <c r="E289" i="11"/>
  <c r="D289" i="11"/>
  <c r="B289" i="11"/>
  <c r="A289" i="11"/>
  <c r="C288" i="11"/>
  <c r="I288" i="11"/>
  <c r="E288" i="11"/>
  <c r="D288" i="11"/>
  <c r="B288" i="11"/>
  <c r="A288" i="11"/>
  <c r="C287" i="11"/>
  <c r="I287" i="11"/>
  <c r="E287" i="11"/>
  <c r="D287" i="11"/>
  <c r="B287" i="11"/>
  <c r="A287" i="11"/>
  <c r="C286" i="11"/>
  <c r="I286" i="11"/>
  <c r="E286" i="11"/>
  <c r="D286" i="11"/>
  <c r="B286" i="11"/>
  <c r="A286" i="11"/>
  <c r="C285" i="11"/>
  <c r="I285" i="11"/>
  <c r="E285" i="11"/>
  <c r="D285" i="11"/>
  <c r="B285" i="11"/>
  <c r="A285" i="11"/>
  <c r="C284" i="11"/>
  <c r="I284" i="11"/>
  <c r="E284" i="11"/>
  <c r="D284" i="11"/>
  <c r="B284" i="11"/>
  <c r="A284" i="11"/>
  <c r="C283" i="11"/>
  <c r="I283" i="11"/>
  <c r="E283" i="11"/>
  <c r="D283" i="11"/>
  <c r="B283" i="11"/>
  <c r="A283" i="11"/>
  <c r="F130" i="23"/>
  <c r="E130" i="23"/>
  <c r="M120" i="23"/>
  <c r="L120" i="23"/>
  <c r="F129" i="23"/>
  <c r="E129" i="23"/>
  <c r="M119" i="23"/>
  <c r="L119" i="23"/>
  <c r="F128" i="23"/>
  <c r="E128" i="23"/>
  <c r="M118" i="23"/>
  <c r="L118" i="23"/>
  <c r="F127" i="23"/>
  <c r="E127" i="23"/>
  <c r="M117" i="23"/>
  <c r="L117" i="23"/>
  <c r="F126" i="23"/>
  <c r="E126" i="23"/>
  <c r="M116" i="23"/>
  <c r="L116" i="23"/>
  <c r="F123" i="23"/>
  <c r="E123" i="23"/>
  <c r="F122" i="23"/>
  <c r="E122" i="23"/>
  <c r="F121" i="23"/>
  <c r="E121" i="23"/>
  <c r="F120" i="23"/>
  <c r="E120" i="23"/>
  <c r="F119" i="23"/>
  <c r="E119" i="23"/>
  <c r="F118" i="23"/>
  <c r="E118" i="23"/>
  <c r="F117" i="23"/>
  <c r="E117" i="23"/>
  <c r="F116" i="23"/>
  <c r="E116" i="23"/>
  <c r="M91" i="23"/>
  <c r="L91" i="23"/>
  <c r="F91" i="23"/>
  <c r="E91" i="23"/>
  <c r="M90" i="23"/>
  <c r="L90" i="23"/>
  <c r="F90" i="23"/>
  <c r="E90" i="23"/>
  <c r="M89" i="23"/>
  <c r="L89" i="23"/>
  <c r="F89" i="23"/>
  <c r="E89" i="23"/>
  <c r="M88" i="23"/>
  <c r="L88" i="23"/>
  <c r="F88" i="23"/>
  <c r="E88" i="23"/>
  <c r="M87" i="23"/>
  <c r="L87" i="23"/>
  <c r="F87" i="23"/>
  <c r="E87" i="23"/>
  <c r="M86" i="23"/>
  <c r="L86" i="23"/>
  <c r="F86" i="23"/>
  <c r="E86" i="23"/>
  <c r="M85" i="23"/>
  <c r="L85" i="23"/>
  <c r="F85" i="23"/>
  <c r="E85" i="23"/>
  <c r="M84" i="23"/>
  <c r="L84" i="23"/>
  <c r="F84" i="23"/>
  <c r="E84" i="23"/>
  <c r="M83" i="23"/>
  <c r="L83" i="23"/>
  <c r="F83" i="23"/>
  <c r="E83" i="23"/>
  <c r="M82" i="23"/>
  <c r="L82" i="23"/>
  <c r="F82" i="23"/>
  <c r="E82" i="23"/>
  <c r="M81" i="23"/>
  <c r="L81" i="23"/>
  <c r="F81" i="23"/>
  <c r="E81" i="23"/>
  <c r="M80" i="23"/>
  <c r="L80" i="23"/>
  <c r="F80" i="23"/>
  <c r="E80" i="23"/>
  <c r="M79" i="23"/>
  <c r="L79" i="23"/>
  <c r="F79" i="23"/>
  <c r="E79" i="23"/>
  <c r="M78" i="23"/>
  <c r="L78" i="23"/>
  <c r="F78" i="23"/>
  <c r="E78" i="23"/>
  <c r="M77" i="23"/>
  <c r="L77" i="23"/>
  <c r="F77" i="23"/>
  <c r="E77" i="23"/>
  <c r="M76" i="23"/>
  <c r="L76" i="23"/>
  <c r="F76" i="23"/>
  <c r="E76" i="23"/>
  <c r="M75" i="23"/>
  <c r="L75" i="23"/>
  <c r="F75" i="23"/>
  <c r="E75" i="23"/>
  <c r="M74" i="23"/>
  <c r="L74" i="23"/>
  <c r="F74" i="23"/>
  <c r="E74" i="23"/>
  <c r="M73" i="23"/>
  <c r="L73" i="23"/>
  <c r="F73" i="23"/>
  <c r="E73" i="23"/>
  <c r="M72" i="23"/>
  <c r="L72" i="23"/>
  <c r="F72" i="23"/>
  <c r="E72" i="23"/>
  <c r="M69" i="23"/>
  <c r="L69" i="23"/>
  <c r="F69" i="23"/>
  <c r="E69" i="23"/>
  <c r="M68" i="23"/>
  <c r="L68" i="23"/>
  <c r="F68" i="23"/>
  <c r="E68" i="23"/>
  <c r="M67" i="23"/>
  <c r="L67" i="23"/>
  <c r="F67" i="23"/>
  <c r="E67" i="23"/>
  <c r="M66" i="23"/>
  <c r="L66" i="23"/>
  <c r="F66" i="23"/>
  <c r="E66" i="23"/>
  <c r="M65" i="23"/>
  <c r="L65" i="23"/>
  <c r="F65" i="23"/>
  <c r="E65" i="23"/>
  <c r="M64" i="23"/>
  <c r="L64" i="23"/>
  <c r="F64" i="23"/>
  <c r="E64" i="23"/>
  <c r="M63" i="23"/>
  <c r="L63" i="23"/>
  <c r="F63" i="23"/>
  <c r="E63" i="23"/>
  <c r="M62" i="23"/>
  <c r="L62" i="23"/>
  <c r="F62" i="23"/>
  <c r="E62" i="23"/>
  <c r="M61" i="23"/>
  <c r="L61" i="23"/>
  <c r="F61" i="23"/>
  <c r="E61" i="23"/>
  <c r="M60" i="23"/>
  <c r="L60" i="23"/>
  <c r="F60" i="23"/>
  <c r="E60" i="23"/>
  <c r="M59" i="23"/>
  <c r="L59" i="23"/>
  <c r="F59" i="23"/>
  <c r="E59" i="23"/>
  <c r="M58" i="23"/>
  <c r="L58" i="23"/>
  <c r="F58" i="23"/>
  <c r="E58" i="23"/>
  <c r="M57" i="23"/>
  <c r="L57" i="23"/>
  <c r="F57" i="23"/>
  <c r="E57" i="23"/>
  <c r="M56" i="23"/>
  <c r="L56" i="23"/>
  <c r="F56" i="23"/>
  <c r="E56" i="23"/>
  <c r="M55" i="23"/>
  <c r="L55" i="23"/>
  <c r="F55" i="23"/>
  <c r="E55" i="23"/>
  <c r="M54" i="23"/>
  <c r="L54" i="23"/>
  <c r="F54" i="23"/>
  <c r="E54" i="23"/>
  <c r="M53" i="23"/>
  <c r="L53" i="23"/>
  <c r="F53" i="23"/>
  <c r="E53" i="23"/>
  <c r="M52" i="23"/>
  <c r="L52" i="23"/>
  <c r="F52" i="23"/>
  <c r="E52" i="23"/>
  <c r="M51" i="23"/>
  <c r="L51" i="23"/>
  <c r="F51" i="23"/>
  <c r="E51" i="23"/>
  <c r="M50" i="23"/>
  <c r="L50" i="23"/>
  <c r="F50" i="23"/>
  <c r="E50" i="23"/>
  <c r="M47" i="23"/>
  <c r="L47" i="23"/>
  <c r="F47" i="23"/>
  <c r="E47" i="23"/>
  <c r="M46" i="23"/>
  <c r="L46" i="23"/>
  <c r="F46" i="23"/>
  <c r="E46" i="23"/>
  <c r="M45" i="23"/>
  <c r="L45" i="23"/>
  <c r="F45" i="23"/>
  <c r="E45" i="23"/>
  <c r="M44" i="23"/>
  <c r="L44" i="23"/>
  <c r="F44" i="23"/>
  <c r="E44" i="23"/>
  <c r="M43" i="23"/>
  <c r="L43" i="23"/>
  <c r="F43" i="23"/>
  <c r="E43" i="23"/>
  <c r="M42" i="23"/>
  <c r="L42" i="23"/>
  <c r="F42" i="23"/>
  <c r="E42" i="23"/>
  <c r="M41" i="23"/>
  <c r="L41" i="23"/>
  <c r="F41" i="23"/>
  <c r="E41" i="23"/>
  <c r="M40" i="23"/>
  <c r="L40" i="23"/>
  <c r="F40" i="23"/>
  <c r="E40" i="23"/>
  <c r="M39" i="23"/>
  <c r="L39" i="23"/>
  <c r="F39" i="23"/>
  <c r="E39" i="23"/>
  <c r="M38" i="23"/>
  <c r="L38" i="23"/>
  <c r="F38" i="23"/>
  <c r="E38" i="23"/>
  <c r="M37" i="23"/>
  <c r="L37" i="23"/>
  <c r="F37" i="23"/>
  <c r="E37" i="23"/>
  <c r="M36" i="23"/>
  <c r="L36" i="23"/>
  <c r="F36" i="23"/>
  <c r="E36" i="23"/>
  <c r="M35" i="23"/>
  <c r="L35" i="23"/>
  <c r="F35" i="23"/>
  <c r="E35" i="23"/>
  <c r="M34" i="23"/>
  <c r="L34" i="23"/>
  <c r="F34" i="23"/>
  <c r="E34" i="23"/>
  <c r="M33" i="23"/>
  <c r="L33" i="23"/>
  <c r="F33" i="23"/>
  <c r="E33" i="23"/>
  <c r="M32" i="23"/>
  <c r="L32" i="23"/>
  <c r="F32" i="23"/>
  <c r="E32" i="23"/>
  <c r="M31" i="23"/>
  <c r="L31" i="23"/>
  <c r="F31" i="23"/>
  <c r="E31" i="23"/>
  <c r="M30" i="23"/>
  <c r="L30" i="23"/>
  <c r="F30" i="23"/>
  <c r="E30" i="23"/>
  <c r="M29" i="23"/>
  <c r="L29" i="23"/>
  <c r="F29" i="23"/>
  <c r="E29" i="23"/>
  <c r="M28" i="23"/>
  <c r="L28" i="23"/>
  <c r="F28" i="23"/>
  <c r="E28" i="23"/>
  <c r="M25" i="23"/>
  <c r="L25" i="23"/>
  <c r="F25" i="23"/>
  <c r="E25" i="23"/>
  <c r="M24" i="23"/>
  <c r="L24" i="23"/>
  <c r="F24" i="23"/>
  <c r="E24" i="23"/>
  <c r="M23" i="23"/>
  <c r="L23" i="23"/>
  <c r="F23" i="23"/>
  <c r="E23" i="23"/>
  <c r="M22" i="23"/>
  <c r="L22" i="23"/>
  <c r="F22" i="23"/>
  <c r="E22" i="23"/>
  <c r="M21" i="23"/>
  <c r="L21" i="23"/>
  <c r="F21" i="23"/>
  <c r="E21" i="23"/>
  <c r="M20" i="23"/>
  <c r="L20" i="23"/>
  <c r="F20" i="23"/>
  <c r="E20" i="23"/>
  <c r="M19" i="23"/>
  <c r="L19" i="23"/>
  <c r="F19" i="23"/>
  <c r="E19" i="23"/>
  <c r="M18" i="23"/>
  <c r="L18" i="23"/>
  <c r="F18" i="23"/>
  <c r="E18" i="23"/>
  <c r="M17" i="23"/>
  <c r="L17" i="23"/>
  <c r="F17" i="23"/>
  <c r="E17" i="23"/>
  <c r="M16" i="23"/>
  <c r="L16" i="23"/>
  <c r="F16" i="23"/>
  <c r="E16" i="23"/>
  <c r="M15" i="23"/>
  <c r="L15" i="23"/>
  <c r="F15" i="23"/>
  <c r="E15" i="23"/>
  <c r="M14" i="23"/>
  <c r="L14" i="23"/>
  <c r="F14" i="23"/>
  <c r="E14" i="23"/>
  <c r="M13" i="23"/>
  <c r="L13" i="23"/>
  <c r="F13" i="23"/>
  <c r="E13" i="23"/>
  <c r="M12" i="23"/>
  <c r="L12" i="23"/>
  <c r="F12" i="23"/>
  <c r="E12" i="23"/>
  <c r="M11" i="23"/>
  <c r="L11" i="23"/>
  <c r="F11" i="23"/>
  <c r="E11" i="23"/>
  <c r="M10" i="23"/>
  <c r="L10" i="23"/>
  <c r="F10" i="23"/>
  <c r="E10" i="23"/>
  <c r="M9" i="23"/>
  <c r="L9" i="23"/>
  <c r="F9" i="23"/>
  <c r="E9" i="23"/>
  <c r="M8" i="23"/>
  <c r="L8" i="23"/>
  <c r="F8" i="23"/>
  <c r="E8" i="23"/>
  <c r="M7" i="23"/>
  <c r="L7" i="23"/>
  <c r="F7" i="23"/>
  <c r="E7" i="23"/>
  <c r="M6" i="23"/>
  <c r="L6" i="23"/>
  <c r="F6" i="23"/>
  <c r="E6" i="23"/>
  <c r="E961" i="11"/>
  <c r="D961" i="11"/>
  <c r="C961" i="11"/>
  <c r="B961" i="11"/>
  <c r="E960" i="11"/>
  <c r="D960" i="11"/>
  <c r="C960" i="11"/>
  <c r="B960" i="11"/>
  <c r="E959" i="11"/>
  <c r="D959" i="11"/>
  <c r="C959" i="11"/>
  <c r="B959" i="11"/>
  <c r="E958" i="11"/>
  <c r="D958" i="11"/>
  <c r="C958" i="11"/>
  <c r="B958" i="11"/>
  <c r="E957" i="11"/>
  <c r="D957" i="11"/>
  <c r="C957" i="11"/>
  <c r="B957" i="11"/>
  <c r="E956" i="11"/>
  <c r="D956" i="11"/>
  <c r="C956" i="11"/>
  <c r="B956" i="11"/>
  <c r="E955" i="11"/>
  <c r="D955" i="11"/>
  <c r="C955" i="11"/>
  <c r="B955" i="11"/>
  <c r="E954" i="11"/>
  <c r="D954" i="11"/>
  <c r="C954" i="11"/>
  <c r="B954" i="11"/>
  <c r="E953" i="11"/>
  <c r="D953" i="11"/>
  <c r="C953" i="11"/>
  <c r="B953" i="11"/>
  <c r="E952" i="11"/>
  <c r="D952" i="11"/>
  <c r="C952" i="11"/>
  <c r="B952" i="11"/>
  <c r="E951" i="11"/>
  <c r="D951" i="11"/>
  <c r="C951" i="11"/>
  <c r="B951" i="11"/>
  <c r="E950" i="11"/>
  <c r="D950" i="11"/>
  <c r="C950" i="11"/>
  <c r="B950" i="11"/>
  <c r="E949" i="11"/>
  <c r="D949" i="11"/>
  <c r="C949" i="11"/>
  <c r="B949" i="11"/>
  <c r="E948" i="11"/>
  <c r="D948" i="11"/>
  <c r="C948" i="11"/>
  <c r="B948" i="11"/>
  <c r="E947" i="11"/>
  <c r="D947" i="11"/>
  <c r="C947" i="11"/>
  <c r="B947" i="11"/>
  <c r="E946" i="11"/>
  <c r="D946" i="11"/>
  <c r="C946" i="11"/>
  <c r="B946" i="11"/>
  <c r="E945" i="11"/>
  <c r="D945" i="11"/>
  <c r="C945" i="11"/>
  <c r="B945" i="11"/>
  <c r="E944" i="11"/>
  <c r="D944" i="11"/>
  <c r="C944" i="11"/>
  <c r="B944" i="11"/>
  <c r="E943" i="11"/>
  <c r="D943" i="11"/>
  <c r="C943" i="11"/>
  <c r="B943" i="11"/>
  <c r="E942" i="11"/>
  <c r="D942" i="11"/>
  <c r="C942" i="11"/>
  <c r="B942" i="11"/>
  <c r="E1162" i="11"/>
  <c r="D1162" i="11"/>
  <c r="C1162" i="11"/>
  <c r="B1162" i="11"/>
  <c r="E1161" i="11"/>
  <c r="D1161" i="11"/>
  <c r="C1161" i="11"/>
  <c r="B1161" i="11"/>
  <c r="E1160" i="11"/>
  <c r="D1160" i="11"/>
  <c r="C1160" i="11"/>
  <c r="B1160" i="11"/>
  <c r="E1159" i="11"/>
  <c r="D1159" i="11"/>
  <c r="C1159" i="11"/>
  <c r="B1159" i="11"/>
  <c r="E1158" i="11"/>
  <c r="D1158" i="11"/>
  <c r="C1158" i="11"/>
  <c r="B1158" i="11"/>
  <c r="E1154" i="11"/>
  <c r="D1154" i="11"/>
  <c r="C1154" i="11"/>
  <c r="B1154" i="11"/>
  <c r="E1153" i="11"/>
  <c r="D1153" i="11"/>
  <c r="C1153" i="11"/>
  <c r="B1153" i="11"/>
  <c r="E1152" i="11"/>
  <c r="D1152" i="11"/>
  <c r="C1152" i="11"/>
  <c r="B1152" i="11"/>
  <c r="E1151" i="11"/>
  <c r="D1151" i="11"/>
  <c r="C1151" i="11"/>
  <c r="B1151" i="11"/>
  <c r="E1150" i="11"/>
  <c r="D1150" i="11"/>
  <c r="C1150" i="11"/>
  <c r="B1150" i="11"/>
  <c r="E1149" i="11"/>
  <c r="D1149" i="11"/>
  <c r="C1149" i="11"/>
  <c r="B1149" i="11"/>
  <c r="E1148" i="11"/>
  <c r="D1148" i="11"/>
  <c r="C1148" i="11"/>
  <c r="B1148" i="11"/>
  <c r="E1147" i="11"/>
  <c r="D1147" i="11"/>
  <c r="C1147" i="11"/>
  <c r="B1147" i="11"/>
  <c r="E1146" i="11"/>
  <c r="D1146" i="11"/>
  <c r="C1146" i="11"/>
  <c r="B1146" i="11"/>
  <c r="E1145" i="11"/>
  <c r="D1145" i="11"/>
  <c r="C1145" i="11"/>
  <c r="B1145" i="11"/>
  <c r="E1144" i="11"/>
  <c r="D1144" i="11"/>
  <c r="C1144" i="11"/>
  <c r="B1144" i="11"/>
  <c r="E1143" i="11"/>
  <c r="D1143" i="11"/>
  <c r="C1143" i="11"/>
  <c r="B1143" i="11"/>
  <c r="E1142" i="11"/>
  <c r="D1142" i="11"/>
  <c r="C1142" i="11"/>
  <c r="B1142" i="11"/>
  <c r="E1101" i="11"/>
  <c r="D1101" i="11"/>
  <c r="C1101" i="11"/>
  <c r="B1101" i="11"/>
  <c r="E1100" i="11"/>
  <c r="D1100" i="11"/>
  <c r="C1100" i="11"/>
  <c r="B1100" i="11"/>
  <c r="E1099" i="11"/>
  <c r="D1099" i="11"/>
  <c r="C1099" i="11"/>
  <c r="B1099" i="11"/>
  <c r="E1098" i="11"/>
  <c r="D1098" i="11"/>
  <c r="C1098" i="11"/>
  <c r="B1098" i="11"/>
  <c r="E1097" i="11"/>
  <c r="D1097" i="11"/>
  <c r="C1097" i="11"/>
  <c r="B1097" i="11"/>
  <c r="E1096" i="11"/>
  <c r="D1096" i="11"/>
  <c r="C1096" i="11"/>
  <c r="B1096" i="11"/>
  <c r="E1095" i="11"/>
  <c r="D1095" i="11"/>
  <c r="C1095" i="11"/>
  <c r="B1095" i="11"/>
  <c r="E1094" i="11"/>
  <c r="D1094" i="11"/>
  <c r="C1094" i="11"/>
  <c r="B1094" i="11"/>
  <c r="E1093" i="11"/>
  <c r="D1093" i="11"/>
  <c r="C1093" i="11"/>
  <c r="B1093" i="11"/>
  <c r="E1092" i="11"/>
  <c r="D1092" i="11"/>
  <c r="C1092" i="11"/>
  <c r="B1092" i="11"/>
  <c r="E1091" i="11"/>
  <c r="D1091" i="11"/>
  <c r="C1091" i="11"/>
  <c r="B1091" i="11"/>
  <c r="E1090" i="11"/>
  <c r="D1090" i="11"/>
  <c r="C1090" i="11"/>
  <c r="B1090" i="11"/>
  <c r="E1089" i="11"/>
  <c r="D1089" i="11"/>
  <c r="C1089" i="11"/>
  <c r="B1089" i="11"/>
  <c r="E1088" i="11"/>
  <c r="D1088" i="11"/>
  <c r="C1088" i="11"/>
  <c r="B1088" i="11"/>
  <c r="E1087" i="11"/>
  <c r="D1087" i="11"/>
  <c r="C1087" i="11"/>
  <c r="B1087" i="11"/>
  <c r="E1086" i="11"/>
  <c r="D1086" i="11"/>
  <c r="C1086" i="11"/>
  <c r="B1086" i="11"/>
  <c r="E1085" i="11"/>
  <c r="D1085" i="11"/>
  <c r="C1085" i="11"/>
  <c r="B1085" i="11"/>
  <c r="E1084" i="11"/>
  <c r="D1084" i="11"/>
  <c r="C1084" i="11"/>
  <c r="B1084" i="11"/>
  <c r="E1083" i="11"/>
  <c r="D1083" i="11"/>
  <c r="C1083" i="11"/>
  <c r="B1083" i="11"/>
  <c r="E1082" i="11"/>
  <c r="D1082" i="11"/>
  <c r="C1082" i="11"/>
  <c r="B1082" i="11"/>
  <c r="E1081" i="11"/>
  <c r="D1081" i="11"/>
  <c r="C1081" i="11"/>
  <c r="B1081" i="11"/>
  <c r="E1080" i="11"/>
  <c r="D1080" i="11"/>
  <c r="C1080" i="11"/>
  <c r="B1080" i="11"/>
  <c r="E1079" i="11"/>
  <c r="D1079" i="11"/>
  <c r="C1079" i="11"/>
  <c r="B1079" i="11"/>
  <c r="E1078" i="11"/>
  <c r="D1078" i="11"/>
  <c r="C1078" i="11"/>
  <c r="B1078" i="11"/>
  <c r="E1077" i="11"/>
  <c r="D1077" i="11"/>
  <c r="C1077" i="11"/>
  <c r="B1077" i="11"/>
  <c r="E1076" i="11"/>
  <c r="D1076" i="11"/>
  <c r="C1076" i="11"/>
  <c r="B1076" i="11"/>
  <c r="E1075" i="11"/>
  <c r="D1075" i="11"/>
  <c r="C1075" i="11"/>
  <c r="B1075" i="11"/>
  <c r="E1074" i="11"/>
  <c r="D1074" i="11"/>
  <c r="C1074" i="11"/>
  <c r="B1074" i="11"/>
  <c r="E1073" i="11"/>
  <c r="D1073" i="11"/>
  <c r="C1073" i="11"/>
  <c r="B1073" i="11"/>
  <c r="E1072" i="11"/>
  <c r="D1072" i="11"/>
  <c r="C1072" i="11"/>
  <c r="B1072" i="11"/>
  <c r="E1071" i="11"/>
  <c r="D1071" i="11"/>
  <c r="C1071" i="11"/>
  <c r="B1071" i="11"/>
  <c r="E1070" i="11"/>
  <c r="D1070" i="11"/>
  <c r="C1070" i="11"/>
  <c r="B1070" i="11"/>
  <c r="E1069" i="11"/>
  <c r="D1069" i="11"/>
  <c r="C1069" i="11"/>
  <c r="B1069" i="11"/>
  <c r="E1068" i="11"/>
  <c r="D1068" i="11"/>
  <c r="C1068" i="11"/>
  <c r="B1068" i="11"/>
  <c r="E1067" i="11"/>
  <c r="D1067" i="11"/>
  <c r="C1067" i="11"/>
  <c r="B1067" i="11"/>
  <c r="E1066" i="11"/>
  <c r="D1066" i="11"/>
  <c r="C1066" i="11"/>
  <c r="B1066" i="11"/>
  <c r="E1065" i="11"/>
  <c r="D1065" i="11"/>
  <c r="C1065" i="11"/>
  <c r="B1065" i="11"/>
  <c r="E1064" i="11"/>
  <c r="D1064" i="11"/>
  <c r="C1064" i="11"/>
  <c r="B1064" i="11"/>
  <c r="E1063" i="11"/>
  <c r="D1063" i="11"/>
  <c r="C1063" i="11"/>
  <c r="B1063" i="11"/>
  <c r="E1062" i="11"/>
  <c r="D1062" i="11"/>
  <c r="C1062" i="11"/>
  <c r="B1062" i="11"/>
  <c r="E1061" i="11"/>
  <c r="D1061" i="11"/>
  <c r="C1061" i="11"/>
  <c r="B1061" i="11"/>
  <c r="E1060" i="11"/>
  <c r="D1060" i="11"/>
  <c r="C1060" i="11"/>
  <c r="B1060" i="11"/>
  <c r="E1059" i="11"/>
  <c r="D1059" i="11"/>
  <c r="C1059" i="11"/>
  <c r="B1059" i="11"/>
  <c r="E1058" i="11"/>
  <c r="D1058" i="11"/>
  <c r="C1058" i="11"/>
  <c r="B1058" i="11"/>
  <c r="E1057" i="11"/>
  <c r="D1057" i="11"/>
  <c r="C1057" i="11"/>
  <c r="B1057" i="11"/>
  <c r="E1056" i="11"/>
  <c r="D1056" i="11"/>
  <c r="C1056" i="11"/>
  <c r="B1056" i="11"/>
  <c r="E1055" i="11"/>
  <c r="D1055" i="11"/>
  <c r="C1055" i="11"/>
  <c r="B1055" i="11"/>
  <c r="E1054" i="11"/>
  <c r="D1054" i="11"/>
  <c r="C1054" i="11"/>
  <c r="B1054" i="11"/>
  <c r="E1053" i="11"/>
  <c r="D1053" i="11"/>
  <c r="C1053" i="11"/>
  <c r="B1053" i="11"/>
  <c r="E1052" i="11"/>
  <c r="D1052" i="11"/>
  <c r="C1052" i="11"/>
  <c r="B1052" i="11"/>
  <c r="E1051" i="11"/>
  <c r="D1051" i="11"/>
  <c r="C1051" i="11"/>
  <c r="B1051" i="11"/>
  <c r="E1050" i="11"/>
  <c r="D1050" i="11"/>
  <c r="C1050" i="11"/>
  <c r="B1050" i="11"/>
  <c r="E1049" i="11"/>
  <c r="D1049" i="11"/>
  <c r="C1049" i="11"/>
  <c r="B1049" i="11"/>
  <c r="E1048" i="11"/>
  <c r="D1048" i="11"/>
  <c r="C1048" i="11"/>
  <c r="B1048" i="11"/>
  <c r="E1047" i="11"/>
  <c r="D1047" i="11"/>
  <c r="C1047" i="11"/>
  <c r="B1047" i="11"/>
  <c r="E1046" i="11"/>
  <c r="D1046" i="11"/>
  <c r="C1046" i="11"/>
  <c r="B1046" i="11"/>
  <c r="E1045" i="11"/>
  <c r="D1045" i="11"/>
  <c r="C1045" i="11"/>
  <c r="B1045" i="11"/>
  <c r="E1044" i="11"/>
  <c r="D1044" i="11"/>
  <c r="C1044" i="11"/>
  <c r="B1044" i="11"/>
  <c r="E1043" i="11"/>
  <c r="D1043" i="11"/>
  <c r="C1043" i="11"/>
  <c r="B1043" i="11"/>
  <c r="E1042" i="11"/>
  <c r="D1042" i="11"/>
  <c r="C1042" i="11"/>
  <c r="B1042" i="11"/>
  <c r="E1041" i="11"/>
  <c r="D1041" i="11"/>
  <c r="C1041" i="11"/>
  <c r="B1041" i="11"/>
  <c r="E1040" i="11"/>
  <c r="D1040" i="11"/>
  <c r="C1040" i="11"/>
  <c r="B1040" i="11"/>
  <c r="E1039" i="11"/>
  <c r="D1039" i="11"/>
  <c r="C1039" i="11"/>
  <c r="B1039" i="11"/>
  <c r="E1038" i="11"/>
  <c r="D1038" i="11"/>
  <c r="C1038" i="11"/>
  <c r="B1038" i="11"/>
  <c r="E1037" i="11"/>
  <c r="D1037" i="11"/>
  <c r="C1037" i="11"/>
  <c r="B1037" i="11"/>
  <c r="E1036" i="11"/>
  <c r="D1036" i="11"/>
  <c r="C1036" i="11"/>
  <c r="B1036" i="11"/>
  <c r="E1035" i="11"/>
  <c r="D1035" i="11"/>
  <c r="C1035" i="11"/>
  <c r="B1035" i="11"/>
  <c r="E1034" i="11"/>
  <c r="D1034" i="11"/>
  <c r="C1034" i="11"/>
  <c r="B1034" i="11"/>
  <c r="E1033" i="11"/>
  <c r="D1033" i="11"/>
  <c r="C1033" i="11"/>
  <c r="B1033" i="11"/>
  <c r="E1032" i="11"/>
  <c r="D1032" i="11"/>
  <c r="C1032" i="11"/>
  <c r="B1032" i="11"/>
  <c r="E1031" i="11"/>
  <c r="D1031" i="11"/>
  <c r="C1031" i="11"/>
  <c r="B1031" i="11"/>
  <c r="E1030" i="11"/>
  <c r="D1030" i="11"/>
  <c r="C1030" i="11"/>
  <c r="B1030" i="11"/>
  <c r="E1029" i="11"/>
  <c r="D1029" i="11"/>
  <c r="C1029" i="11"/>
  <c r="B1029" i="11"/>
  <c r="E1028" i="11"/>
  <c r="D1028" i="11"/>
  <c r="C1028" i="11"/>
  <c r="B1028" i="11"/>
  <c r="E1027" i="11"/>
  <c r="D1027" i="11"/>
  <c r="C1027" i="11"/>
  <c r="B1027" i="11"/>
  <c r="E1026" i="11"/>
  <c r="D1026" i="11"/>
  <c r="C1026" i="11"/>
  <c r="B1026" i="11"/>
  <c r="E1025" i="11"/>
  <c r="D1025" i="11"/>
  <c r="C1025" i="11"/>
  <c r="B1025" i="11"/>
  <c r="E1024" i="11"/>
  <c r="D1024" i="11"/>
  <c r="C1024" i="11"/>
  <c r="B1024" i="11"/>
  <c r="E1023" i="11"/>
  <c r="D1023" i="11"/>
  <c r="C1023" i="11"/>
  <c r="B1023" i="11"/>
  <c r="E1022" i="11"/>
  <c r="D1022" i="11"/>
  <c r="C1022" i="11"/>
  <c r="B1022" i="11"/>
  <c r="E1021" i="11"/>
  <c r="D1021" i="11"/>
  <c r="C1021" i="11"/>
  <c r="B1021" i="11"/>
  <c r="E1020" i="11"/>
  <c r="D1020" i="11"/>
  <c r="C1020" i="11"/>
  <c r="B1020" i="11"/>
  <c r="E1019" i="11"/>
  <c r="D1019" i="11"/>
  <c r="C1019" i="11"/>
  <c r="B1019" i="11"/>
  <c r="E1018" i="11"/>
  <c r="D1018" i="11"/>
  <c r="C1018" i="11"/>
  <c r="B1018" i="11"/>
  <c r="E1017" i="11"/>
  <c r="D1017" i="11"/>
  <c r="C1017" i="11"/>
  <c r="B1017" i="11"/>
  <c r="E1016" i="11"/>
  <c r="D1016" i="11"/>
  <c r="C1016" i="11"/>
  <c r="B1016" i="11"/>
  <c r="E1015" i="11"/>
  <c r="D1015" i="11"/>
  <c r="C1015" i="11"/>
  <c r="B1015" i="11"/>
  <c r="E1014" i="11"/>
  <c r="D1014" i="11"/>
  <c r="C1014" i="11"/>
  <c r="B1014" i="11"/>
  <c r="E1013" i="11"/>
  <c r="D1013" i="11"/>
  <c r="C1013" i="11"/>
  <c r="B1013" i="11"/>
  <c r="E1012" i="11"/>
  <c r="D1012" i="11"/>
  <c r="C1012" i="11"/>
  <c r="B1012" i="11"/>
  <c r="E1011" i="11"/>
  <c r="D1011" i="11"/>
  <c r="C1011" i="11"/>
  <c r="B1011" i="11"/>
  <c r="E1010" i="11"/>
  <c r="D1010" i="11"/>
  <c r="C1010" i="11"/>
  <c r="B1010" i="11"/>
  <c r="E1009" i="11"/>
  <c r="D1009" i="11"/>
  <c r="C1009" i="11"/>
  <c r="B1009" i="11"/>
  <c r="E1008" i="11"/>
  <c r="D1008" i="11"/>
  <c r="C1008" i="11"/>
  <c r="B1008" i="11"/>
  <c r="E1007" i="11"/>
  <c r="D1007" i="11"/>
  <c r="C1007" i="11"/>
  <c r="B1007" i="11"/>
  <c r="E1006" i="11"/>
  <c r="D1006" i="11"/>
  <c r="C1006" i="11"/>
  <c r="B1006" i="11"/>
  <c r="E1005" i="11"/>
  <c r="D1005" i="11"/>
  <c r="C1005" i="11"/>
  <c r="B1005" i="11"/>
  <c r="E1004" i="11"/>
  <c r="D1004" i="11"/>
  <c r="C1004" i="11"/>
  <c r="B1004" i="11"/>
  <c r="E1003" i="11"/>
  <c r="D1003" i="11"/>
  <c r="C1003" i="11"/>
  <c r="B1003" i="11"/>
  <c r="E1002" i="11"/>
  <c r="D1002" i="11"/>
  <c r="C1002" i="11"/>
  <c r="B1002" i="11"/>
  <c r="E1001" i="11"/>
  <c r="D1001" i="11"/>
  <c r="C1001" i="11"/>
  <c r="B1001" i="11"/>
  <c r="E1000" i="11"/>
  <c r="D1000" i="11"/>
  <c r="C1000" i="11"/>
  <c r="B1000" i="11"/>
  <c r="E999" i="11"/>
  <c r="D999" i="11"/>
  <c r="C999" i="11"/>
  <c r="B999" i="11"/>
  <c r="E998" i="11"/>
  <c r="D998" i="11"/>
  <c r="C998" i="11"/>
  <c r="B998" i="11"/>
  <c r="E997" i="11"/>
  <c r="D997" i="11"/>
  <c r="C997" i="11"/>
  <c r="B997" i="11"/>
  <c r="E996" i="11"/>
  <c r="D996" i="11"/>
  <c r="C996" i="11"/>
  <c r="B996" i="11"/>
  <c r="E995" i="11"/>
  <c r="D995" i="11"/>
  <c r="C995" i="11"/>
  <c r="B995" i="11"/>
  <c r="E994" i="11"/>
  <c r="D994" i="11"/>
  <c r="C994" i="11"/>
  <c r="B994" i="11"/>
  <c r="E993" i="11"/>
  <c r="D993" i="11"/>
  <c r="C993" i="11"/>
  <c r="B993" i="11"/>
  <c r="E992" i="11"/>
  <c r="D992" i="11"/>
  <c r="C992" i="11"/>
  <c r="B992" i="11"/>
  <c r="E991" i="11"/>
  <c r="D991" i="11"/>
  <c r="C991" i="11"/>
  <c r="B991" i="11"/>
  <c r="E990" i="11"/>
  <c r="D990" i="11"/>
  <c r="C990" i="11"/>
  <c r="B990" i="11"/>
  <c r="E989" i="11"/>
  <c r="D989" i="11"/>
  <c r="C989" i="11"/>
  <c r="B989" i="11"/>
  <c r="E988" i="11"/>
  <c r="D988" i="11"/>
  <c r="C988" i="11"/>
  <c r="B988" i="11"/>
  <c r="E987" i="11"/>
  <c r="D987" i="11"/>
  <c r="C987" i="11"/>
  <c r="B987" i="11"/>
  <c r="E986" i="11"/>
  <c r="D986" i="11"/>
  <c r="C986" i="11"/>
  <c r="B986" i="11"/>
  <c r="E985" i="11"/>
  <c r="D985" i="11"/>
  <c r="C985" i="11"/>
  <c r="B985" i="11"/>
  <c r="E984" i="11"/>
  <c r="D984" i="11"/>
  <c r="C984" i="11"/>
  <c r="B984" i="11"/>
  <c r="E983" i="11"/>
  <c r="D983" i="11"/>
  <c r="C983" i="11"/>
  <c r="B983" i="11"/>
  <c r="E982" i="11"/>
  <c r="D982" i="11"/>
  <c r="C982" i="11"/>
  <c r="B982" i="11"/>
  <c r="E981" i="11"/>
  <c r="D981" i="11"/>
  <c r="C981" i="11"/>
  <c r="B981" i="11"/>
  <c r="E980" i="11"/>
  <c r="D980" i="11"/>
  <c r="C980" i="11"/>
  <c r="B980" i="11"/>
  <c r="E979" i="11"/>
  <c r="D979" i="11"/>
  <c r="C979" i="11"/>
  <c r="B979" i="11"/>
  <c r="E978" i="11"/>
  <c r="D978" i="11"/>
  <c r="C978" i="11"/>
  <c r="B978" i="11"/>
  <c r="E977" i="11"/>
  <c r="D977" i="11"/>
  <c r="C977" i="11"/>
  <c r="B977" i="11"/>
  <c r="E976" i="11"/>
  <c r="D976" i="11"/>
  <c r="C976" i="11"/>
  <c r="B976" i="11"/>
  <c r="E975" i="11"/>
  <c r="D975" i="11"/>
  <c r="C975" i="11"/>
  <c r="B975" i="11"/>
  <c r="E974" i="11"/>
  <c r="D974" i="11"/>
  <c r="C974" i="11"/>
  <c r="B974" i="11"/>
  <c r="E973" i="11"/>
  <c r="D973" i="11"/>
  <c r="C973" i="11"/>
  <c r="B973" i="11"/>
  <c r="E972" i="11"/>
  <c r="D972" i="11"/>
  <c r="C972" i="11"/>
  <c r="B972" i="11"/>
  <c r="E971" i="11"/>
  <c r="D971" i="11"/>
  <c r="C971" i="11"/>
  <c r="B971" i="11"/>
  <c r="E970" i="11"/>
  <c r="D970" i="11"/>
  <c r="C970" i="11"/>
  <c r="B970" i="11"/>
  <c r="E969" i="11"/>
  <c r="D969" i="11"/>
  <c r="C969" i="11"/>
  <c r="B969" i="11"/>
  <c r="E968" i="11"/>
  <c r="D968" i="11"/>
  <c r="C968" i="11"/>
  <c r="B968" i="11"/>
  <c r="E967" i="11"/>
  <c r="D967" i="11"/>
  <c r="C967" i="11"/>
  <c r="B967" i="11"/>
  <c r="E966" i="11"/>
  <c r="D966" i="11"/>
  <c r="C966" i="11"/>
  <c r="B966" i="11"/>
  <c r="E965" i="11"/>
  <c r="D965" i="11"/>
  <c r="C965" i="11"/>
  <c r="B965" i="11"/>
  <c r="E964" i="11"/>
  <c r="D964" i="11"/>
  <c r="C964" i="11"/>
  <c r="B964" i="11"/>
  <c r="E963" i="11"/>
  <c r="D963" i="11"/>
  <c r="C963" i="11"/>
  <c r="B963" i="11"/>
  <c r="E962" i="11"/>
  <c r="D962" i="11"/>
  <c r="C962" i="11"/>
  <c r="B962" i="11"/>
  <c r="I961" i="11"/>
  <c r="A961" i="11"/>
  <c r="I960" i="11"/>
  <c r="A960" i="11"/>
  <c r="I959" i="11"/>
  <c r="A959" i="11"/>
  <c r="I958" i="11"/>
  <c r="A958" i="11"/>
  <c r="I957" i="11"/>
  <c r="A957" i="11"/>
  <c r="I956" i="11"/>
  <c r="A956" i="11"/>
  <c r="I955" i="11"/>
  <c r="A955" i="11"/>
  <c r="I954" i="11"/>
  <c r="A954" i="11"/>
  <c r="I953" i="11"/>
  <c r="A953" i="11"/>
  <c r="I952" i="11"/>
  <c r="A952" i="11"/>
  <c r="I951" i="11"/>
  <c r="A951" i="11"/>
  <c r="I950" i="11"/>
  <c r="A950" i="11"/>
  <c r="I949" i="11"/>
  <c r="A949" i="11"/>
  <c r="I948" i="11"/>
  <c r="A948" i="11"/>
  <c r="I947" i="11"/>
  <c r="A947" i="11"/>
  <c r="I946" i="11"/>
  <c r="A946" i="11"/>
  <c r="I945" i="11"/>
  <c r="A945" i="11"/>
  <c r="I944" i="11"/>
  <c r="A944" i="11"/>
  <c r="I943" i="11"/>
  <c r="A943" i="11"/>
  <c r="I942" i="11"/>
  <c r="A942" i="11"/>
  <c r="I1162" i="11"/>
  <c r="A1162" i="11"/>
  <c r="I1161" i="11"/>
  <c r="A1161" i="11"/>
  <c r="I1160" i="11"/>
  <c r="A1160" i="11"/>
  <c r="I1159" i="11"/>
  <c r="A1159" i="11"/>
  <c r="I1158" i="11"/>
  <c r="A1158" i="11"/>
  <c r="I1154" i="11"/>
  <c r="A1154" i="11"/>
  <c r="I1153" i="11"/>
  <c r="A1153" i="11"/>
  <c r="I1152" i="11"/>
  <c r="A1152" i="11"/>
  <c r="I1151" i="11"/>
  <c r="A1151" i="11"/>
  <c r="I1150" i="11"/>
  <c r="A1150" i="11"/>
  <c r="I1149" i="11"/>
  <c r="A1149" i="11"/>
  <c r="I1148" i="11"/>
  <c r="A1148" i="11"/>
  <c r="I1147" i="11"/>
  <c r="A1147" i="11"/>
  <c r="I1146" i="11"/>
  <c r="A1146" i="11"/>
  <c r="I1145" i="11"/>
  <c r="A1145" i="11"/>
  <c r="I1144" i="11"/>
  <c r="A1144" i="11"/>
  <c r="I1143" i="11"/>
  <c r="A1143" i="11"/>
  <c r="I1142" i="11"/>
  <c r="A1142" i="11"/>
  <c r="I1101" i="11"/>
  <c r="A1101" i="11"/>
  <c r="I1100" i="11"/>
  <c r="A1100" i="11"/>
  <c r="I1099" i="11"/>
  <c r="A1099" i="11"/>
  <c r="I1098" i="11"/>
  <c r="A1098" i="11"/>
  <c r="I1097" i="11"/>
  <c r="A1097" i="11"/>
  <c r="I1096" i="11"/>
  <c r="A1096" i="11"/>
  <c r="I1095" i="11"/>
  <c r="A1095" i="11"/>
  <c r="I1094" i="11"/>
  <c r="A1094" i="11"/>
  <c r="I1093" i="11"/>
  <c r="A1093" i="11"/>
  <c r="I1092" i="11"/>
  <c r="A1092" i="11"/>
  <c r="I1091" i="11"/>
  <c r="A1091" i="11"/>
  <c r="I1090" i="11"/>
  <c r="A1090" i="11"/>
  <c r="I1089" i="11"/>
  <c r="A1089" i="11"/>
  <c r="I1088" i="11"/>
  <c r="A1088" i="11"/>
  <c r="I1087" i="11"/>
  <c r="A1087" i="11"/>
  <c r="I1086" i="11"/>
  <c r="A1086" i="11"/>
  <c r="I1085" i="11"/>
  <c r="A1085" i="11"/>
  <c r="I1084" i="11"/>
  <c r="A1084" i="11"/>
  <c r="I1083" i="11"/>
  <c r="A1083" i="11"/>
  <c r="I1082" i="11"/>
  <c r="A1082" i="11"/>
  <c r="I1081" i="11"/>
  <c r="A1081" i="11"/>
  <c r="I1080" i="11"/>
  <c r="A1080" i="11"/>
  <c r="I1079" i="11"/>
  <c r="A1079" i="11"/>
  <c r="I1078" i="11"/>
  <c r="A1078" i="11"/>
  <c r="I1077" i="11"/>
  <c r="A1077" i="11"/>
  <c r="I1076" i="11"/>
  <c r="A1076" i="11"/>
  <c r="I1075" i="11"/>
  <c r="A1075" i="11"/>
  <c r="I1074" i="11"/>
  <c r="A1074" i="11"/>
  <c r="I1073" i="11"/>
  <c r="A1073" i="11"/>
  <c r="I1072" i="11"/>
  <c r="A1072" i="11"/>
  <c r="I1071" i="11"/>
  <c r="A1071" i="11"/>
  <c r="I1070" i="11"/>
  <c r="A1070" i="11"/>
  <c r="I1069" i="11"/>
  <c r="A1069" i="11"/>
  <c r="I1068" i="11"/>
  <c r="A1068" i="11"/>
  <c r="I1067" i="11"/>
  <c r="A1067" i="11"/>
  <c r="I1066" i="11"/>
  <c r="A1066" i="11"/>
  <c r="I1065" i="11"/>
  <c r="A1065" i="11"/>
  <c r="I1064" i="11"/>
  <c r="A1064" i="11"/>
  <c r="I1063" i="11"/>
  <c r="A1063" i="11"/>
  <c r="I1062" i="11"/>
  <c r="A1062" i="11"/>
  <c r="I1061" i="11"/>
  <c r="A1061" i="11"/>
  <c r="I1060" i="11"/>
  <c r="A1060" i="11"/>
  <c r="I1059" i="11"/>
  <c r="A1059" i="11"/>
  <c r="I1058" i="11"/>
  <c r="A1058" i="11"/>
  <c r="I1057" i="11"/>
  <c r="A1057" i="11"/>
  <c r="I1056" i="11"/>
  <c r="A1056" i="11"/>
  <c r="I1055" i="11"/>
  <c r="A1055" i="11"/>
  <c r="I1054" i="11"/>
  <c r="A1054" i="11"/>
  <c r="I1053" i="11"/>
  <c r="A1053" i="11"/>
  <c r="I1052" i="11"/>
  <c r="A1052" i="11"/>
  <c r="I1051" i="11"/>
  <c r="A1051" i="11"/>
  <c r="I1050" i="11"/>
  <c r="A1050" i="11"/>
  <c r="I1049" i="11"/>
  <c r="A1049" i="11"/>
  <c r="I1048" i="11"/>
  <c r="A1048" i="11"/>
  <c r="I1047" i="11"/>
  <c r="A1047" i="11"/>
  <c r="I1046" i="11"/>
  <c r="A1046" i="11"/>
  <c r="I1045" i="11"/>
  <c r="A1045" i="11"/>
  <c r="I1044" i="11"/>
  <c r="A1044" i="11"/>
  <c r="I1043" i="11"/>
  <c r="A1043" i="11"/>
  <c r="I1042" i="11"/>
  <c r="A1042" i="11"/>
  <c r="I1041" i="11"/>
  <c r="A1041" i="11"/>
  <c r="I1040" i="11"/>
  <c r="A1040" i="11"/>
  <c r="I1039" i="11"/>
  <c r="A1039" i="11"/>
  <c r="I1038" i="11"/>
  <c r="A1038" i="11"/>
  <c r="I1037" i="11"/>
  <c r="A1037" i="11"/>
  <c r="I1036" i="11"/>
  <c r="A1036" i="11"/>
  <c r="I1035" i="11"/>
  <c r="A1035" i="11"/>
  <c r="I1034" i="11"/>
  <c r="A1034" i="11"/>
  <c r="I1033" i="11"/>
  <c r="A1033" i="11"/>
  <c r="I1032" i="11"/>
  <c r="A1032" i="11"/>
  <c r="I1031" i="11"/>
  <c r="A1031" i="11"/>
  <c r="I1030" i="11"/>
  <c r="A1030" i="11"/>
  <c r="I1029" i="11"/>
  <c r="A1029" i="11"/>
  <c r="I1028" i="11"/>
  <c r="A1028" i="11"/>
  <c r="I1027" i="11"/>
  <c r="A1027" i="11"/>
  <c r="I1026" i="11"/>
  <c r="A1026" i="11"/>
  <c r="I1025" i="11"/>
  <c r="A1025" i="11"/>
  <c r="I1024" i="11"/>
  <c r="A1024" i="11"/>
  <c r="I1023" i="11"/>
  <c r="A1023" i="11"/>
  <c r="I1022" i="11"/>
  <c r="A1022" i="11"/>
  <c r="I1021" i="11"/>
  <c r="A1021" i="11"/>
  <c r="I1020" i="11"/>
  <c r="A1020" i="11"/>
  <c r="I1019" i="11"/>
  <c r="A1019" i="11"/>
  <c r="I1018" i="11"/>
  <c r="A1018" i="11"/>
  <c r="I1017" i="11"/>
  <c r="A1017" i="11"/>
  <c r="I1016" i="11"/>
  <c r="A1016" i="11"/>
  <c r="I1015" i="11"/>
  <c r="A1015" i="11"/>
  <c r="I1014" i="11"/>
  <c r="A1014" i="11"/>
  <c r="I1013" i="11"/>
  <c r="A1013" i="11"/>
  <c r="I1012" i="11"/>
  <c r="A1012" i="11"/>
  <c r="I1011" i="11"/>
  <c r="A1011" i="11"/>
  <c r="I1010" i="11"/>
  <c r="A1010" i="11"/>
  <c r="I1009" i="11"/>
  <c r="A1009" i="11"/>
  <c r="I1008" i="11"/>
  <c r="A1008" i="11"/>
  <c r="I1007" i="11"/>
  <c r="A1007" i="11"/>
  <c r="I1006" i="11"/>
  <c r="A1006" i="11"/>
  <c r="I1005" i="11"/>
  <c r="A1005" i="11"/>
  <c r="I1004" i="11"/>
  <c r="A1004" i="11"/>
  <c r="I1003" i="11"/>
  <c r="A1003" i="11"/>
  <c r="I1002" i="11"/>
  <c r="A1002" i="11"/>
  <c r="I1001" i="11"/>
  <c r="A1001" i="11"/>
  <c r="I1000" i="11"/>
  <c r="A1000" i="11"/>
  <c r="I999" i="11"/>
  <c r="A999" i="11"/>
  <c r="I998" i="11"/>
  <c r="A998" i="11"/>
  <c r="I997" i="11"/>
  <c r="A997" i="11"/>
  <c r="I996" i="11"/>
  <c r="A996" i="11"/>
  <c r="I995" i="11"/>
  <c r="A995" i="11"/>
  <c r="I994" i="11"/>
  <c r="A994" i="11"/>
  <c r="I993" i="11"/>
  <c r="A993" i="11"/>
  <c r="I992" i="11"/>
  <c r="A992" i="11"/>
  <c r="I991" i="11"/>
  <c r="A991" i="11"/>
  <c r="I990" i="11"/>
  <c r="A990" i="11"/>
  <c r="I989" i="11"/>
  <c r="A989" i="11"/>
  <c r="I988" i="11"/>
  <c r="A988" i="11"/>
  <c r="I987" i="11"/>
  <c r="A987" i="11"/>
  <c r="I986" i="11"/>
  <c r="A986" i="11"/>
  <c r="I985" i="11"/>
  <c r="A985" i="11"/>
  <c r="I984" i="11"/>
  <c r="A984" i="11"/>
  <c r="I983" i="11"/>
  <c r="A983" i="11"/>
  <c r="I982" i="11"/>
  <c r="A982" i="11"/>
  <c r="I981" i="11"/>
  <c r="A981" i="11"/>
  <c r="I980" i="11"/>
  <c r="A980" i="11"/>
  <c r="I979" i="11"/>
  <c r="A979" i="11"/>
  <c r="I978" i="11"/>
  <c r="A978" i="11"/>
  <c r="I977" i="11"/>
  <c r="A977" i="11"/>
  <c r="I976" i="11"/>
  <c r="A976" i="11"/>
  <c r="I975" i="11"/>
  <c r="A975" i="11"/>
  <c r="I974" i="11"/>
  <c r="A974" i="11"/>
  <c r="I973" i="11"/>
  <c r="A973" i="11"/>
  <c r="I972" i="11"/>
  <c r="A972" i="11"/>
  <c r="I971" i="11"/>
  <c r="A971" i="11"/>
  <c r="I970" i="11"/>
  <c r="A970" i="11"/>
  <c r="I969" i="11"/>
  <c r="A969" i="11"/>
  <c r="I968" i="11"/>
  <c r="A968" i="11"/>
  <c r="I967" i="11"/>
  <c r="A967" i="11"/>
  <c r="I966" i="11"/>
  <c r="A966" i="11"/>
  <c r="I965" i="11"/>
  <c r="A965" i="11"/>
  <c r="I964" i="11"/>
  <c r="A964" i="11"/>
  <c r="I963" i="11"/>
  <c r="A963" i="11"/>
  <c r="I962" i="11"/>
  <c r="A962" i="11"/>
  <c r="F129" i="16"/>
  <c r="E129" i="16"/>
  <c r="M119" i="16"/>
  <c r="L119" i="16"/>
  <c r="F128" i="16"/>
  <c r="E128" i="16"/>
  <c r="M118" i="16"/>
  <c r="L118" i="16"/>
  <c r="F127" i="16"/>
  <c r="E127" i="16"/>
  <c r="M117" i="16"/>
  <c r="L117" i="16"/>
  <c r="F126" i="16"/>
  <c r="E126" i="16"/>
  <c r="M116" i="16"/>
  <c r="L116" i="16"/>
  <c r="F125" i="16"/>
  <c r="E125" i="16"/>
  <c r="M115" i="16"/>
  <c r="L115" i="16"/>
  <c r="F122" i="16"/>
  <c r="E122" i="16"/>
  <c r="F121" i="16"/>
  <c r="E121" i="16"/>
  <c r="F120" i="16"/>
  <c r="E120" i="16"/>
  <c r="F119" i="16"/>
  <c r="E119" i="16"/>
  <c r="F118" i="16"/>
  <c r="E118" i="16"/>
  <c r="F117" i="16"/>
  <c r="E117" i="16"/>
  <c r="F116" i="16"/>
  <c r="E116" i="16"/>
  <c r="F115" i="16"/>
  <c r="E115" i="16"/>
  <c r="M90" i="16"/>
  <c r="L90" i="16"/>
  <c r="F90" i="16"/>
  <c r="E90" i="16"/>
  <c r="M89" i="16"/>
  <c r="L89" i="16"/>
  <c r="F89" i="16"/>
  <c r="E89" i="16"/>
  <c r="M88" i="16"/>
  <c r="L88" i="16"/>
  <c r="F88" i="16"/>
  <c r="E88" i="16"/>
  <c r="M87" i="16"/>
  <c r="L87" i="16"/>
  <c r="F87" i="16"/>
  <c r="E87" i="16"/>
  <c r="M86" i="16"/>
  <c r="L86" i="16"/>
  <c r="F86" i="16"/>
  <c r="E86" i="16"/>
  <c r="M85" i="16"/>
  <c r="L85" i="16"/>
  <c r="F85" i="16"/>
  <c r="E85" i="16"/>
  <c r="M84" i="16"/>
  <c r="L84" i="16"/>
  <c r="F84" i="16"/>
  <c r="E84" i="16"/>
  <c r="M83" i="16"/>
  <c r="L83" i="16"/>
  <c r="F83" i="16"/>
  <c r="E83" i="16"/>
  <c r="M82" i="16"/>
  <c r="L82" i="16"/>
  <c r="F82" i="16"/>
  <c r="E82" i="16"/>
  <c r="M81" i="16"/>
  <c r="L81" i="16"/>
  <c r="F81" i="16"/>
  <c r="E81" i="16"/>
  <c r="M80" i="16"/>
  <c r="L80" i="16"/>
  <c r="F80" i="16"/>
  <c r="E80" i="16"/>
  <c r="M79" i="16"/>
  <c r="L79" i="16"/>
  <c r="F79" i="16"/>
  <c r="E79" i="16"/>
  <c r="M78" i="16"/>
  <c r="L78" i="16"/>
  <c r="F78" i="16"/>
  <c r="E78" i="16"/>
  <c r="M77" i="16"/>
  <c r="L77" i="16"/>
  <c r="F77" i="16"/>
  <c r="E77" i="16"/>
  <c r="M76" i="16"/>
  <c r="L76" i="16"/>
  <c r="F76" i="16"/>
  <c r="E76" i="16"/>
  <c r="M75" i="16"/>
  <c r="L75" i="16"/>
  <c r="F75" i="16"/>
  <c r="E75" i="16"/>
  <c r="M74" i="16"/>
  <c r="L74" i="16"/>
  <c r="F74" i="16"/>
  <c r="E74" i="16"/>
  <c r="M73" i="16"/>
  <c r="L73" i="16"/>
  <c r="F73" i="16"/>
  <c r="E73" i="16"/>
  <c r="M72" i="16"/>
  <c r="L72" i="16"/>
  <c r="F72" i="16"/>
  <c r="E72" i="16"/>
  <c r="M71" i="16"/>
  <c r="L71" i="16"/>
  <c r="F71" i="16"/>
  <c r="E71" i="16"/>
  <c r="M68" i="16"/>
  <c r="L68" i="16"/>
  <c r="F68" i="16"/>
  <c r="E68" i="16"/>
  <c r="M67" i="16"/>
  <c r="L67" i="16"/>
  <c r="F67" i="16"/>
  <c r="E67" i="16"/>
  <c r="M66" i="16"/>
  <c r="L66" i="16"/>
  <c r="F66" i="16"/>
  <c r="E66" i="16"/>
  <c r="M65" i="16"/>
  <c r="L65" i="16"/>
  <c r="F65" i="16"/>
  <c r="E65" i="16"/>
  <c r="M64" i="16"/>
  <c r="L64" i="16"/>
  <c r="F64" i="16"/>
  <c r="E64" i="16"/>
  <c r="M63" i="16"/>
  <c r="L63" i="16"/>
  <c r="F63" i="16"/>
  <c r="E63" i="16"/>
  <c r="M62" i="16"/>
  <c r="L62" i="16"/>
  <c r="F62" i="16"/>
  <c r="E62" i="16"/>
  <c r="M61" i="16"/>
  <c r="L61" i="16"/>
  <c r="F61" i="16"/>
  <c r="E61" i="16"/>
  <c r="M60" i="16"/>
  <c r="L60" i="16"/>
  <c r="F60" i="16"/>
  <c r="E60" i="16"/>
  <c r="M59" i="16"/>
  <c r="L59" i="16"/>
  <c r="F59" i="16"/>
  <c r="E59" i="16"/>
  <c r="M58" i="16"/>
  <c r="L58" i="16"/>
  <c r="F58" i="16"/>
  <c r="E58" i="16"/>
  <c r="M57" i="16"/>
  <c r="L57" i="16"/>
  <c r="F57" i="16"/>
  <c r="E57" i="16"/>
  <c r="M56" i="16"/>
  <c r="L56" i="16"/>
  <c r="F56" i="16"/>
  <c r="E56" i="16"/>
  <c r="M55" i="16"/>
  <c r="L55" i="16"/>
  <c r="F55" i="16"/>
  <c r="E55" i="16"/>
  <c r="M54" i="16"/>
  <c r="L54" i="16"/>
  <c r="F54" i="16"/>
  <c r="E54" i="16"/>
  <c r="M53" i="16"/>
  <c r="L53" i="16"/>
  <c r="F53" i="16"/>
  <c r="E53" i="16"/>
  <c r="M52" i="16"/>
  <c r="L52" i="16"/>
  <c r="F52" i="16"/>
  <c r="E52" i="16"/>
  <c r="M51" i="16"/>
  <c r="L51" i="16"/>
  <c r="F51" i="16"/>
  <c r="E51" i="16"/>
  <c r="M50" i="16"/>
  <c r="L50" i="16"/>
  <c r="F50" i="16"/>
  <c r="E50" i="16"/>
  <c r="M49" i="16"/>
  <c r="L49" i="16"/>
  <c r="F49" i="16"/>
  <c r="E49" i="16"/>
  <c r="M46" i="16"/>
  <c r="L46" i="16"/>
  <c r="F46" i="16"/>
  <c r="E46" i="16"/>
  <c r="M45" i="16"/>
  <c r="L45" i="16"/>
  <c r="F45" i="16"/>
  <c r="E45" i="16"/>
  <c r="M44" i="16"/>
  <c r="L44" i="16"/>
  <c r="F44" i="16"/>
  <c r="E44" i="16"/>
  <c r="M43" i="16"/>
  <c r="L43" i="16"/>
  <c r="F43" i="16"/>
  <c r="E43" i="16"/>
  <c r="M42" i="16"/>
  <c r="L42" i="16"/>
  <c r="F42" i="16"/>
  <c r="E42" i="16"/>
  <c r="M41" i="16"/>
  <c r="L41" i="16"/>
  <c r="F41" i="16"/>
  <c r="E41" i="16"/>
  <c r="M40" i="16"/>
  <c r="L40" i="16"/>
  <c r="F40" i="16"/>
  <c r="E40" i="16"/>
  <c r="M39" i="16"/>
  <c r="L39" i="16"/>
  <c r="F39" i="16"/>
  <c r="E39" i="16"/>
  <c r="M38" i="16"/>
  <c r="L38" i="16"/>
  <c r="F38" i="16"/>
  <c r="E38" i="16"/>
  <c r="M37" i="16"/>
  <c r="L37" i="16"/>
  <c r="F37" i="16"/>
  <c r="E37" i="16"/>
  <c r="M36" i="16"/>
  <c r="L36" i="16"/>
  <c r="F36" i="16"/>
  <c r="E36" i="16"/>
  <c r="M35" i="16"/>
  <c r="L35" i="16"/>
  <c r="F35" i="16"/>
  <c r="E35" i="16"/>
  <c r="M34" i="16"/>
  <c r="L34" i="16"/>
  <c r="F34" i="16"/>
  <c r="E34" i="16"/>
  <c r="M33" i="16"/>
  <c r="L33" i="16"/>
  <c r="F33" i="16"/>
  <c r="E33" i="16"/>
  <c r="M32" i="16"/>
  <c r="L32" i="16"/>
  <c r="F32" i="16"/>
  <c r="E32" i="16"/>
  <c r="M31" i="16"/>
  <c r="L31" i="16"/>
  <c r="F31" i="16"/>
  <c r="E31" i="16"/>
  <c r="M30" i="16"/>
  <c r="L30" i="16"/>
  <c r="F30" i="16"/>
  <c r="E30" i="16"/>
  <c r="M29" i="16"/>
  <c r="L29" i="16"/>
  <c r="F29" i="16"/>
  <c r="E29" i="16"/>
  <c r="M28" i="16"/>
  <c r="L28" i="16"/>
  <c r="F28" i="16"/>
  <c r="E28" i="16"/>
  <c r="M27" i="16"/>
  <c r="L27" i="16"/>
  <c r="F27" i="16"/>
  <c r="E27" i="16"/>
  <c r="M24" i="16"/>
  <c r="L24" i="16"/>
  <c r="F24" i="16"/>
  <c r="E24" i="16"/>
  <c r="M23" i="16"/>
  <c r="L23" i="16"/>
  <c r="F23" i="16"/>
  <c r="E23" i="16"/>
  <c r="M22" i="16"/>
  <c r="L22" i="16"/>
  <c r="F22" i="16"/>
  <c r="E22" i="16"/>
  <c r="M21" i="16"/>
  <c r="L21" i="16"/>
  <c r="F21" i="16"/>
  <c r="E21" i="16"/>
  <c r="M20" i="16"/>
  <c r="L20" i="16"/>
  <c r="F20" i="16"/>
  <c r="E20" i="16"/>
  <c r="M19" i="16"/>
  <c r="L19" i="16"/>
  <c r="F19" i="16"/>
  <c r="E19" i="16"/>
  <c r="M18" i="16"/>
  <c r="L18" i="16"/>
  <c r="F18" i="16"/>
  <c r="E18" i="16"/>
  <c r="M17" i="16"/>
  <c r="L17" i="16"/>
  <c r="F17" i="16"/>
  <c r="E17" i="16"/>
  <c r="M16" i="16"/>
  <c r="L16" i="16"/>
  <c r="F16" i="16"/>
  <c r="E16" i="16"/>
  <c r="M15" i="16"/>
  <c r="L15" i="16"/>
  <c r="F15" i="16"/>
  <c r="E15" i="16"/>
  <c r="M14" i="16"/>
  <c r="L14" i="16"/>
  <c r="F14" i="16"/>
  <c r="E14" i="16"/>
  <c r="M13" i="16"/>
  <c r="L13" i="16"/>
  <c r="F13" i="16"/>
  <c r="E13" i="16"/>
  <c r="M12" i="16"/>
  <c r="L12" i="16"/>
  <c r="F12" i="16"/>
  <c r="E12" i="16"/>
  <c r="M11" i="16"/>
  <c r="L11" i="16"/>
  <c r="F11" i="16"/>
  <c r="E11" i="16"/>
  <c r="M10" i="16"/>
  <c r="L10" i="16"/>
  <c r="F10" i="16"/>
  <c r="E10" i="16"/>
  <c r="M9" i="16"/>
  <c r="L9" i="16"/>
  <c r="F9" i="16"/>
  <c r="E9" i="16"/>
  <c r="M8" i="16"/>
  <c r="L8" i="16"/>
  <c r="F8" i="16"/>
  <c r="E8" i="16"/>
  <c r="M7" i="16"/>
  <c r="L7" i="16"/>
  <c r="F7" i="16"/>
  <c r="E7" i="16"/>
  <c r="M6" i="16"/>
  <c r="L6" i="16"/>
  <c r="F6" i="16"/>
  <c r="E6" i="16"/>
  <c r="M5" i="16"/>
  <c r="L5" i="16"/>
  <c r="F5" i="16"/>
  <c r="E5" i="16"/>
  <c r="E740" i="11"/>
  <c r="D740" i="11"/>
  <c r="C740" i="11"/>
  <c r="B740" i="11"/>
  <c r="E739" i="11"/>
  <c r="D739" i="11"/>
  <c r="C739" i="11"/>
  <c r="B739" i="11"/>
  <c r="E738" i="11"/>
  <c r="D738" i="11"/>
  <c r="C738" i="11"/>
  <c r="B738" i="11"/>
  <c r="E737" i="11"/>
  <c r="D737" i="11"/>
  <c r="C737" i="11"/>
  <c r="B737" i="11"/>
  <c r="E736" i="11"/>
  <c r="D736" i="11"/>
  <c r="C736" i="11"/>
  <c r="B736" i="11"/>
  <c r="E735" i="11"/>
  <c r="D735" i="11"/>
  <c r="C735" i="11"/>
  <c r="B735" i="11"/>
  <c r="E734" i="11"/>
  <c r="D734" i="11"/>
  <c r="C734" i="11"/>
  <c r="B734" i="11"/>
  <c r="E733" i="11"/>
  <c r="D733" i="11"/>
  <c r="C733" i="11"/>
  <c r="B733" i="11"/>
  <c r="E732" i="11"/>
  <c r="D732" i="11"/>
  <c r="C732" i="11"/>
  <c r="B732" i="11"/>
  <c r="E731" i="11"/>
  <c r="D731" i="11"/>
  <c r="C731" i="11"/>
  <c r="B731" i="11"/>
  <c r="E730" i="11"/>
  <c r="D730" i="11"/>
  <c r="C730" i="11"/>
  <c r="B730" i="11"/>
  <c r="E729" i="11"/>
  <c r="D729" i="11"/>
  <c r="C729" i="11"/>
  <c r="B729" i="11"/>
  <c r="E728" i="11"/>
  <c r="D728" i="11"/>
  <c r="C728" i="11"/>
  <c r="B728" i="11"/>
  <c r="E727" i="11"/>
  <c r="D727" i="11"/>
  <c r="C727" i="11"/>
  <c r="B727" i="11"/>
  <c r="E726" i="11"/>
  <c r="D726" i="11"/>
  <c r="C726" i="11"/>
  <c r="B726" i="11"/>
  <c r="E725" i="11"/>
  <c r="D725" i="11"/>
  <c r="C725" i="11"/>
  <c r="B725" i="11"/>
  <c r="E724" i="11"/>
  <c r="D724" i="11"/>
  <c r="C724" i="11"/>
  <c r="B724" i="11"/>
  <c r="E723" i="11"/>
  <c r="D723" i="11"/>
  <c r="C723" i="11"/>
  <c r="B723" i="11"/>
  <c r="E722" i="11"/>
  <c r="D722" i="11"/>
  <c r="C722" i="11"/>
  <c r="B722" i="11"/>
  <c r="E721" i="11"/>
  <c r="D721" i="11"/>
  <c r="C721" i="11"/>
  <c r="B721" i="11"/>
  <c r="E941" i="11"/>
  <c r="D941" i="11"/>
  <c r="C941" i="11"/>
  <c r="B941" i="11"/>
  <c r="E940" i="11"/>
  <c r="D940" i="11"/>
  <c r="C940" i="11"/>
  <c r="B940" i="11"/>
  <c r="E939" i="11"/>
  <c r="D939" i="11"/>
  <c r="C939" i="11"/>
  <c r="B939" i="11"/>
  <c r="E938" i="11"/>
  <c r="D938" i="11"/>
  <c r="C938" i="11"/>
  <c r="B938" i="11"/>
  <c r="E937" i="11"/>
  <c r="D937" i="11"/>
  <c r="C937" i="11"/>
  <c r="B937" i="11"/>
  <c r="E933" i="11"/>
  <c r="D933" i="11"/>
  <c r="C933" i="11"/>
  <c r="B933" i="11"/>
  <c r="E932" i="11"/>
  <c r="D932" i="11"/>
  <c r="C932" i="11"/>
  <c r="B932" i="11"/>
  <c r="E931" i="11"/>
  <c r="D931" i="11"/>
  <c r="C931" i="11"/>
  <c r="B931" i="11"/>
  <c r="E930" i="11"/>
  <c r="D930" i="11"/>
  <c r="C930" i="11"/>
  <c r="B930" i="11"/>
  <c r="E929" i="11"/>
  <c r="D929" i="11"/>
  <c r="C929" i="11"/>
  <c r="B929" i="11"/>
  <c r="E928" i="11"/>
  <c r="D928" i="11"/>
  <c r="C928" i="11"/>
  <c r="B928" i="11"/>
  <c r="E927" i="11"/>
  <c r="D927" i="11"/>
  <c r="C927" i="11"/>
  <c r="B927" i="11"/>
  <c r="E926" i="11"/>
  <c r="D926" i="11"/>
  <c r="C926" i="11"/>
  <c r="B926" i="11"/>
  <c r="E925" i="11"/>
  <c r="D925" i="11"/>
  <c r="C925" i="11"/>
  <c r="B925" i="11"/>
  <c r="E924" i="11"/>
  <c r="D924" i="11"/>
  <c r="C924" i="11"/>
  <c r="B924" i="11"/>
  <c r="E923" i="11"/>
  <c r="D923" i="11"/>
  <c r="C923" i="11"/>
  <c r="B923" i="11"/>
  <c r="E922" i="11"/>
  <c r="D922" i="11"/>
  <c r="C922" i="11"/>
  <c r="B922" i="11"/>
  <c r="E921" i="11"/>
  <c r="D921" i="11"/>
  <c r="C921" i="11"/>
  <c r="B921" i="11"/>
  <c r="E880" i="11"/>
  <c r="D880" i="11"/>
  <c r="C880" i="11"/>
  <c r="B880" i="11"/>
  <c r="E879" i="11"/>
  <c r="D879" i="11"/>
  <c r="C879" i="11"/>
  <c r="B879" i="11"/>
  <c r="E878" i="11"/>
  <c r="D878" i="11"/>
  <c r="C878" i="11"/>
  <c r="B878" i="11"/>
  <c r="E877" i="11"/>
  <c r="D877" i="11"/>
  <c r="C877" i="11"/>
  <c r="B877" i="11"/>
  <c r="E876" i="11"/>
  <c r="D876" i="11"/>
  <c r="C876" i="11"/>
  <c r="B876" i="11"/>
  <c r="E875" i="11"/>
  <c r="D875" i="11"/>
  <c r="C875" i="11"/>
  <c r="B875" i="11"/>
  <c r="E874" i="11"/>
  <c r="D874" i="11"/>
  <c r="C874" i="11"/>
  <c r="B874" i="11"/>
  <c r="E873" i="11"/>
  <c r="D873" i="11"/>
  <c r="C873" i="11"/>
  <c r="B873" i="11"/>
  <c r="E872" i="11"/>
  <c r="D872" i="11"/>
  <c r="C872" i="11"/>
  <c r="B872" i="11"/>
  <c r="E871" i="11"/>
  <c r="D871" i="11"/>
  <c r="C871" i="11"/>
  <c r="B871" i="11"/>
  <c r="E870" i="11"/>
  <c r="D870" i="11"/>
  <c r="C870" i="11"/>
  <c r="B870" i="11"/>
  <c r="E869" i="11"/>
  <c r="D869" i="11"/>
  <c r="C869" i="11"/>
  <c r="B869" i="11"/>
  <c r="E868" i="11"/>
  <c r="D868" i="11"/>
  <c r="C868" i="11"/>
  <c r="B868" i="11"/>
  <c r="E867" i="11"/>
  <c r="D867" i="11"/>
  <c r="C867" i="11"/>
  <c r="B867" i="11"/>
  <c r="E866" i="11"/>
  <c r="D866" i="11"/>
  <c r="C866" i="11"/>
  <c r="B866" i="11"/>
  <c r="E865" i="11"/>
  <c r="D865" i="11"/>
  <c r="C865" i="11"/>
  <c r="B865" i="11"/>
  <c r="E864" i="11"/>
  <c r="D864" i="11"/>
  <c r="C864" i="11"/>
  <c r="B864" i="11"/>
  <c r="E863" i="11"/>
  <c r="D863" i="11"/>
  <c r="C863" i="11"/>
  <c r="B863" i="11"/>
  <c r="E862" i="11"/>
  <c r="D862" i="11"/>
  <c r="C862" i="11"/>
  <c r="B862" i="11"/>
  <c r="E861" i="11"/>
  <c r="D861" i="11"/>
  <c r="C861" i="11"/>
  <c r="B861" i="11"/>
  <c r="E860" i="11"/>
  <c r="D860" i="11"/>
  <c r="C860" i="11"/>
  <c r="B860" i="11"/>
  <c r="E859" i="11"/>
  <c r="D859" i="11"/>
  <c r="C859" i="11"/>
  <c r="B859" i="11"/>
  <c r="E858" i="11"/>
  <c r="D858" i="11"/>
  <c r="C858" i="11"/>
  <c r="B858" i="11"/>
  <c r="E857" i="11"/>
  <c r="D857" i="11"/>
  <c r="C857" i="11"/>
  <c r="B857" i="11"/>
  <c r="E856" i="11"/>
  <c r="D856" i="11"/>
  <c r="C856" i="11"/>
  <c r="B856" i="11"/>
  <c r="E855" i="11"/>
  <c r="D855" i="11"/>
  <c r="C855" i="11"/>
  <c r="B855" i="11"/>
  <c r="E854" i="11"/>
  <c r="D854" i="11"/>
  <c r="C854" i="11"/>
  <c r="B854" i="11"/>
  <c r="E853" i="11"/>
  <c r="D853" i="11"/>
  <c r="C853" i="11"/>
  <c r="B853" i="11"/>
  <c r="E852" i="11"/>
  <c r="D852" i="11"/>
  <c r="C852" i="11"/>
  <c r="B852" i="11"/>
  <c r="E851" i="11"/>
  <c r="D851" i="11"/>
  <c r="C851" i="11"/>
  <c r="B851" i="11"/>
  <c r="E850" i="11"/>
  <c r="D850" i="11"/>
  <c r="C850" i="11"/>
  <c r="B850" i="11"/>
  <c r="E849" i="11"/>
  <c r="D849" i="11"/>
  <c r="C849" i="11"/>
  <c r="B849" i="11"/>
  <c r="E848" i="11"/>
  <c r="D848" i="11"/>
  <c r="C848" i="11"/>
  <c r="B848" i="11"/>
  <c r="E847" i="11"/>
  <c r="D847" i="11"/>
  <c r="C847" i="11"/>
  <c r="B847" i="11"/>
  <c r="E846" i="11"/>
  <c r="D846" i="11"/>
  <c r="C846" i="11"/>
  <c r="B846" i="11"/>
  <c r="E845" i="11"/>
  <c r="D845" i="11"/>
  <c r="C845" i="11"/>
  <c r="B845" i="11"/>
  <c r="E844" i="11"/>
  <c r="D844" i="11"/>
  <c r="C844" i="11"/>
  <c r="B844" i="11"/>
  <c r="E843" i="11"/>
  <c r="D843" i="11"/>
  <c r="C843" i="11"/>
  <c r="B843" i="11"/>
  <c r="E842" i="11"/>
  <c r="D842" i="11"/>
  <c r="C842" i="11"/>
  <c r="B842" i="11"/>
  <c r="E841" i="11"/>
  <c r="D841" i="11"/>
  <c r="C841" i="11"/>
  <c r="B841" i="11"/>
  <c r="E840" i="11"/>
  <c r="D840" i="11"/>
  <c r="C840" i="11"/>
  <c r="B840" i="11"/>
  <c r="E839" i="11"/>
  <c r="D839" i="11"/>
  <c r="C839" i="11"/>
  <c r="B839" i="11"/>
  <c r="E838" i="11"/>
  <c r="D838" i="11"/>
  <c r="C838" i="11"/>
  <c r="B838" i="11"/>
  <c r="E837" i="11"/>
  <c r="D837" i="11"/>
  <c r="C837" i="11"/>
  <c r="B837" i="11"/>
  <c r="E836" i="11"/>
  <c r="D836" i="11"/>
  <c r="C836" i="11"/>
  <c r="B836" i="11"/>
  <c r="E835" i="11"/>
  <c r="D835" i="11"/>
  <c r="C835" i="11"/>
  <c r="B835" i="11"/>
  <c r="E834" i="11"/>
  <c r="D834" i="11"/>
  <c r="C834" i="11"/>
  <c r="B834" i="11"/>
  <c r="E833" i="11"/>
  <c r="D833" i="11"/>
  <c r="C833" i="11"/>
  <c r="B833" i="11"/>
  <c r="E832" i="11"/>
  <c r="D832" i="11"/>
  <c r="C832" i="11"/>
  <c r="B832" i="11"/>
  <c r="E831" i="11"/>
  <c r="D831" i="11"/>
  <c r="C831" i="11"/>
  <c r="B831" i="11"/>
  <c r="E830" i="11"/>
  <c r="D830" i="11"/>
  <c r="C830" i="11"/>
  <c r="B830" i="11"/>
  <c r="E829" i="11"/>
  <c r="D829" i="11"/>
  <c r="C829" i="11"/>
  <c r="B829" i="11"/>
  <c r="E828" i="11"/>
  <c r="D828" i="11"/>
  <c r="C828" i="11"/>
  <c r="B828" i="11"/>
  <c r="E827" i="11"/>
  <c r="D827" i="11"/>
  <c r="C827" i="11"/>
  <c r="B827" i="11"/>
  <c r="E826" i="11"/>
  <c r="D826" i="11"/>
  <c r="C826" i="11"/>
  <c r="B826" i="11"/>
  <c r="E825" i="11"/>
  <c r="D825" i="11"/>
  <c r="C825" i="11"/>
  <c r="B825" i="11"/>
  <c r="E824" i="11"/>
  <c r="D824" i="11"/>
  <c r="C824" i="11"/>
  <c r="B824" i="11"/>
  <c r="E823" i="11"/>
  <c r="D823" i="11"/>
  <c r="C823" i="11"/>
  <c r="B823" i="11"/>
  <c r="E822" i="11"/>
  <c r="D822" i="11"/>
  <c r="C822" i="11"/>
  <c r="B822" i="11"/>
  <c r="E821" i="11"/>
  <c r="D821" i="11"/>
  <c r="C821" i="11"/>
  <c r="B821" i="11"/>
  <c r="E820" i="11"/>
  <c r="D820" i="11"/>
  <c r="C820" i="11"/>
  <c r="B820" i="11"/>
  <c r="E819" i="11"/>
  <c r="D819" i="11"/>
  <c r="C819" i="11"/>
  <c r="B819" i="11"/>
  <c r="E818" i="11"/>
  <c r="D818" i="11"/>
  <c r="C818" i="11"/>
  <c r="B818" i="11"/>
  <c r="E817" i="11"/>
  <c r="D817" i="11"/>
  <c r="C817" i="11"/>
  <c r="B817" i="11"/>
  <c r="E816" i="11"/>
  <c r="D816" i="11"/>
  <c r="C816" i="11"/>
  <c r="B816" i="11"/>
  <c r="E815" i="11"/>
  <c r="D815" i="11"/>
  <c r="C815" i="11"/>
  <c r="B815" i="11"/>
  <c r="E814" i="11"/>
  <c r="D814" i="11"/>
  <c r="C814" i="11"/>
  <c r="B814" i="11"/>
  <c r="E813" i="11"/>
  <c r="D813" i="11"/>
  <c r="C813" i="11"/>
  <c r="B813" i="11"/>
  <c r="E812" i="11"/>
  <c r="D812" i="11"/>
  <c r="C812" i="11"/>
  <c r="B812" i="11"/>
  <c r="E811" i="11"/>
  <c r="D811" i="11"/>
  <c r="C811" i="11"/>
  <c r="B811" i="11"/>
  <c r="E810" i="11"/>
  <c r="D810" i="11"/>
  <c r="C810" i="11"/>
  <c r="B810" i="11"/>
  <c r="E809" i="11"/>
  <c r="D809" i="11"/>
  <c r="C809" i="11"/>
  <c r="B809" i="11"/>
  <c r="E808" i="11"/>
  <c r="D808" i="11"/>
  <c r="C808" i="11"/>
  <c r="B808" i="11"/>
  <c r="E807" i="11"/>
  <c r="D807" i="11"/>
  <c r="C807" i="11"/>
  <c r="B807" i="11"/>
  <c r="E806" i="11"/>
  <c r="D806" i="11"/>
  <c r="C806" i="11"/>
  <c r="B806" i="11"/>
  <c r="E805" i="11"/>
  <c r="D805" i="11"/>
  <c r="C805" i="11"/>
  <c r="B805" i="11"/>
  <c r="E804" i="11"/>
  <c r="D804" i="11"/>
  <c r="C804" i="11"/>
  <c r="B804" i="11"/>
  <c r="E803" i="11"/>
  <c r="D803" i="11"/>
  <c r="C803" i="11"/>
  <c r="B803" i="11"/>
  <c r="E802" i="11"/>
  <c r="D802" i="11"/>
  <c r="C802" i="11"/>
  <c r="B802" i="11"/>
  <c r="E801" i="11"/>
  <c r="D801" i="11"/>
  <c r="C801" i="11"/>
  <c r="B801" i="11"/>
  <c r="E800" i="11"/>
  <c r="D800" i="11"/>
  <c r="C800" i="11"/>
  <c r="B800" i="11"/>
  <c r="E799" i="11"/>
  <c r="D799" i="11"/>
  <c r="C799" i="11"/>
  <c r="B799" i="11"/>
  <c r="E798" i="11"/>
  <c r="D798" i="11"/>
  <c r="C798" i="11"/>
  <c r="B798" i="11"/>
  <c r="E797" i="11"/>
  <c r="D797" i="11"/>
  <c r="C797" i="11"/>
  <c r="B797" i="11"/>
  <c r="E796" i="11"/>
  <c r="D796" i="11"/>
  <c r="C796" i="11"/>
  <c r="B796" i="11"/>
  <c r="E795" i="11"/>
  <c r="D795" i="11"/>
  <c r="C795" i="11"/>
  <c r="B795" i="11"/>
  <c r="E794" i="11"/>
  <c r="D794" i="11"/>
  <c r="C794" i="11"/>
  <c r="B794" i="11"/>
  <c r="E793" i="11"/>
  <c r="D793" i="11"/>
  <c r="C793" i="11"/>
  <c r="B793" i="11"/>
  <c r="E792" i="11"/>
  <c r="D792" i="11"/>
  <c r="C792" i="11"/>
  <c r="B792" i="11"/>
  <c r="E791" i="11"/>
  <c r="D791" i="11"/>
  <c r="C791" i="11"/>
  <c r="B791" i="11"/>
  <c r="E790" i="11"/>
  <c r="D790" i="11"/>
  <c r="C790" i="11"/>
  <c r="B790" i="11"/>
  <c r="E789" i="11"/>
  <c r="D789" i="11"/>
  <c r="C789" i="11"/>
  <c r="B789" i="11"/>
  <c r="E788" i="11"/>
  <c r="D788" i="11"/>
  <c r="C788" i="11"/>
  <c r="B788" i="11"/>
  <c r="E787" i="11"/>
  <c r="D787" i="11"/>
  <c r="C787" i="11"/>
  <c r="B787" i="11"/>
  <c r="E786" i="11"/>
  <c r="D786" i="11"/>
  <c r="C786" i="11"/>
  <c r="B786" i="11"/>
  <c r="E785" i="11"/>
  <c r="D785" i="11"/>
  <c r="C785" i="11"/>
  <c r="B785" i="11"/>
  <c r="E784" i="11"/>
  <c r="D784" i="11"/>
  <c r="C784" i="11"/>
  <c r="B784" i="11"/>
  <c r="E783" i="11"/>
  <c r="D783" i="11"/>
  <c r="C783" i="11"/>
  <c r="B783" i="11"/>
  <c r="E782" i="11"/>
  <c r="D782" i="11"/>
  <c r="C782" i="11"/>
  <c r="B782" i="11"/>
  <c r="E781" i="11"/>
  <c r="D781" i="11"/>
  <c r="C781" i="11"/>
  <c r="B781" i="11"/>
  <c r="E780" i="11"/>
  <c r="D780" i="11"/>
  <c r="C780" i="11"/>
  <c r="B780" i="11"/>
  <c r="E779" i="11"/>
  <c r="D779" i="11"/>
  <c r="C779" i="11"/>
  <c r="B779" i="11"/>
  <c r="E778" i="11"/>
  <c r="D778" i="11"/>
  <c r="C778" i="11"/>
  <c r="B778" i="11"/>
  <c r="E777" i="11"/>
  <c r="D777" i="11"/>
  <c r="C777" i="11"/>
  <c r="B777" i="11"/>
  <c r="E776" i="11"/>
  <c r="D776" i="11"/>
  <c r="C776" i="11"/>
  <c r="B776" i="11"/>
  <c r="E775" i="11"/>
  <c r="D775" i="11"/>
  <c r="C775" i="11"/>
  <c r="B775" i="11"/>
  <c r="E774" i="11"/>
  <c r="D774" i="11"/>
  <c r="C774" i="11"/>
  <c r="B774" i="11"/>
  <c r="E773" i="11"/>
  <c r="D773" i="11"/>
  <c r="C773" i="11"/>
  <c r="B773" i="11"/>
  <c r="E772" i="11"/>
  <c r="D772" i="11"/>
  <c r="C772" i="11"/>
  <c r="B772" i="11"/>
  <c r="E771" i="11"/>
  <c r="D771" i="11"/>
  <c r="C771" i="11"/>
  <c r="B771" i="11"/>
  <c r="E770" i="11"/>
  <c r="D770" i="11"/>
  <c r="C770" i="11"/>
  <c r="B770" i="11"/>
  <c r="E769" i="11"/>
  <c r="D769" i="11"/>
  <c r="C769" i="11"/>
  <c r="B769" i="11"/>
  <c r="E768" i="11"/>
  <c r="D768" i="11"/>
  <c r="C768" i="11"/>
  <c r="B768" i="11"/>
  <c r="E767" i="11"/>
  <c r="D767" i="11"/>
  <c r="C767" i="11"/>
  <c r="B767" i="11"/>
  <c r="E766" i="11"/>
  <c r="D766" i="11"/>
  <c r="C766" i="11"/>
  <c r="B766" i="11"/>
  <c r="E765" i="11"/>
  <c r="D765" i="11"/>
  <c r="C765" i="11"/>
  <c r="B765" i="11"/>
  <c r="E764" i="11"/>
  <c r="D764" i="11"/>
  <c r="C764" i="11"/>
  <c r="B764" i="11"/>
  <c r="E763" i="11"/>
  <c r="D763" i="11"/>
  <c r="C763" i="11"/>
  <c r="B763" i="11"/>
  <c r="E762" i="11"/>
  <c r="D762" i="11"/>
  <c r="C762" i="11"/>
  <c r="B762" i="11"/>
  <c r="E761" i="11"/>
  <c r="D761" i="11"/>
  <c r="C761" i="11"/>
  <c r="B761" i="11"/>
  <c r="E760" i="11"/>
  <c r="D760" i="11"/>
  <c r="C760" i="11"/>
  <c r="B760" i="11"/>
  <c r="E759" i="11"/>
  <c r="D759" i="11"/>
  <c r="C759" i="11"/>
  <c r="B759" i="11"/>
  <c r="E758" i="11"/>
  <c r="D758" i="11"/>
  <c r="C758" i="11"/>
  <c r="B758" i="11"/>
  <c r="E757" i="11"/>
  <c r="D757" i="11"/>
  <c r="C757" i="11"/>
  <c r="B757" i="11"/>
  <c r="E756" i="11"/>
  <c r="D756" i="11"/>
  <c r="C756" i="11"/>
  <c r="B756" i="11"/>
  <c r="E755" i="11"/>
  <c r="D755" i="11"/>
  <c r="C755" i="11"/>
  <c r="B755" i="11"/>
  <c r="E754" i="11"/>
  <c r="D754" i="11"/>
  <c r="C754" i="11"/>
  <c r="B754" i="11"/>
  <c r="E753" i="11"/>
  <c r="D753" i="11"/>
  <c r="C753" i="11"/>
  <c r="B753" i="11"/>
  <c r="E752" i="11"/>
  <c r="D752" i="11"/>
  <c r="C752" i="11"/>
  <c r="B752" i="11"/>
  <c r="E751" i="11"/>
  <c r="D751" i="11"/>
  <c r="C751" i="11"/>
  <c r="B751" i="11"/>
  <c r="E750" i="11"/>
  <c r="D750" i="11"/>
  <c r="C750" i="11"/>
  <c r="B750" i="11"/>
  <c r="E749" i="11"/>
  <c r="D749" i="11"/>
  <c r="C749" i="11"/>
  <c r="B749" i="11"/>
  <c r="E748" i="11"/>
  <c r="D748" i="11"/>
  <c r="C748" i="11"/>
  <c r="B748" i="11"/>
  <c r="E747" i="11"/>
  <c r="D747" i="11"/>
  <c r="C747" i="11"/>
  <c r="B747" i="11"/>
  <c r="E746" i="11"/>
  <c r="D746" i="11"/>
  <c r="C746" i="11"/>
  <c r="B746" i="11"/>
  <c r="E745" i="11"/>
  <c r="D745" i="11"/>
  <c r="C745" i="11"/>
  <c r="B745" i="11"/>
  <c r="E744" i="11"/>
  <c r="D744" i="11"/>
  <c r="C744" i="11"/>
  <c r="B744" i="11"/>
  <c r="E743" i="11"/>
  <c r="D743" i="11"/>
  <c r="C743" i="11"/>
  <c r="B743" i="11"/>
  <c r="E742" i="11"/>
  <c r="D742" i="11"/>
  <c r="C742" i="11"/>
  <c r="B742" i="11"/>
  <c r="E741" i="11"/>
  <c r="D741" i="11"/>
  <c r="C741" i="11"/>
  <c r="B741" i="11"/>
  <c r="I740" i="11"/>
  <c r="A740" i="11"/>
  <c r="I739" i="11"/>
  <c r="A739" i="11"/>
  <c r="I738" i="11"/>
  <c r="A738" i="11"/>
  <c r="I737" i="11"/>
  <c r="A737" i="11"/>
  <c r="I736" i="11"/>
  <c r="A736" i="11"/>
  <c r="I735" i="11"/>
  <c r="A735" i="11"/>
  <c r="I734" i="11"/>
  <c r="A734" i="11"/>
  <c r="I733" i="11"/>
  <c r="A733" i="11"/>
  <c r="I732" i="11"/>
  <c r="A732" i="11"/>
  <c r="I731" i="11"/>
  <c r="A731" i="11"/>
  <c r="I730" i="11"/>
  <c r="A730" i="11"/>
  <c r="I729" i="11"/>
  <c r="A729" i="11"/>
  <c r="I728" i="11"/>
  <c r="A728" i="11"/>
  <c r="I727" i="11"/>
  <c r="A727" i="11"/>
  <c r="I726" i="11"/>
  <c r="A726" i="11"/>
  <c r="I725" i="11"/>
  <c r="A725" i="11"/>
  <c r="I724" i="11"/>
  <c r="A724" i="11"/>
  <c r="I723" i="11"/>
  <c r="A723" i="11"/>
  <c r="I722" i="11"/>
  <c r="A722" i="11"/>
  <c r="I721" i="11"/>
  <c r="A721" i="11"/>
  <c r="I941" i="11"/>
  <c r="A941" i="11"/>
  <c r="I940" i="11"/>
  <c r="A940" i="11"/>
  <c r="I939" i="11"/>
  <c r="A939" i="11"/>
  <c r="I938" i="11"/>
  <c r="A938" i="11"/>
  <c r="I937" i="11"/>
  <c r="A937" i="11"/>
  <c r="I933" i="11"/>
  <c r="A933" i="11"/>
  <c r="I932" i="11"/>
  <c r="A932" i="11"/>
  <c r="I931" i="11"/>
  <c r="A931" i="11"/>
  <c r="I930" i="11"/>
  <c r="A930" i="11"/>
  <c r="I929" i="11"/>
  <c r="A929" i="11"/>
  <c r="I928" i="11"/>
  <c r="A928" i="11"/>
  <c r="I927" i="11"/>
  <c r="A927" i="11"/>
  <c r="I926" i="11"/>
  <c r="A926" i="11"/>
  <c r="I925" i="11"/>
  <c r="A925" i="11"/>
  <c r="I924" i="11"/>
  <c r="A924" i="11"/>
  <c r="I923" i="11"/>
  <c r="A923" i="11"/>
  <c r="I922" i="11"/>
  <c r="A922" i="11"/>
  <c r="I921" i="11"/>
  <c r="A921" i="11"/>
  <c r="I880" i="11"/>
  <c r="A880" i="11"/>
  <c r="I879" i="11"/>
  <c r="A879" i="11"/>
  <c r="I878" i="11"/>
  <c r="A878" i="11"/>
  <c r="I877" i="11"/>
  <c r="A877" i="11"/>
  <c r="I876" i="11"/>
  <c r="A876" i="11"/>
  <c r="I875" i="11"/>
  <c r="A875" i="11"/>
  <c r="I874" i="11"/>
  <c r="A874" i="11"/>
  <c r="I873" i="11"/>
  <c r="A873" i="11"/>
  <c r="I872" i="11"/>
  <c r="A872" i="11"/>
  <c r="I871" i="11"/>
  <c r="A871" i="11"/>
  <c r="I870" i="11"/>
  <c r="A870" i="11"/>
  <c r="I869" i="11"/>
  <c r="A869" i="11"/>
  <c r="I868" i="11"/>
  <c r="A868" i="11"/>
  <c r="I867" i="11"/>
  <c r="A867" i="11"/>
  <c r="I866" i="11"/>
  <c r="A866" i="11"/>
  <c r="I865" i="11"/>
  <c r="A865" i="11"/>
  <c r="I864" i="11"/>
  <c r="A864" i="11"/>
  <c r="I863" i="11"/>
  <c r="A863" i="11"/>
  <c r="I862" i="11"/>
  <c r="A862" i="11"/>
  <c r="I861" i="11"/>
  <c r="A861" i="11"/>
  <c r="I860" i="11"/>
  <c r="A860" i="11"/>
  <c r="I859" i="11"/>
  <c r="A859" i="11"/>
  <c r="I858" i="11"/>
  <c r="A858" i="11"/>
  <c r="I857" i="11"/>
  <c r="A857" i="11"/>
  <c r="I856" i="11"/>
  <c r="A856" i="11"/>
  <c r="I855" i="11"/>
  <c r="A855" i="11"/>
  <c r="I854" i="11"/>
  <c r="A854" i="11"/>
  <c r="I853" i="11"/>
  <c r="A853" i="11"/>
  <c r="I852" i="11"/>
  <c r="A852" i="11"/>
  <c r="I851" i="11"/>
  <c r="A851" i="11"/>
  <c r="I850" i="11"/>
  <c r="A850" i="11"/>
  <c r="I849" i="11"/>
  <c r="A849" i="11"/>
  <c r="I848" i="11"/>
  <c r="A848" i="11"/>
  <c r="I847" i="11"/>
  <c r="A847" i="11"/>
  <c r="I846" i="11"/>
  <c r="A846" i="11"/>
  <c r="I845" i="11"/>
  <c r="A845" i="11"/>
  <c r="I844" i="11"/>
  <c r="A844" i="11"/>
  <c r="I843" i="11"/>
  <c r="A843" i="11"/>
  <c r="I842" i="11"/>
  <c r="A842" i="11"/>
  <c r="I841" i="11"/>
  <c r="A841" i="11"/>
  <c r="I840" i="11"/>
  <c r="A840" i="11"/>
  <c r="I839" i="11"/>
  <c r="A839" i="11"/>
  <c r="I838" i="11"/>
  <c r="A838" i="11"/>
  <c r="I837" i="11"/>
  <c r="A837" i="11"/>
  <c r="I836" i="11"/>
  <c r="A836" i="11"/>
  <c r="I835" i="11"/>
  <c r="A835" i="11"/>
  <c r="I834" i="11"/>
  <c r="A834" i="11"/>
  <c r="I833" i="11"/>
  <c r="A833" i="11"/>
  <c r="I832" i="11"/>
  <c r="A832" i="11"/>
  <c r="I831" i="11"/>
  <c r="A831" i="11"/>
  <c r="I830" i="11"/>
  <c r="A830" i="11"/>
  <c r="I829" i="11"/>
  <c r="A829" i="11"/>
  <c r="I828" i="11"/>
  <c r="A828" i="11"/>
  <c r="I827" i="11"/>
  <c r="A827" i="11"/>
  <c r="I826" i="11"/>
  <c r="A826" i="11"/>
  <c r="I825" i="11"/>
  <c r="A825" i="11"/>
  <c r="I824" i="11"/>
  <c r="A824" i="11"/>
  <c r="I823" i="11"/>
  <c r="A823" i="11"/>
  <c r="I822" i="11"/>
  <c r="A822" i="11"/>
  <c r="I821" i="11"/>
  <c r="A821" i="11"/>
  <c r="I820" i="11"/>
  <c r="A820" i="11"/>
  <c r="I819" i="11"/>
  <c r="A819" i="11"/>
  <c r="I818" i="11"/>
  <c r="A818" i="11"/>
  <c r="I817" i="11"/>
  <c r="A817" i="11"/>
  <c r="I816" i="11"/>
  <c r="A816" i="11"/>
  <c r="I815" i="11"/>
  <c r="A815" i="11"/>
  <c r="I814" i="11"/>
  <c r="A814" i="11"/>
  <c r="I813" i="11"/>
  <c r="A813" i="11"/>
  <c r="I812" i="11"/>
  <c r="A812" i="11"/>
  <c r="I811" i="11"/>
  <c r="A811" i="11"/>
  <c r="I810" i="11"/>
  <c r="A810" i="11"/>
  <c r="I809" i="11"/>
  <c r="A809" i="11"/>
  <c r="I808" i="11"/>
  <c r="A808" i="11"/>
  <c r="I807" i="11"/>
  <c r="A807" i="11"/>
  <c r="I806" i="11"/>
  <c r="A806" i="11"/>
  <c r="I805" i="11"/>
  <c r="A805" i="11"/>
  <c r="I804" i="11"/>
  <c r="A804" i="11"/>
  <c r="I803" i="11"/>
  <c r="A803" i="11"/>
  <c r="I802" i="11"/>
  <c r="A802" i="11"/>
  <c r="I801" i="11"/>
  <c r="A801" i="11"/>
  <c r="I800" i="11"/>
  <c r="A800" i="11"/>
  <c r="I799" i="11"/>
  <c r="A799" i="11"/>
  <c r="I798" i="11"/>
  <c r="A798" i="11"/>
  <c r="I797" i="11"/>
  <c r="A797" i="11"/>
  <c r="I796" i="11"/>
  <c r="A796" i="11"/>
  <c r="I795" i="11"/>
  <c r="A795" i="11"/>
  <c r="I794" i="11"/>
  <c r="A794" i="11"/>
  <c r="I793" i="11"/>
  <c r="A793" i="11"/>
  <c r="I792" i="11"/>
  <c r="A792" i="11"/>
  <c r="I791" i="11"/>
  <c r="A791" i="11"/>
  <c r="I790" i="11"/>
  <c r="A790" i="11"/>
  <c r="I789" i="11"/>
  <c r="A789" i="11"/>
  <c r="I788" i="11"/>
  <c r="A788" i="11"/>
  <c r="I787" i="11"/>
  <c r="A787" i="11"/>
  <c r="I786" i="11"/>
  <c r="A786" i="11"/>
  <c r="I785" i="11"/>
  <c r="A785" i="11"/>
  <c r="I784" i="11"/>
  <c r="A784" i="11"/>
  <c r="I783" i="11"/>
  <c r="A783" i="11"/>
  <c r="I782" i="11"/>
  <c r="A782" i="11"/>
  <c r="I781" i="11"/>
  <c r="A781" i="11"/>
  <c r="I780" i="11"/>
  <c r="A780" i="11"/>
  <c r="I779" i="11"/>
  <c r="A779" i="11"/>
  <c r="I778" i="11"/>
  <c r="A778" i="11"/>
  <c r="I777" i="11"/>
  <c r="A777" i="11"/>
  <c r="I776" i="11"/>
  <c r="A776" i="11"/>
  <c r="I775" i="11"/>
  <c r="A775" i="11"/>
  <c r="I774" i="11"/>
  <c r="A774" i="11"/>
  <c r="I773" i="11"/>
  <c r="A773" i="11"/>
  <c r="I772" i="11"/>
  <c r="A772" i="11"/>
  <c r="I771" i="11"/>
  <c r="A771" i="11"/>
  <c r="I770" i="11"/>
  <c r="A770" i="11"/>
  <c r="I769" i="11"/>
  <c r="A769" i="11"/>
  <c r="I768" i="11"/>
  <c r="A768" i="11"/>
  <c r="I767" i="11"/>
  <c r="A767" i="11"/>
  <c r="I766" i="11"/>
  <c r="A766" i="11"/>
  <c r="I765" i="11"/>
  <c r="A765" i="11"/>
  <c r="I764" i="11"/>
  <c r="A764" i="11"/>
  <c r="I763" i="11"/>
  <c r="A763" i="11"/>
  <c r="I762" i="11"/>
  <c r="A762" i="11"/>
  <c r="I761" i="11"/>
  <c r="A761" i="11"/>
  <c r="I760" i="11"/>
  <c r="A760" i="11"/>
  <c r="I759" i="11"/>
  <c r="A759" i="11"/>
  <c r="I758" i="11"/>
  <c r="A758" i="11"/>
  <c r="I757" i="11"/>
  <c r="A757" i="11"/>
  <c r="I756" i="11"/>
  <c r="A756" i="11"/>
  <c r="I755" i="11"/>
  <c r="A755" i="11"/>
  <c r="I754" i="11"/>
  <c r="A754" i="11"/>
  <c r="I753" i="11"/>
  <c r="A753" i="11"/>
  <c r="I752" i="11"/>
  <c r="A752" i="11"/>
  <c r="I751" i="11"/>
  <c r="A751" i="11"/>
  <c r="I750" i="11"/>
  <c r="A750" i="11"/>
  <c r="I749" i="11"/>
  <c r="A749" i="11"/>
  <c r="I748" i="11"/>
  <c r="A748" i="11"/>
  <c r="I747" i="11"/>
  <c r="A747" i="11"/>
  <c r="I746" i="11"/>
  <c r="A746" i="11"/>
  <c r="I745" i="11"/>
  <c r="A745" i="11"/>
  <c r="I744" i="11"/>
  <c r="A744" i="11"/>
  <c r="I743" i="11"/>
  <c r="A743" i="11"/>
  <c r="I742" i="11"/>
  <c r="A742" i="11"/>
  <c r="I741" i="11"/>
  <c r="A741" i="11"/>
  <c r="F129" i="31"/>
  <c r="E129" i="31"/>
  <c r="M119" i="31"/>
  <c r="L119" i="31"/>
  <c r="F128" i="31"/>
  <c r="E128" i="31"/>
  <c r="M118" i="31"/>
  <c r="L118" i="31"/>
  <c r="F127" i="31"/>
  <c r="E127" i="31"/>
  <c r="M117" i="31"/>
  <c r="L117" i="31"/>
  <c r="F126" i="31"/>
  <c r="E126" i="31"/>
  <c r="M116" i="31"/>
  <c r="L116" i="31"/>
  <c r="F125" i="31"/>
  <c r="E125" i="31"/>
  <c r="M115" i="31"/>
  <c r="L115" i="31"/>
  <c r="F122" i="31"/>
  <c r="E122" i="31"/>
  <c r="F121" i="31"/>
  <c r="E121" i="31"/>
  <c r="F120" i="31"/>
  <c r="E120" i="31"/>
  <c r="F119" i="31"/>
  <c r="E119" i="31"/>
  <c r="F118" i="31"/>
  <c r="E118" i="31"/>
  <c r="F117" i="31"/>
  <c r="E117" i="31"/>
  <c r="F116" i="31"/>
  <c r="E116" i="31"/>
  <c r="F115" i="31"/>
  <c r="E115" i="31"/>
  <c r="M90" i="31"/>
  <c r="L90" i="31"/>
  <c r="F90" i="31"/>
  <c r="E90" i="31"/>
  <c r="M89" i="31"/>
  <c r="L89" i="31"/>
  <c r="F89" i="31"/>
  <c r="E89" i="31"/>
  <c r="M88" i="31"/>
  <c r="L88" i="31"/>
  <c r="F88" i="31"/>
  <c r="E88" i="31"/>
  <c r="M87" i="31"/>
  <c r="L87" i="31"/>
  <c r="F87" i="31"/>
  <c r="E87" i="31"/>
  <c r="M86" i="31"/>
  <c r="L86" i="31"/>
  <c r="F86" i="31"/>
  <c r="E86" i="31"/>
  <c r="M85" i="31"/>
  <c r="L85" i="31"/>
  <c r="F85" i="31"/>
  <c r="E85" i="31"/>
  <c r="M84" i="31"/>
  <c r="L84" i="31"/>
  <c r="F84" i="31"/>
  <c r="E84" i="31"/>
  <c r="M83" i="31"/>
  <c r="L83" i="31"/>
  <c r="F83" i="31"/>
  <c r="E83" i="31"/>
  <c r="M82" i="31"/>
  <c r="L82" i="31"/>
  <c r="F82" i="31"/>
  <c r="E82" i="31"/>
  <c r="M81" i="31"/>
  <c r="L81" i="31"/>
  <c r="F81" i="31"/>
  <c r="E81" i="31"/>
  <c r="M80" i="31"/>
  <c r="L80" i="31"/>
  <c r="F80" i="31"/>
  <c r="E80" i="31"/>
  <c r="M79" i="31"/>
  <c r="L79" i="31"/>
  <c r="F79" i="31"/>
  <c r="E79" i="31"/>
  <c r="M78" i="31"/>
  <c r="L78" i="31"/>
  <c r="F78" i="31"/>
  <c r="E78" i="31"/>
  <c r="M77" i="31"/>
  <c r="L77" i="31"/>
  <c r="F77" i="31"/>
  <c r="E77" i="31"/>
  <c r="M76" i="31"/>
  <c r="L76" i="31"/>
  <c r="F76" i="31"/>
  <c r="E76" i="31"/>
  <c r="M75" i="31"/>
  <c r="L75" i="31"/>
  <c r="F75" i="31"/>
  <c r="E75" i="31"/>
  <c r="M74" i="31"/>
  <c r="L74" i="31"/>
  <c r="F74" i="31"/>
  <c r="E74" i="31"/>
  <c r="M73" i="31"/>
  <c r="L73" i="31"/>
  <c r="F73" i="31"/>
  <c r="E73" i="31"/>
  <c r="M72" i="31"/>
  <c r="L72" i="31"/>
  <c r="F72" i="31"/>
  <c r="E72" i="31"/>
  <c r="M71" i="31"/>
  <c r="L71" i="31"/>
  <c r="F71" i="31"/>
  <c r="E71" i="31"/>
  <c r="M68" i="31"/>
  <c r="L68" i="31"/>
  <c r="F68" i="31"/>
  <c r="E68" i="31"/>
  <c r="M67" i="31"/>
  <c r="L67" i="31"/>
  <c r="F67" i="31"/>
  <c r="E67" i="31"/>
  <c r="M66" i="31"/>
  <c r="L66" i="31"/>
  <c r="F66" i="31"/>
  <c r="E66" i="31"/>
  <c r="M65" i="31"/>
  <c r="L65" i="31"/>
  <c r="F65" i="31"/>
  <c r="E65" i="31"/>
  <c r="M64" i="31"/>
  <c r="L64" i="31"/>
  <c r="F64" i="31"/>
  <c r="E64" i="31"/>
  <c r="M63" i="31"/>
  <c r="L63" i="31"/>
  <c r="F63" i="31"/>
  <c r="E63" i="31"/>
  <c r="M62" i="31"/>
  <c r="L62" i="31"/>
  <c r="F62" i="31"/>
  <c r="E62" i="31"/>
  <c r="M61" i="31"/>
  <c r="L61" i="31"/>
  <c r="F61" i="31"/>
  <c r="E61" i="31"/>
  <c r="M60" i="31"/>
  <c r="L60" i="31"/>
  <c r="F60" i="31"/>
  <c r="E60" i="31"/>
  <c r="M59" i="31"/>
  <c r="L59" i="31"/>
  <c r="F59" i="31"/>
  <c r="E59" i="31"/>
  <c r="M58" i="31"/>
  <c r="L58" i="31"/>
  <c r="F58" i="31"/>
  <c r="E58" i="31"/>
  <c r="M57" i="31"/>
  <c r="L57" i="31"/>
  <c r="F57" i="31"/>
  <c r="E57" i="31"/>
  <c r="M56" i="31"/>
  <c r="L56" i="31"/>
  <c r="F56" i="31"/>
  <c r="E56" i="31"/>
  <c r="M55" i="31"/>
  <c r="L55" i="31"/>
  <c r="F55" i="31"/>
  <c r="E55" i="31"/>
  <c r="M54" i="31"/>
  <c r="L54" i="31"/>
  <c r="F54" i="31"/>
  <c r="E54" i="31"/>
  <c r="M53" i="31"/>
  <c r="L53" i="31"/>
  <c r="F53" i="31"/>
  <c r="E53" i="31"/>
  <c r="M52" i="31"/>
  <c r="L52" i="31"/>
  <c r="F52" i="31"/>
  <c r="E52" i="31"/>
  <c r="M51" i="31"/>
  <c r="L51" i="31"/>
  <c r="F51" i="31"/>
  <c r="E51" i="31"/>
  <c r="M50" i="31"/>
  <c r="L50" i="31"/>
  <c r="F50" i="31"/>
  <c r="E50" i="31"/>
  <c r="M49" i="31"/>
  <c r="L49" i="31"/>
  <c r="F49" i="31"/>
  <c r="E49" i="31"/>
  <c r="M46" i="31"/>
  <c r="L46" i="31"/>
  <c r="F46" i="31"/>
  <c r="E46" i="31"/>
  <c r="M45" i="31"/>
  <c r="L45" i="31"/>
  <c r="F45" i="31"/>
  <c r="E45" i="31"/>
  <c r="M44" i="31"/>
  <c r="L44" i="31"/>
  <c r="F44" i="31"/>
  <c r="E44" i="31"/>
  <c r="M43" i="31"/>
  <c r="L43" i="31"/>
  <c r="F43" i="31"/>
  <c r="E43" i="31"/>
  <c r="M42" i="31"/>
  <c r="L42" i="31"/>
  <c r="F42" i="31"/>
  <c r="E42" i="31"/>
  <c r="M41" i="31"/>
  <c r="L41" i="31"/>
  <c r="F41" i="31"/>
  <c r="E41" i="31"/>
  <c r="M40" i="31"/>
  <c r="L40" i="31"/>
  <c r="F40" i="31"/>
  <c r="E40" i="31"/>
  <c r="M39" i="31"/>
  <c r="L39" i="31"/>
  <c r="F39" i="31"/>
  <c r="E39" i="31"/>
  <c r="M38" i="31"/>
  <c r="L38" i="31"/>
  <c r="F38" i="31"/>
  <c r="E38" i="31"/>
  <c r="M37" i="31"/>
  <c r="L37" i="31"/>
  <c r="F37" i="31"/>
  <c r="E37" i="31"/>
  <c r="M36" i="31"/>
  <c r="L36" i="31"/>
  <c r="F36" i="31"/>
  <c r="E36" i="31"/>
  <c r="M35" i="31"/>
  <c r="L35" i="31"/>
  <c r="F35" i="31"/>
  <c r="E35" i="31"/>
  <c r="M34" i="31"/>
  <c r="L34" i="31"/>
  <c r="F34" i="31"/>
  <c r="E34" i="31"/>
  <c r="M33" i="31"/>
  <c r="L33" i="31"/>
  <c r="F33" i="31"/>
  <c r="E33" i="31"/>
  <c r="M32" i="31"/>
  <c r="L32" i="31"/>
  <c r="F32" i="31"/>
  <c r="E32" i="31"/>
  <c r="M31" i="31"/>
  <c r="L31" i="31"/>
  <c r="F31" i="31"/>
  <c r="E31" i="31"/>
  <c r="M30" i="31"/>
  <c r="L30" i="31"/>
  <c r="F30" i="31"/>
  <c r="E30" i="31"/>
  <c r="M29" i="31"/>
  <c r="L29" i="31"/>
  <c r="F29" i="31"/>
  <c r="E29" i="31"/>
  <c r="M28" i="31"/>
  <c r="L28" i="31"/>
  <c r="F28" i="31"/>
  <c r="E28" i="31"/>
  <c r="M27" i="31"/>
  <c r="L27" i="31"/>
  <c r="F27" i="31"/>
  <c r="E27" i="31"/>
  <c r="M24" i="31"/>
  <c r="L24" i="31"/>
  <c r="F24" i="31"/>
  <c r="E24" i="31"/>
  <c r="M23" i="31"/>
  <c r="L23" i="31"/>
  <c r="F23" i="31"/>
  <c r="E23" i="31"/>
  <c r="M22" i="31"/>
  <c r="L22" i="31"/>
  <c r="F22" i="31"/>
  <c r="E22" i="31"/>
  <c r="M21" i="31"/>
  <c r="L21" i="31"/>
  <c r="F21" i="31"/>
  <c r="E21" i="31"/>
  <c r="M20" i="31"/>
  <c r="L20" i="31"/>
  <c r="F20" i="31"/>
  <c r="E20" i="31"/>
  <c r="M19" i="31"/>
  <c r="L19" i="31"/>
  <c r="F19" i="31"/>
  <c r="E19" i="31"/>
  <c r="M18" i="31"/>
  <c r="L18" i="31"/>
  <c r="F18" i="31"/>
  <c r="E18" i="31"/>
  <c r="M17" i="31"/>
  <c r="L17" i="31"/>
  <c r="F17" i="31"/>
  <c r="E17" i="31"/>
  <c r="M16" i="31"/>
  <c r="L16" i="31"/>
  <c r="F16" i="31"/>
  <c r="E16" i="31"/>
  <c r="M15" i="31"/>
  <c r="L15" i="31"/>
  <c r="F15" i="31"/>
  <c r="E15" i="31"/>
  <c r="M14" i="31"/>
  <c r="L14" i="31"/>
  <c r="F14" i="31"/>
  <c r="E14" i="31"/>
  <c r="M13" i="31"/>
  <c r="L13" i="31"/>
  <c r="F13" i="31"/>
  <c r="E13" i="31"/>
  <c r="M12" i="31"/>
  <c r="L12" i="31"/>
  <c r="F12" i="31"/>
  <c r="E12" i="31"/>
  <c r="M11" i="31"/>
  <c r="L11" i="31"/>
  <c r="F11" i="31"/>
  <c r="E11" i="31"/>
  <c r="M10" i="31"/>
  <c r="L10" i="31"/>
  <c r="F10" i="31"/>
  <c r="E10" i="31"/>
  <c r="M9" i="31"/>
  <c r="L9" i="31"/>
  <c r="F9" i="31"/>
  <c r="E9" i="31"/>
  <c r="M8" i="31"/>
  <c r="L8" i="31"/>
  <c r="F8" i="31"/>
  <c r="E8" i="31"/>
  <c r="M7" i="31"/>
  <c r="L7" i="31"/>
  <c r="F7" i="31"/>
  <c r="E7" i="31"/>
  <c r="M6" i="31"/>
  <c r="L6" i="31"/>
  <c r="F6" i="31"/>
  <c r="E6" i="31"/>
  <c r="M5" i="31"/>
  <c r="L5" i="31"/>
  <c r="F5" i="31"/>
  <c r="E5" i="31"/>
  <c r="E519" i="11"/>
  <c r="D519" i="11"/>
  <c r="C519" i="11"/>
  <c r="B519" i="11"/>
  <c r="E518" i="11"/>
  <c r="D518" i="11"/>
  <c r="C518" i="11"/>
  <c r="B518" i="11"/>
  <c r="E517" i="11"/>
  <c r="D517" i="11"/>
  <c r="C517" i="11"/>
  <c r="B517" i="11"/>
  <c r="E516" i="11"/>
  <c r="D516" i="11"/>
  <c r="C516" i="11"/>
  <c r="B516" i="11"/>
  <c r="E515" i="11"/>
  <c r="D515" i="11"/>
  <c r="C515" i="11"/>
  <c r="B515" i="11"/>
  <c r="E514" i="11"/>
  <c r="D514" i="11"/>
  <c r="C514" i="11"/>
  <c r="B514" i="11"/>
  <c r="E513" i="11"/>
  <c r="D513" i="11"/>
  <c r="C513" i="11"/>
  <c r="B513" i="11"/>
  <c r="E512" i="11"/>
  <c r="D512" i="11"/>
  <c r="C512" i="11"/>
  <c r="B512" i="11"/>
  <c r="E511" i="11"/>
  <c r="D511" i="11"/>
  <c r="C511" i="11"/>
  <c r="B511" i="11"/>
  <c r="E510" i="11"/>
  <c r="D510" i="11"/>
  <c r="C510" i="11"/>
  <c r="B510" i="11"/>
  <c r="E509" i="11"/>
  <c r="D509" i="11"/>
  <c r="C509" i="11"/>
  <c r="B509" i="11"/>
  <c r="E508" i="11"/>
  <c r="D508" i="11"/>
  <c r="C508" i="11"/>
  <c r="B508" i="11"/>
  <c r="E507" i="11"/>
  <c r="D507" i="11"/>
  <c r="C507" i="11"/>
  <c r="B507" i="11"/>
  <c r="E506" i="11"/>
  <c r="D506" i="11"/>
  <c r="C506" i="11"/>
  <c r="B506" i="11"/>
  <c r="E505" i="11"/>
  <c r="D505" i="11"/>
  <c r="C505" i="11"/>
  <c r="B505" i="11"/>
  <c r="E504" i="11"/>
  <c r="D504" i="11"/>
  <c r="C504" i="11"/>
  <c r="B504" i="11"/>
  <c r="E503" i="11"/>
  <c r="D503" i="11"/>
  <c r="C503" i="11"/>
  <c r="B503" i="11"/>
  <c r="E502" i="11"/>
  <c r="D502" i="11"/>
  <c r="C502" i="11"/>
  <c r="B502" i="11"/>
  <c r="E501" i="11"/>
  <c r="D501" i="11"/>
  <c r="C501" i="11"/>
  <c r="B501" i="11"/>
  <c r="E500" i="11"/>
  <c r="D500" i="11"/>
  <c r="C500" i="11"/>
  <c r="B500" i="11"/>
  <c r="E720" i="11"/>
  <c r="D720" i="11"/>
  <c r="C720" i="11"/>
  <c r="B720" i="11"/>
  <c r="E719" i="11"/>
  <c r="D719" i="11"/>
  <c r="C719" i="11"/>
  <c r="B719" i="11"/>
  <c r="E718" i="11"/>
  <c r="D718" i="11"/>
  <c r="C718" i="11"/>
  <c r="B718" i="11"/>
  <c r="E717" i="11"/>
  <c r="D717" i="11"/>
  <c r="C717" i="11"/>
  <c r="B717" i="11"/>
  <c r="E716" i="11"/>
  <c r="D716" i="11"/>
  <c r="C716" i="11"/>
  <c r="B716" i="11"/>
  <c r="E712" i="11"/>
  <c r="D712" i="11"/>
  <c r="C712" i="11"/>
  <c r="B712" i="11"/>
  <c r="E711" i="11"/>
  <c r="D711" i="11"/>
  <c r="C711" i="11"/>
  <c r="B711" i="11"/>
  <c r="E710" i="11"/>
  <c r="D710" i="11"/>
  <c r="C710" i="11"/>
  <c r="B710" i="11"/>
  <c r="E709" i="11"/>
  <c r="D709" i="11"/>
  <c r="C709" i="11"/>
  <c r="B709" i="11"/>
  <c r="E708" i="11"/>
  <c r="D708" i="11"/>
  <c r="C708" i="11"/>
  <c r="B708" i="11"/>
  <c r="E707" i="11"/>
  <c r="D707" i="11"/>
  <c r="C707" i="11"/>
  <c r="B707" i="11"/>
  <c r="E706" i="11"/>
  <c r="D706" i="11"/>
  <c r="C706" i="11"/>
  <c r="B706" i="11"/>
  <c r="E705" i="11"/>
  <c r="D705" i="11"/>
  <c r="C705" i="11"/>
  <c r="B705" i="11"/>
  <c r="E704" i="11"/>
  <c r="D704" i="11"/>
  <c r="C704" i="11"/>
  <c r="B704" i="11"/>
  <c r="E703" i="11"/>
  <c r="D703" i="11"/>
  <c r="C703" i="11"/>
  <c r="B703" i="11"/>
  <c r="E702" i="11"/>
  <c r="D702" i="11"/>
  <c r="C702" i="11"/>
  <c r="B702" i="11"/>
  <c r="E701" i="11"/>
  <c r="D701" i="11"/>
  <c r="C701" i="11"/>
  <c r="B701" i="11"/>
  <c r="E700" i="11"/>
  <c r="D700" i="11"/>
  <c r="C700" i="11"/>
  <c r="B700" i="11"/>
  <c r="E659" i="11"/>
  <c r="D659" i="11"/>
  <c r="C659" i="11"/>
  <c r="B659" i="11"/>
  <c r="E658" i="11"/>
  <c r="D658" i="11"/>
  <c r="C658" i="11"/>
  <c r="B658" i="11"/>
  <c r="E657" i="11"/>
  <c r="D657" i="11"/>
  <c r="C657" i="11"/>
  <c r="B657" i="11"/>
  <c r="E656" i="11"/>
  <c r="D656" i="11"/>
  <c r="C656" i="11"/>
  <c r="B656" i="11"/>
  <c r="E655" i="11"/>
  <c r="D655" i="11"/>
  <c r="C655" i="11"/>
  <c r="B655" i="11"/>
  <c r="E654" i="11"/>
  <c r="D654" i="11"/>
  <c r="C654" i="11"/>
  <c r="B654" i="11"/>
  <c r="E653" i="11"/>
  <c r="D653" i="11"/>
  <c r="C653" i="11"/>
  <c r="B653" i="11"/>
  <c r="E652" i="11"/>
  <c r="D652" i="11"/>
  <c r="C652" i="11"/>
  <c r="B652" i="11"/>
  <c r="E651" i="11"/>
  <c r="D651" i="11"/>
  <c r="C651" i="11"/>
  <c r="B651" i="11"/>
  <c r="E650" i="11"/>
  <c r="D650" i="11"/>
  <c r="C650" i="11"/>
  <c r="B650" i="11"/>
  <c r="E649" i="11"/>
  <c r="D649" i="11"/>
  <c r="C649" i="11"/>
  <c r="B649" i="11"/>
  <c r="E648" i="11"/>
  <c r="D648" i="11"/>
  <c r="C648" i="11"/>
  <c r="B648" i="11"/>
  <c r="E647" i="11"/>
  <c r="D647" i="11"/>
  <c r="C647" i="11"/>
  <c r="B647" i="11"/>
  <c r="E646" i="11"/>
  <c r="D646" i="11"/>
  <c r="C646" i="11"/>
  <c r="B646" i="11"/>
  <c r="E645" i="11"/>
  <c r="D645" i="11"/>
  <c r="C645" i="11"/>
  <c r="B645" i="11"/>
  <c r="E644" i="11"/>
  <c r="D644" i="11"/>
  <c r="C644" i="11"/>
  <c r="B644" i="11"/>
  <c r="E643" i="11"/>
  <c r="D643" i="11"/>
  <c r="C643" i="11"/>
  <c r="B643" i="11"/>
  <c r="E642" i="11"/>
  <c r="D642" i="11"/>
  <c r="C642" i="11"/>
  <c r="B642" i="11"/>
  <c r="E641" i="11"/>
  <c r="D641" i="11"/>
  <c r="C641" i="11"/>
  <c r="B641" i="11"/>
  <c r="E640" i="11"/>
  <c r="D640" i="11"/>
  <c r="C640" i="11"/>
  <c r="B640" i="11"/>
  <c r="E639" i="11"/>
  <c r="D639" i="11"/>
  <c r="C639" i="11"/>
  <c r="B639" i="11"/>
  <c r="E638" i="11"/>
  <c r="D638" i="11"/>
  <c r="C638" i="11"/>
  <c r="B638" i="11"/>
  <c r="E637" i="11"/>
  <c r="D637" i="11"/>
  <c r="C637" i="11"/>
  <c r="B637" i="11"/>
  <c r="E636" i="11"/>
  <c r="D636" i="11"/>
  <c r="C636" i="11"/>
  <c r="B636" i="11"/>
  <c r="E635" i="11"/>
  <c r="D635" i="11"/>
  <c r="C635" i="11"/>
  <c r="B635" i="11"/>
  <c r="E634" i="11"/>
  <c r="D634" i="11"/>
  <c r="C634" i="11"/>
  <c r="B634" i="11"/>
  <c r="E633" i="11"/>
  <c r="D633" i="11"/>
  <c r="C633" i="11"/>
  <c r="B633" i="11"/>
  <c r="E632" i="11"/>
  <c r="D632" i="11"/>
  <c r="C632" i="11"/>
  <c r="B632" i="11"/>
  <c r="E631" i="11"/>
  <c r="D631" i="11"/>
  <c r="C631" i="11"/>
  <c r="B631" i="11"/>
  <c r="E630" i="11"/>
  <c r="D630" i="11"/>
  <c r="C630" i="11"/>
  <c r="B630" i="11"/>
  <c r="E629" i="11"/>
  <c r="D629" i="11"/>
  <c r="C629" i="11"/>
  <c r="B629" i="11"/>
  <c r="E628" i="11"/>
  <c r="D628" i="11"/>
  <c r="C628" i="11"/>
  <c r="B628" i="11"/>
  <c r="E627" i="11"/>
  <c r="D627" i="11"/>
  <c r="C627" i="11"/>
  <c r="B627" i="11"/>
  <c r="E626" i="11"/>
  <c r="D626" i="11"/>
  <c r="C626" i="11"/>
  <c r="B626" i="11"/>
  <c r="E625" i="11"/>
  <c r="D625" i="11"/>
  <c r="C625" i="11"/>
  <c r="B625" i="11"/>
  <c r="E624" i="11"/>
  <c r="D624" i="11"/>
  <c r="C624" i="11"/>
  <c r="B624" i="11"/>
  <c r="E623" i="11"/>
  <c r="D623" i="11"/>
  <c r="C623" i="11"/>
  <c r="B623" i="11"/>
  <c r="E622" i="11"/>
  <c r="D622" i="11"/>
  <c r="C622" i="11"/>
  <c r="B622" i="11"/>
  <c r="E621" i="11"/>
  <c r="D621" i="11"/>
  <c r="C621" i="11"/>
  <c r="B621" i="11"/>
  <c r="E620" i="11"/>
  <c r="D620" i="11"/>
  <c r="C620" i="11"/>
  <c r="B620" i="11"/>
  <c r="E619" i="11"/>
  <c r="D619" i="11"/>
  <c r="C619" i="11"/>
  <c r="B619" i="11"/>
  <c r="E618" i="11"/>
  <c r="D618" i="11"/>
  <c r="C618" i="11"/>
  <c r="B618" i="11"/>
  <c r="E617" i="11"/>
  <c r="D617" i="11"/>
  <c r="C617" i="11"/>
  <c r="B617" i="11"/>
  <c r="E616" i="11"/>
  <c r="D616" i="11"/>
  <c r="C616" i="11"/>
  <c r="B616" i="11"/>
  <c r="E615" i="11"/>
  <c r="D615" i="11"/>
  <c r="C615" i="11"/>
  <c r="B615" i="11"/>
  <c r="E614" i="11"/>
  <c r="D614" i="11"/>
  <c r="C614" i="11"/>
  <c r="B614" i="11"/>
  <c r="E613" i="11"/>
  <c r="D613" i="11"/>
  <c r="C613" i="11"/>
  <c r="B613" i="11"/>
  <c r="E612" i="11"/>
  <c r="D612" i="11"/>
  <c r="C612" i="11"/>
  <c r="B612" i="11"/>
  <c r="E611" i="11"/>
  <c r="D611" i="11"/>
  <c r="C611" i="11"/>
  <c r="B611" i="11"/>
  <c r="E610" i="11"/>
  <c r="D610" i="11"/>
  <c r="C610" i="11"/>
  <c r="B610" i="11"/>
  <c r="E609" i="11"/>
  <c r="D609" i="11"/>
  <c r="C609" i="11"/>
  <c r="B609" i="11"/>
  <c r="E608" i="11"/>
  <c r="D608" i="11"/>
  <c r="C608" i="11"/>
  <c r="B608" i="11"/>
  <c r="E607" i="11"/>
  <c r="D607" i="11"/>
  <c r="C607" i="11"/>
  <c r="B607" i="11"/>
  <c r="E606" i="11"/>
  <c r="D606" i="11"/>
  <c r="C606" i="11"/>
  <c r="B606" i="11"/>
  <c r="E605" i="11"/>
  <c r="D605" i="11"/>
  <c r="C605" i="11"/>
  <c r="B605" i="11"/>
  <c r="E604" i="11"/>
  <c r="D604" i="11"/>
  <c r="C604" i="11"/>
  <c r="B604" i="11"/>
  <c r="E603" i="11"/>
  <c r="D603" i="11"/>
  <c r="C603" i="11"/>
  <c r="B603" i="11"/>
  <c r="E602" i="11"/>
  <c r="D602" i="11"/>
  <c r="C602" i="11"/>
  <c r="B602" i="11"/>
  <c r="E601" i="11"/>
  <c r="D601" i="11"/>
  <c r="C601" i="11"/>
  <c r="B601" i="11"/>
  <c r="E600" i="11"/>
  <c r="D600" i="11"/>
  <c r="C600" i="11"/>
  <c r="B600" i="11"/>
  <c r="E599" i="11"/>
  <c r="D599" i="11"/>
  <c r="C599" i="11"/>
  <c r="B599" i="11"/>
  <c r="E598" i="11"/>
  <c r="D598" i="11"/>
  <c r="C598" i="11"/>
  <c r="B598" i="11"/>
  <c r="E597" i="11"/>
  <c r="D597" i="11"/>
  <c r="C597" i="11"/>
  <c r="B597" i="11"/>
  <c r="E596" i="11"/>
  <c r="D596" i="11"/>
  <c r="C596" i="11"/>
  <c r="B596" i="11"/>
  <c r="E595" i="11"/>
  <c r="D595" i="11"/>
  <c r="C595" i="11"/>
  <c r="B595" i="11"/>
  <c r="E594" i="11"/>
  <c r="D594" i="11"/>
  <c r="C594" i="11"/>
  <c r="B594" i="11"/>
  <c r="E593" i="11"/>
  <c r="D593" i="11"/>
  <c r="C593" i="11"/>
  <c r="B593" i="11"/>
  <c r="E592" i="11"/>
  <c r="D592" i="11"/>
  <c r="C592" i="11"/>
  <c r="B592" i="11"/>
  <c r="E591" i="11"/>
  <c r="D591" i="11"/>
  <c r="C591" i="11"/>
  <c r="B591" i="11"/>
  <c r="E590" i="11"/>
  <c r="D590" i="11"/>
  <c r="C590" i="11"/>
  <c r="B590" i="11"/>
  <c r="E589" i="11"/>
  <c r="D589" i="11"/>
  <c r="C589" i="11"/>
  <c r="B589" i="11"/>
  <c r="E588" i="11"/>
  <c r="D588" i="11"/>
  <c r="C588" i="11"/>
  <c r="B588" i="11"/>
  <c r="E587" i="11"/>
  <c r="D587" i="11"/>
  <c r="C587" i="11"/>
  <c r="B587" i="11"/>
  <c r="E586" i="11"/>
  <c r="D586" i="11"/>
  <c r="C586" i="11"/>
  <c r="B586" i="11"/>
  <c r="E585" i="11"/>
  <c r="D585" i="11"/>
  <c r="C585" i="11"/>
  <c r="B585" i="11"/>
  <c r="E584" i="11"/>
  <c r="D584" i="11"/>
  <c r="C584" i="11"/>
  <c r="B584" i="11"/>
  <c r="E583" i="11"/>
  <c r="D583" i="11"/>
  <c r="C583" i="11"/>
  <c r="B583" i="11"/>
  <c r="E582" i="11"/>
  <c r="D582" i="11"/>
  <c r="C582" i="11"/>
  <c r="B582" i="11"/>
  <c r="E581" i="11"/>
  <c r="D581" i="11"/>
  <c r="C581" i="11"/>
  <c r="B581" i="11"/>
  <c r="E580" i="11"/>
  <c r="D580" i="11"/>
  <c r="C580" i="11"/>
  <c r="B580" i="11"/>
  <c r="E579" i="11"/>
  <c r="D579" i="11"/>
  <c r="C579" i="11"/>
  <c r="B579" i="11"/>
  <c r="E578" i="11"/>
  <c r="D578" i="11"/>
  <c r="C578" i="11"/>
  <c r="B578" i="11"/>
  <c r="E577" i="11"/>
  <c r="D577" i="11"/>
  <c r="C577" i="11"/>
  <c r="B577" i="11"/>
  <c r="E576" i="11"/>
  <c r="D576" i="11"/>
  <c r="C576" i="11"/>
  <c r="B576" i="11"/>
  <c r="E575" i="11"/>
  <c r="D575" i="11"/>
  <c r="C575" i="11"/>
  <c r="B575" i="11"/>
  <c r="E574" i="11"/>
  <c r="D574" i="11"/>
  <c r="C574" i="11"/>
  <c r="B574" i="11"/>
  <c r="E573" i="11"/>
  <c r="D573" i="11"/>
  <c r="C573" i="11"/>
  <c r="B573" i="11"/>
  <c r="E572" i="11"/>
  <c r="D572" i="11"/>
  <c r="C572" i="11"/>
  <c r="B572" i="11"/>
  <c r="E571" i="11"/>
  <c r="D571" i="11"/>
  <c r="C571" i="11"/>
  <c r="B571" i="11"/>
  <c r="E570" i="11"/>
  <c r="D570" i="11"/>
  <c r="C570" i="11"/>
  <c r="B570" i="11"/>
  <c r="E569" i="11"/>
  <c r="D569" i="11"/>
  <c r="C569" i="11"/>
  <c r="B569" i="11"/>
  <c r="E568" i="11"/>
  <c r="D568" i="11"/>
  <c r="C568" i="11"/>
  <c r="B568" i="11"/>
  <c r="E567" i="11"/>
  <c r="D567" i="11"/>
  <c r="C567" i="11"/>
  <c r="B567" i="11"/>
  <c r="E566" i="11"/>
  <c r="D566" i="11"/>
  <c r="C566" i="11"/>
  <c r="B566" i="11"/>
  <c r="E565" i="11"/>
  <c r="D565" i="11"/>
  <c r="C565" i="11"/>
  <c r="B565" i="11"/>
  <c r="E564" i="11"/>
  <c r="D564" i="11"/>
  <c r="C564" i="11"/>
  <c r="B564" i="11"/>
  <c r="E563" i="11"/>
  <c r="D563" i="11"/>
  <c r="C563" i="11"/>
  <c r="B563" i="11"/>
  <c r="E562" i="11"/>
  <c r="D562" i="11"/>
  <c r="C562" i="11"/>
  <c r="B562" i="11"/>
  <c r="E561" i="11"/>
  <c r="D561" i="11"/>
  <c r="C561" i="11"/>
  <c r="B561" i="11"/>
  <c r="E560" i="11"/>
  <c r="D560" i="11"/>
  <c r="C560" i="11"/>
  <c r="B560" i="11"/>
  <c r="E559" i="11"/>
  <c r="D559" i="11"/>
  <c r="C559" i="11"/>
  <c r="B559" i="11"/>
  <c r="E558" i="11"/>
  <c r="D558" i="11"/>
  <c r="C558" i="11"/>
  <c r="B558" i="11"/>
  <c r="E557" i="11"/>
  <c r="D557" i="11"/>
  <c r="C557" i="11"/>
  <c r="B557" i="11"/>
  <c r="E556" i="11"/>
  <c r="D556" i="11"/>
  <c r="C556" i="11"/>
  <c r="B556" i="11"/>
  <c r="E555" i="11"/>
  <c r="D555" i="11"/>
  <c r="C555" i="11"/>
  <c r="B555" i="11"/>
  <c r="E554" i="11"/>
  <c r="D554" i="11"/>
  <c r="C554" i="11"/>
  <c r="B554" i="11"/>
  <c r="E553" i="11"/>
  <c r="D553" i="11"/>
  <c r="C553" i="11"/>
  <c r="B553" i="11"/>
  <c r="E552" i="11"/>
  <c r="D552" i="11"/>
  <c r="C552" i="11"/>
  <c r="B552" i="11"/>
  <c r="E551" i="11"/>
  <c r="D551" i="11"/>
  <c r="C551" i="11"/>
  <c r="B551" i="11"/>
  <c r="E550" i="11"/>
  <c r="D550" i="11"/>
  <c r="C550" i="11"/>
  <c r="B550" i="11"/>
  <c r="E549" i="11"/>
  <c r="D549" i="11"/>
  <c r="C549" i="11"/>
  <c r="B549" i="11"/>
  <c r="E548" i="11"/>
  <c r="D548" i="11"/>
  <c r="C548" i="11"/>
  <c r="B548" i="11"/>
  <c r="E547" i="11"/>
  <c r="D547" i="11"/>
  <c r="C547" i="11"/>
  <c r="B547" i="11"/>
  <c r="E546" i="11"/>
  <c r="D546" i="11"/>
  <c r="C546" i="11"/>
  <c r="B546" i="11"/>
  <c r="E545" i="11"/>
  <c r="D545" i="11"/>
  <c r="C545" i="11"/>
  <c r="B545" i="11"/>
  <c r="E544" i="11"/>
  <c r="D544" i="11"/>
  <c r="C544" i="11"/>
  <c r="B544" i="11"/>
  <c r="E543" i="11"/>
  <c r="D543" i="11"/>
  <c r="C543" i="11"/>
  <c r="B543" i="11"/>
  <c r="E542" i="11"/>
  <c r="D542" i="11"/>
  <c r="C542" i="11"/>
  <c r="B542" i="11"/>
  <c r="E541" i="11"/>
  <c r="D541" i="11"/>
  <c r="C541" i="11"/>
  <c r="B541" i="11"/>
  <c r="E540" i="11"/>
  <c r="D540" i="11"/>
  <c r="C540" i="11"/>
  <c r="B540" i="11"/>
  <c r="E539" i="11"/>
  <c r="D539" i="11"/>
  <c r="C539" i="11"/>
  <c r="B539" i="11"/>
  <c r="E538" i="11"/>
  <c r="D538" i="11"/>
  <c r="C538" i="11"/>
  <c r="B538" i="11"/>
  <c r="E537" i="11"/>
  <c r="D537" i="11"/>
  <c r="C537" i="11"/>
  <c r="B537" i="11"/>
  <c r="E536" i="11"/>
  <c r="D536" i="11"/>
  <c r="C536" i="11"/>
  <c r="B536" i="11"/>
  <c r="E535" i="11"/>
  <c r="D535" i="11"/>
  <c r="C535" i="11"/>
  <c r="B535" i="11"/>
  <c r="E534" i="11"/>
  <c r="D534" i="11"/>
  <c r="C534" i="11"/>
  <c r="B534" i="11"/>
  <c r="E533" i="11"/>
  <c r="D533" i="11"/>
  <c r="C533" i="11"/>
  <c r="B533" i="11"/>
  <c r="E532" i="11"/>
  <c r="D532" i="11"/>
  <c r="C532" i="11"/>
  <c r="B532" i="11"/>
  <c r="E531" i="11"/>
  <c r="D531" i="11"/>
  <c r="C531" i="11"/>
  <c r="B531" i="11"/>
  <c r="E530" i="11"/>
  <c r="D530" i="11"/>
  <c r="C530" i="11"/>
  <c r="B530" i="11"/>
  <c r="E529" i="11"/>
  <c r="D529" i="11"/>
  <c r="C529" i="11"/>
  <c r="B529" i="11"/>
  <c r="E528" i="11"/>
  <c r="D528" i="11"/>
  <c r="C528" i="11"/>
  <c r="B528" i="11"/>
  <c r="E527" i="11"/>
  <c r="D527" i="11"/>
  <c r="C527" i="11"/>
  <c r="B527" i="11"/>
  <c r="E526" i="11"/>
  <c r="D526" i="11"/>
  <c r="C526" i="11"/>
  <c r="B526" i="11"/>
  <c r="E525" i="11"/>
  <c r="D525" i="11"/>
  <c r="C525" i="11"/>
  <c r="B525" i="11"/>
  <c r="E524" i="11"/>
  <c r="D524" i="11"/>
  <c r="C524" i="11"/>
  <c r="B524" i="11"/>
  <c r="E523" i="11"/>
  <c r="D523" i="11"/>
  <c r="C523" i="11"/>
  <c r="B523" i="11"/>
  <c r="E522" i="11"/>
  <c r="D522" i="11"/>
  <c r="C522" i="11"/>
  <c r="B522" i="11"/>
  <c r="E521" i="11"/>
  <c r="D521" i="11"/>
  <c r="C521" i="11"/>
  <c r="B521" i="11"/>
  <c r="E520" i="11"/>
  <c r="D520" i="11"/>
  <c r="C520" i="11"/>
  <c r="B520" i="11"/>
  <c r="I519" i="11"/>
  <c r="A519" i="11"/>
  <c r="I518" i="11"/>
  <c r="A518" i="11"/>
  <c r="I517" i="11"/>
  <c r="A517" i="11"/>
  <c r="I516" i="11"/>
  <c r="A516" i="11"/>
  <c r="I515" i="11"/>
  <c r="A515" i="11"/>
  <c r="I514" i="11"/>
  <c r="A514" i="11"/>
  <c r="I513" i="11"/>
  <c r="A513" i="11"/>
  <c r="I512" i="11"/>
  <c r="A512" i="11"/>
  <c r="I511" i="11"/>
  <c r="A511" i="11"/>
  <c r="I510" i="11"/>
  <c r="A510" i="11"/>
  <c r="I509" i="11"/>
  <c r="A509" i="11"/>
  <c r="I508" i="11"/>
  <c r="A508" i="11"/>
  <c r="I507" i="11"/>
  <c r="A507" i="11"/>
  <c r="I506" i="11"/>
  <c r="A506" i="11"/>
  <c r="I505" i="11"/>
  <c r="A505" i="11"/>
  <c r="I504" i="11"/>
  <c r="A504" i="11"/>
  <c r="I503" i="11"/>
  <c r="A503" i="11"/>
  <c r="I502" i="11"/>
  <c r="A502" i="11"/>
  <c r="I501" i="11"/>
  <c r="A501" i="11"/>
  <c r="I500" i="11"/>
  <c r="A500" i="11"/>
  <c r="I720" i="11"/>
  <c r="A720" i="11"/>
  <c r="I719" i="11"/>
  <c r="A719" i="11"/>
  <c r="I718" i="11"/>
  <c r="A718" i="11"/>
  <c r="I717" i="11"/>
  <c r="A717" i="11"/>
  <c r="I716" i="11"/>
  <c r="A716" i="11"/>
  <c r="I712" i="11"/>
  <c r="A712" i="11"/>
  <c r="I711" i="11"/>
  <c r="A711" i="11"/>
  <c r="I710" i="11"/>
  <c r="A710" i="11"/>
  <c r="I709" i="11"/>
  <c r="A709" i="11"/>
  <c r="I708" i="11"/>
  <c r="A708" i="11"/>
  <c r="I707" i="11"/>
  <c r="A707" i="11"/>
  <c r="I706" i="11"/>
  <c r="A706" i="11"/>
  <c r="I705" i="11"/>
  <c r="A705" i="11"/>
  <c r="I704" i="11"/>
  <c r="A704" i="11"/>
  <c r="I703" i="11"/>
  <c r="A703" i="11"/>
  <c r="I702" i="11"/>
  <c r="A702" i="11"/>
  <c r="I701" i="11"/>
  <c r="A701" i="11"/>
  <c r="I700" i="11"/>
  <c r="A700" i="11"/>
  <c r="I659" i="11"/>
  <c r="A659" i="11"/>
  <c r="I658" i="11"/>
  <c r="A658" i="11"/>
  <c r="I657" i="11"/>
  <c r="A657" i="11"/>
  <c r="I656" i="11"/>
  <c r="A656" i="11"/>
  <c r="I655" i="11"/>
  <c r="A655" i="11"/>
  <c r="I654" i="11"/>
  <c r="A654" i="11"/>
  <c r="I653" i="11"/>
  <c r="A653" i="11"/>
  <c r="I652" i="11"/>
  <c r="A652" i="11"/>
  <c r="I651" i="11"/>
  <c r="A651" i="11"/>
  <c r="I650" i="11"/>
  <c r="A650" i="11"/>
  <c r="I649" i="11"/>
  <c r="A649" i="11"/>
  <c r="I648" i="11"/>
  <c r="A648" i="11"/>
  <c r="I647" i="11"/>
  <c r="A647" i="11"/>
  <c r="I646" i="11"/>
  <c r="A646" i="11"/>
  <c r="I645" i="11"/>
  <c r="A645" i="11"/>
  <c r="I644" i="11"/>
  <c r="A644" i="11"/>
  <c r="I643" i="11"/>
  <c r="A643" i="11"/>
  <c r="I642" i="11"/>
  <c r="A642" i="11"/>
  <c r="I641" i="11"/>
  <c r="A641" i="11"/>
  <c r="I640" i="11"/>
  <c r="A640" i="11"/>
  <c r="I639" i="11"/>
  <c r="A639" i="11"/>
  <c r="I638" i="11"/>
  <c r="A638" i="11"/>
  <c r="I637" i="11"/>
  <c r="A637" i="11"/>
  <c r="I636" i="11"/>
  <c r="A636" i="11"/>
  <c r="I635" i="11"/>
  <c r="A635" i="11"/>
  <c r="I634" i="11"/>
  <c r="A634" i="11"/>
  <c r="I633" i="11"/>
  <c r="A633" i="11"/>
  <c r="I632" i="11"/>
  <c r="A632" i="11"/>
  <c r="I631" i="11"/>
  <c r="A631" i="11"/>
  <c r="I630" i="11"/>
  <c r="A630" i="11"/>
  <c r="I629" i="11"/>
  <c r="A629" i="11"/>
  <c r="I628" i="11"/>
  <c r="A628" i="11"/>
  <c r="I627" i="11"/>
  <c r="A627" i="11"/>
  <c r="I626" i="11"/>
  <c r="A626" i="11"/>
  <c r="I625" i="11"/>
  <c r="A625" i="11"/>
  <c r="I624" i="11"/>
  <c r="A624" i="11"/>
  <c r="I623" i="11"/>
  <c r="A623" i="11"/>
  <c r="I622" i="11"/>
  <c r="A622" i="11"/>
  <c r="I621" i="11"/>
  <c r="A621" i="11"/>
  <c r="I620" i="11"/>
  <c r="A620" i="11"/>
  <c r="I619" i="11"/>
  <c r="A619" i="11"/>
  <c r="I618" i="11"/>
  <c r="A618" i="11"/>
  <c r="I617" i="11"/>
  <c r="A617" i="11"/>
  <c r="I616" i="11"/>
  <c r="A616" i="11"/>
  <c r="I615" i="11"/>
  <c r="A615" i="11"/>
  <c r="I614" i="11"/>
  <c r="A614" i="11"/>
  <c r="I613" i="11"/>
  <c r="A613" i="11"/>
  <c r="I612" i="11"/>
  <c r="A612" i="11"/>
  <c r="I611" i="11"/>
  <c r="A611" i="11"/>
  <c r="I610" i="11"/>
  <c r="A610" i="11"/>
  <c r="I609" i="11"/>
  <c r="A609" i="11"/>
  <c r="I608" i="11"/>
  <c r="A608" i="11"/>
  <c r="I607" i="11"/>
  <c r="A607" i="11"/>
  <c r="I606" i="11"/>
  <c r="A606" i="11"/>
  <c r="I605" i="11"/>
  <c r="A605" i="11"/>
  <c r="I604" i="11"/>
  <c r="A604" i="11"/>
  <c r="I603" i="11"/>
  <c r="A603" i="11"/>
  <c r="I602" i="11"/>
  <c r="A602" i="11"/>
  <c r="I601" i="11"/>
  <c r="A601" i="11"/>
  <c r="I600" i="11"/>
  <c r="A600" i="11"/>
  <c r="I599" i="11"/>
  <c r="A599" i="11"/>
  <c r="I598" i="11"/>
  <c r="A598" i="11"/>
  <c r="I597" i="11"/>
  <c r="A597" i="11"/>
  <c r="I596" i="11"/>
  <c r="A596" i="11"/>
  <c r="I595" i="11"/>
  <c r="A595" i="11"/>
  <c r="I594" i="11"/>
  <c r="A594" i="11"/>
  <c r="I593" i="11"/>
  <c r="A593" i="11"/>
  <c r="I592" i="11"/>
  <c r="A592" i="11"/>
  <c r="I591" i="11"/>
  <c r="A591" i="11"/>
  <c r="I590" i="11"/>
  <c r="A590" i="11"/>
  <c r="I589" i="11"/>
  <c r="A589" i="11"/>
  <c r="I588" i="11"/>
  <c r="A588" i="11"/>
  <c r="I587" i="11"/>
  <c r="A587" i="11"/>
  <c r="I586" i="11"/>
  <c r="A586" i="11"/>
  <c r="I585" i="11"/>
  <c r="A585" i="11"/>
  <c r="I584" i="11"/>
  <c r="A584" i="11"/>
  <c r="I583" i="11"/>
  <c r="A583" i="11"/>
  <c r="I582" i="11"/>
  <c r="A582" i="11"/>
  <c r="I581" i="11"/>
  <c r="A581" i="11"/>
  <c r="I580" i="11"/>
  <c r="A580" i="11"/>
  <c r="I579" i="11"/>
  <c r="A579" i="11"/>
  <c r="I578" i="11"/>
  <c r="A578" i="11"/>
  <c r="I577" i="11"/>
  <c r="A577" i="11"/>
  <c r="I576" i="11"/>
  <c r="A576" i="11"/>
  <c r="I575" i="11"/>
  <c r="A575" i="11"/>
  <c r="I574" i="11"/>
  <c r="A574" i="11"/>
  <c r="I573" i="11"/>
  <c r="A573" i="11"/>
  <c r="I572" i="11"/>
  <c r="A572" i="11"/>
  <c r="I571" i="11"/>
  <c r="A571" i="11"/>
  <c r="I570" i="11"/>
  <c r="A570" i="11"/>
  <c r="I569" i="11"/>
  <c r="A569" i="11"/>
  <c r="I568" i="11"/>
  <c r="A568" i="11"/>
  <c r="I567" i="11"/>
  <c r="A567" i="11"/>
  <c r="I566" i="11"/>
  <c r="A566" i="11"/>
  <c r="I565" i="11"/>
  <c r="A565" i="11"/>
  <c r="I564" i="11"/>
  <c r="A564" i="11"/>
  <c r="I563" i="11"/>
  <c r="A563" i="11"/>
  <c r="I562" i="11"/>
  <c r="A562" i="11"/>
  <c r="I561" i="11"/>
  <c r="A561" i="11"/>
  <c r="I560" i="11"/>
  <c r="A560" i="11"/>
  <c r="I559" i="11"/>
  <c r="A559" i="11"/>
  <c r="I558" i="11"/>
  <c r="A558" i="11"/>
  <c r="I557" i="11"/>
  <c r="A557" i="11"/>
  <c r="I556" i="11"/>
  <c r="A556" i="11"/>
  <c r="I555" i="11"/>
  <c r="A555" i="11"/>
  <c r="I554" i="11"/>
  <c r="A554" i="11"/>
  <c r="I553" i="11"/>
  <c r="A553" i="11"/>
  <c r="I552" i="11"/>
  <c r="A552" i="11"/>
  <c r="I551" i="11"/>
  <c r="A551" i="11"/>
  <c r="I550" i="11"/>
  <c r="A550" i="11"/>
  <c r="I549" i="11"/>
  <c r="A549" i="11"/>
  <c r="I548" i="11"/>
  <c r="A548" i="11"/>
  <c r="I547" i="11"/>
  <c r="A547" i="11"/>
  <c r="I546" i="11"/>
  <c r="A546" i="11"/>
  <c r="I545" i="11"/>
  <c r="A545" i="11"/>
  <c r="I544" i="11"/>
  <c r="A544" i="11"/>
  <c r="I543" i="11"/>
  <c r="A543" i="11"/>
  <c r="I542" i="11"/>
  <c r="A542" i="11"/>
  <c r="I541" i="11"/>
  <c r="A541" i="11"/>
  <c r="I540" i="11"/>
  <c r="A540" i="11"/>
  <c r="I539" i="11"/>
  <c r="A539" i="11"/>
  <c r="I538" i="11"/>
  <c r="A538" i="11"/>
  <c r="I537" i="11"/>
  <c r="A537" i="11"/>
  <c r="I536" i="11"/>
  <c r="A536" i="11"/>
  <c r="I535" i="11"/>
  <c r="A535" i="11"/>
  <c r="I534" i="11"/>
  <c r="A534" i="11"/>
  <c r="I533" i="11"/>
  <c r="A533" i="11"/>
  <c r="I532" i="11"/>
  <c r="A532" i="11"/>
  <c r="I531" i="11"/>
  <c r="A531" i="11"/>
  <c r="I530" i="11"/>
  <c r="A530" i="11"/>
  <c r="I529" i="11"/>
  <c r="A529" i="11"/>
  <c r="I528" i="11"/>
  <c r="A528" i="11"/>
  <c r="I527" i="11"/>
  <c r="A527" i="11"/>
  <c r="I526" i="11"/>
  <c r="A526" i="11"/>
  <c r="I525" i="11"/>
  <c r="A525" i="11"/>
  <c r="I524" i="11"/>
  <c r="A524" i="11"/>
  <c r="I523" i="11"/>
  <c r="A523" i="11"/>
  <c r="I522" i="11"/>
  <c r="A522" i="11"/>
  <c r="I521" i="11"/>
  <c r="A521" i="11"/>
  <c r="I520" i="11"/>
  <c r="A520" i="11"/>
  <c r="F129" i="20"/>
  <c r="E129" i="20"/>
  <c r="M119" i="20"/>
  <c r="L119" i="20"/>
  <c r="F128" i="20"/>
  <c r="E128" i="20"/>
  <c r="M118" i="20"/>
  <c r="L118" i="20"/>
  <c r="F127" i="20"/>
  <c r="E127" i="20"/>
  <c r="M117" i="20"/>
  <c r="L117" i="20"/>
  <c r="F126" i="20"/>
  <c r="E126" i="20"/>
  <c r="M116" i="20"/>
  <c r="L116" i="20"/>
  <c r="F125" i="20"/>
  <c r="E125" i="20"/>
  <c r="M115" i="20"/>
  <c r="L115" i="20"/>
  <c r="F122" i="20"/>
  <c r="E122" i="20"/>
  <c r="F121" i="20"/>
  <c r="E121" i="20"/>
  <c r="F120" i="20"/>
  <c r="E120" i="20"/>
  <c r="F119" i="20"/>
  <c r="E119" i="20"/>
  <c r="F118" i="20"/>
  <c r="E118" i="20"/>
  <c r="F117" i="20"/>
  <c r="E117" i="20"/>
  <c r="F116" i="20"/>
  <c r="E116" i="20"/>
  <c r="F115" i="20"/>
  <c r="E115" i="20"/>
  <c r="M90" i="20"/>
  <c r="L90" i="20"/>
  <c r="F90" i="20"/>
  <c r="E90" i="20"/>
  <c r="M89" i="20"/>
  <c r="L89" i="20"/>
  <c r="F89" i="20"/>
  <c r="E89" i="20"/>
  <c r="M88" i="20"/>
  <c r="L88" i="20"/>
  <c r="F88" i="20"/>
  <c r="E88" i="20"/>
  <c r="M87" i="20"/>
  <c r="L87" i="20"/>
  <c r="F87" i="20"/>
  <c r="E87" i="20"/>
  <c r="M86" i="20"/>
  <c r="L86" i="20"/>
  <c r="F86" i="20"/>
  <c r="E86" i="20"/>
  <c r="M85" i="20"/>
  <c r="L85" i="20"/>
  <c r="F85" i="20"/>
  <c r="E85" i="20"/>
  <c r="M84" i="20"/>
  <c r="L84" i="20"/>
  <c r="F84" i="20"/>
  <c r="E84" i="20"/>
  <c r="M83" i="20"/>
  <c r="L83" i="20"/>
  <c r="F83" i="20"/>
  <c r="E83" i="20"/>
  <c r="M82" i="20"/>
  <c r="L82" i="20"/>
  <c r="F82" i="20"/>
  <c r="E82" i="20"/>
  <c r="M81" i="20"/>
  <c r="L81" i="20"/>
  <c r="F81" i="20"/>
  <c r="E81" i="20"/>
  <c r="M80" i="20"/>
  <c r="L80" i="20"/>
  <c r="F80" i="20"/>
  <c r="E80" i="20"/>
  <c r="M79" i="20"/>
  <c r="L79" i="20"/>
  <c r="F79" i="20"/>
  <c r="E79" i="20"/>
  <c r="M78" i="20"/>
  <c r="L78" i="20"/>
  <c r="F78" i="20"/>
  <c r="E78" i="20"/>
  <c r="M77" i="20"/>
  <c r="L77" i="20"/>
  <c r="F77" i="20"/>
  <c r="E77" i="20"/>
  <c r="M76" i="20"/>
  <c r="L76" i="20"/>
  <c r="F76" i="20"/>
  <c r="E76" i="20"/>
  <c r="M75" i="20"/>
  <c r="L75" i="20"/>
  <c r="F75" i="20"/>
  <c r="E75" i="20"/>
  <c r="M74" i="20"/>
  <c r="L74" i="20"/>
  <c r="F74" i="20"/>
  <c r="E74" i="20"/>
  <c r="M73" i="20"/>
  <c r="L73" i="20"/>
  <c r="F73" i="20"/>
  <c r="E73" i="20"/>
  <c r="M72" i="20"/>
  <c r="L72" i="20"/>
  <c r="F72" i="20"/>
  <c r="E72" i="20"/>
  <c r="M71" i="20"/>
  <c r="L71" i="20"/>
  <c r="F71" i="20"/>
  <c r="E71" i="20"/>
  <c r="M68" i="20"/>
  <c r="L68" i="20"/>
  <c r="F68" i="20"/>
  <c r="E68" i="20"/>
  <c r="M67" i="20"/>
  <c r="L67" i="20"/>
  <c r="F67" i="20"/>
  <c r="E67" i="20"/>
  <c r="M66" i="20"/>
  <c r="L66" i="20"/>
  <c r="F66" i="20"/>
  <c r="E66" i="20"/>
  <c r="M65" i="20"/>
  <c r="L65" i="20"/>
  <c r="F65" i="20"/>
  <c r="E65" i="20"/>
  <c r="M64" i="20"/>
  <c r="L64" i="20"/>
  <c r="F64" i="20"/>
  <c r="E64" i="20"/>
  <c r="M63" i="20"/>
  <c r="L63" i="20"/>
  <c r="F63" i="20"/>
  <c r="E63" i="20"/>
  <c r="M62" i="20"/>
  <c r="L62" i="20"/>
  <c r="F62" i="20"/>
  <c r="E62" i="20"/>
  <c r="M61" i="20"/>
  <c r="L61" i="20"/>
  <c r="F61" i="20"/>
  <c r="E61" i="20"/>
  <c r="M60" i="20"/>
  <c r="L60" i="20"/>
  <c r="F60" i="20"/>
  <c r="E60" i="20"/>
  <c r="M59" i="20"/>
  <c r="L59" i="20"/>
  <c r="F59" i="20"/>
  <c r="E59" i="20"/>
  <c r="M58" i="20"/>
  <c r="L58" i="20"/>
  <c r="F58" i="20"/>
  <c r="E58" i="20"/>
  <c r="M57" i="20"/>
  <c r="L57" i="20"/>
  <c r="F57" i="20"/>
  <c r="E57" i="20"/>
  <c r="M56" i="20"/>
  <c r="L56" i="20"/>
  <c r="F56" i="20"/>
  <c r="E56" i="20"/>
  <c r="M55" i="20"/>
  <c r="L55" i="20"/>
  <c r="F55" i="20"/>
  <c r="E55" i="20"/>
  <c r="M54" i="20"/>
  <c r="L54" i="20"/>
  <c r="F54" i="20"/>
  <c r="E54" i="20"/>
  <c r="M53" i="20"/>
  <c r="L53" i="20"/>
  <c r="F53" i="20"/>
  <c r="E53" i="20"/>
  <c r="M52" i="20"/>
  <c r="L52" i="20"/>
  <c r="F52" i="20"/>
  <c r="E52" i="20"/>
  <c r="M51" i="20"/>
  <c r="L51" i="20"/>
  <c r="F51" i="20"/>
  <c r="E51" i="20"/>
  <c r="M50" i="20"/>
  <c r="L50" i="20"/>
  <c r="F50" i="20"/>
  <c r="E50" i="20"/>
  <c r="M49" i="20"/>
  <c r="L49" i="20"/>
  <c r="F49" i="20"/>
  <c r="E49" i="20"/>
  <c r="M46" i="20"/>
  <c r="L46" i="20"/>
  <c r="F46" i="20"/>
  <c r="E46" i="20"/>
  <c r="M45" i="20"/>
  <c r="L45" i="20"/>
  <c r="F45" i="20"/>
  <c r="E45" i="20"/>
  <c r="M44" i="20"/>
  <c r="L44" i="20"/>
  <c r="F44" i="20"/>
  <c r="E44" i="20"/>
  <c r="M43" i="20"/>
  <c r="L43" i="20"/>
  <c r="F43" i="20"/>
  <c r="E43" i="20"/>
  <c r="M42" i="20"/>
  <c r="L42" i="20"/>
  <c r="F42" i="20"/>
  <c r="E42" i="20"/>
  <c r="M41" i="20"/>
  <c r="L41" i="20"/>
  <c r="F41" i="20"/>
  <c r="E41" i="20"/>
  <c r="M40" i="20"/>
  <c r="L40" i="20"/>
  <c r="F40" i="20"/>
  <c r="E40" i="20"/>
  <c r="M39" i="20"/>
  <c r="L39" i="20"/>
  <c r="F39" i="20"/>
  <c r="E39" i="20"/>
  <c r="M38" i="20"/>
  <c r="L38" i="20"/>
  <c r="F38" i="20"/>
  <c r="E38" i="20"/>
  <c r="M37" i="20"/>
  <c r="L37" i="20"/>
  <c r="F37" i="20"/>
  <c r="E37" i="20"/>
  <c r="M36" i="20"/>
  <c r="L36" i="20"/>
  <c r="F36" i="20"/>
  <c r="E36" i="20"/>
  <c r="M35" i="20"/>
  <c r="L35" i="20"/>
  <c r="F35" i="20"/>
  <c r="E35" i="20"/>
  <c r="M34" i="20"/>
  <c r="L34" i="20"/>
  <c r="F34" i="20"/>
  <c r="E34" i="20"/>
  <c r="M33" i="20"/>
  <c r="L33" i="20"/>
  <c r="F33" i="20"/>
  <c r="E33" i="20"/>
  <c r="M32" i="20"/>
  <c r="L32" i="20"/>
  <c r="F32" i="20"/>
  <c r="E32" i="20"/>
  <c r="M31" i="20"/>
  <c r="L31" i="20"/>
  <c r="F31" i="20"/>
  <c r="E31" i="20"/>
  <c r="M30" i="20"/>
  <c r="L30" i="20"/>
  <c r="F30" i="20"/>
  <c r="E30" i="20"/>
  <c r="M29" i="20"/>
  <c r="L29" i="20"/>
  <c r="F29" i="20"/>
  <c r="E29" i="20"/>
  <c r="M28" i="20"/>
  <c r="L28" i="20"/>
  <c r="F28" i="20"/>
  <c r="E28" i="20"/>
  <c r="M27" i="20"/>
  <c r="L27" i="20"/>
  <c r="F27" i="20"/>
  <c r="E27" i="20"/>
  <c r="M24" i="20"/>
  <c r="L24" i="20"/>
  <c r="F24" i="20"/>
  <c r="E24" i="20"/>
  <c r="M23" i="20"/>
  <c r="L23" i="20"/>
  <c r="F23" i="20"/>
  <c r="E23" i="20"/>
  <c r="M22" i="20"/>
  <c r="L22" i="20"/>
  <c r="F22" i="20"/>
  <c r="E22" i="20"/>
  <c r="M21" i="20"/>
  <c r="L21" i="20"/>
  <c r="F21" i="20"/>
  <c r="E21" i="20"/>
  <c r="M20" i="20"/>
  <c r="L20" i="20"/>
  <c r="F20" i="20"/>
  <c r="E20" i="20"/>
  <c r="M19" i="20"/>
  <c r="L19" i="20"/>
  <c r="F19" i="20"/>
  <c r="E19" i="20"/>
  <c r="M18" i="20"/>
  <c r="L18" i="20"/>
  <c r="F18" i="20"/>
  <c r="E18" i="20"/>
  <c r="M17" i="20"/>
  <c r="L17" i="20"/>
  <c r="F17" i="20"/>
  <c r="E17" i="20"/>
  <c r="M16" i="20"/>
  <c r="L16" i="20"/>
  <c r="F16" i="20"/>
  <c r="E16" i="20"/>
  <c r="M15" i="20"/>
  <c r="L15" i="20"/>
  <c r="F15" i="20"/>
  <c r="E15" i="20"/>
  <c r="M14" i="20"/>
  <c r="L14" i="20"/>
  <c r="F14" i="20"/>
  <c r="E14" i="20"/>
  <c r="M13" i="20"/>
  <c r="L13" i="20"/>
  <c r="F13" i="20"/>
  <c r="E13" i="20"/>
  <c r="M12" i="20"/>
  <c r="L12" i="20"/>
  <c r="F12" i="20"/>
  <c r="E12" i="20"/>
  <c r="M11" i="20"/>
  <c r="L11" i="20"/>
  <c r="F11" i="20"/>
  <c r="E11" i="20"/>
  <c r="M10" i="20"/>
  <c r="L10" i="20"/>
  <c r="F10" i="20"/>
  <c r="E10" i="20"/>
  <c r="M9" i="20"/>
  <c r="L9" i="20"/>
  <c r="F9" i="20"/>
  <c r="E9" i="20"/>
  <c r="M8" i="20"/>
  <c r="L8" i="20"/>
  <c r="F8" i="20"/>
  <c r="E8" i="20"/>
  <c r="M7" i="20"/>
  <c r="L7" i="20"/>
  <c r="F7" i="20"/>
  <c r="E7" i="20"/>
  <c r="M6" i="20"/>
  <c r="L6" i="20"/>
  <c r="F6" i="20"/>
  <c r="E6" i="20"/>
  <c r="M5" i="20"/>
  <c r="L5" i="20"/>
  <c r="F5" i="20"/>
  <c r="E5" i="20"/>
  <c r="E1322" i="11"/>
  <c r="D1322" i="11"/>
  <c r="C1322" i="11"/>
  <c r="B1322" i="11"/>
  <c r="E1321" i="11"/>
  <c r="D1321" i="11"/>
  <c r="C1321" i="11"/>
  <c r="B1321" i="11"/>
  <c r="E1320" i="11"/>
  <c r="D1320" i="11"/>
  <c r="C1320" i="11"/>
  <c r="B1320" i="11"/>
  <c r="E1319" i="11"/>
  <c r="D1319" i="11"/>
  <c r="C1319" i="11"/>
  <c r="B1319" i="11"/>
  <c r="E1318" i="11"/>
  <c r="D1318" i="11"/>
  <c r="C1318" i="11"/>
  <c r="B1318" i="11"/>
  <c r="E1317" i="11"/>
  <c r="D1317" i="11"/>
  <c r="C1317" i="11"/>
  <c r="B1317" i="11"/>
  <c r="E1316" i="11"/>
  <c r="D1316" i="11"/>
  <c r="C1316" i="11"/>
  <c r="B1316" i="11"/>
  <c r="E1315" i="11"/>
  <c r="D1315" i="11"/>
  <c r="C1315" i="11"/>
  <c r="B1315" i="11"/>
  <c r="E1314" i="11"/>
  <c r="D1314" i="11"/>
  <c r="C1314" i="11"/>
  <c r="B1314" i="11"/>
  <c r="E1313" i="11"/>
  <c r="D1313" i="11"/>
  <c r="C1313" i="11"/>
  <c r="B1313" i="11"/>
  <c r="E1312" i="11"/>
  <c r="D1312" i="11"/>
  <c r="C1312" i="11"/>
  <c r="B1312" i="11"/>
  <c r="E1311" i="11"/>
  <c r="D1311" i="11"/>
  <c r="C1311" i="11"/>
  <c r="B1311" i="11"/>
  <c r="E1310" i="11"/>
  <c r="D1310" i="11"/>
  <c r="C1310" i="11"/>
  <c r="B1310" i="11"/>
  <c r="E1309" i="11"/>
  <c r="D1309" i="11"/>
  <c r="C1309" i="11"/>
  <c r="B1309" i="11"/>
  <c r="E1308" i="11"/>
  <c r="D1308" i="11"/>
  <c r="C1308" i="11"/>
  <c r="B1308" i="11"/>
  <c r="E1307" i="11"/>
  <c r="D1307" i="11"/>
  <c r="C1307" i="11"/>
  <c r="B1307" i="11"/>
  <c r="E1306" i="11"/>
  <c r="D1306" i="11"/>
  <c r="C1306" i="11"/>
  <c r="B1306" i="11"/>
  <c r="E1305" i="11"/>
  <c r="D1305" i="11"/>
  <c r="C1305" i="11"/>
  <c r="B1305" i="11"/>
  <c r="E1304" i="11"/>
  <c r="D1304" i="11"/>
  <c r="C1304" i="11"/>
  <c r="B1304" i="11"/>
  <c r="E1303" i="11"/>
  <c r="D1303" i="11"/>
  <c r="C1303" i="11"/>
  <c r="B1303" i="11"/>
  <c r="I1322" i="11"/>
  <c r="A1322" i="11"/>
  <c r="I1321" i="11"/>
  <c r="A1321" i="11"/>
  <c r="I1320" i="11"/>
  <c r="A1320" i="11"/>
  <c r="I1319" i="11"/>
  <c r="A1319" i="11"/>
  <c r="I1318" i="11"/>
  <c r="A1318" i="11"/>
  <c r="I1317" i="11"/>
  <c r="A1317" i="11"/>
  <c r="I1316" i="11"/>
  <c r="A1316" i="11"/>
  <c r="I1315" i="11"/>
  <c r="A1315" i="11"/>
  <c r="I1314" i="11"/>
  <c r="A1314" i="11"/>
  <c r="I1313" i="11"/>
  <c r="A1313" i="11"/>
  <c r="I1312" i="11"/>
  <c r="A1312" i="11"/>
  <c r="I1311" i="11"/>
  <c r="A1311" i="11"/>
  <c r="I1310" i="11"/>
  <c r="A1310" i="11"/>
  <c r="I1309" i="11"/>
  <c r="A1309" i="11"/>
  <c r="I1308" i="11"/>
  <c r="A1308" i="11"/>
  <c r="I1307" i="11"/>
  <c r="A1307" i="11"/>
  <c r="I1306" i="11"/>
  <c r="A1306" i="11"/>
  <c r="I1305" i="11"/>
  <c r="A1305" i="11"/>
  <c r="I1304" i="11"/>
  <c r="A1304" i="11"/>
  <c r="I1303" i="11"/>
  <c r="A1303" i="11"/>
  <c r="C1282" i="11"/>
  <c r="I1282" i="11"/>
  <c r="E1282" i="11"/>
  <c r="D1282" i="11"/>
  <c r="B1282" i="11"/>
  <c r="C1281" i="11"/>
  <c r="I1281" i="11"/>
  <c r="E1281" i="11"/>
  <c r="D1281" i="11"/>
  <c r="B1281" i="11"/>
  <c r="C1280" i="11"/>
  <c r="I1280" i="11"/>
  <c r="E1280" i="11"/>
  <c r="D1280" i="11"/>
  <c r="B1280" i="11"/>
  <c r="C1279" i="11"/>
  <c r="I1279" i="11"/>
  <c r="E1279" i="11"/>
  <c r="D1279" i="11"/>
  <c r="B1279" i="11"/>
  <c r="C1278" i="11"/>
  <c r="I1278" i="11"/>
  <c r="E1278" i="11"/>
  <c r="D1278" i="11"/>
  <c r="B1278" i="11"/>
  <c r="C1277" i="11"/>
  <c r="I1277" i="11"/>
  <c r="E1277" i="11"/>
  <c r="D1277" i="11"/>
  <c r="B1277" i="11"/>
  <c r="C1276" i="11"/>
  <c r="I1276" i="11"/>
  <c r="E1276" i="11"/>
  <c r="D1276" i="11"/>
  <c r="B1276" i="11"/>
  <c r="C1275" i="11"/>
  <c r="I1275" i="11"/>
  <c r="E1275" i="11"/>
  <c r="D1275" i="11"/>
  <c r="B1275" i="11"/>
  <c r="C1274" i="11"/>
  <c r="I1274" i="11"/>
  <c r="E1274" i="11"/>
  <c r="D1274" i="11"/>
  <c r="B1274" i="11"/>
  <c r="C1273" i="11"/>
  <c r="I1273" i="11"/>
  <c r="E1273" i="11"/>
  <c r="D1273" i="11"/>
  <c r="B1273" i="11"/>
  <c r="C1272" i="11"/>
  <c r="I1272" i="11"/>
  <c r="E1272" i="11"/>
  <c r="D1272" i="11"/>
  <c r="B1272" i="11"/>
  <c r="C1271" i="11"/>
  <c r="I1271" i="11"/>
  <c r="E1271" i="11"/>
  <c r="D1271" i="11"/>
  <c r="B1271" i="11"/>
  <c r="C1270" i="11"/>
  <c r="I1270" i="11"/>
  <c r="E1270" i="11"/>
  <c r="D1270" i="11"/>
  <c r="B1270" i="11"/>
  <c r="C1269" i="11"/>
  <c r="I1269" i="11"/>
  <c r="E1269" i="11"/>
  <c r="D1269" i="11"/>
  <c r="B1269" i="11"/>
  <c r="C1268" i="11"/>
  <c r="I1268" i="11"/>
  <c r="E1268" i="11"/>
  <c r="D1268" i="11"/>
  <c r="B1268" i="11"/>
  <c r="C1267" i="11"/>
  <c r="I1267" i="11"/>
  <c r="E1267" i="11"/>
  <c r="D1267" i="11"/>
  <c r="B1267" i="11"/>
  <c r="C1266" i="11"/>
  <c r="I1266" i="11"/>
  <c r="E1266" i="11"/>
  <c r="D1266" i="11"/>
  <c r="B1266" i="11"/>
  <c r="C1265" i="11"/>
  <c r="I1265" i="11"/>
  <c r="E1265" i="11"/>
  <c r="D1265" i="11"/>
  <c r="B1265" i="11"/>
  <c r="C1264" i="11"/>
  <c r="I1264" i="11"/>
  <c r="E1264" i="11"/>
  <c r="D1264" i="11"/>
  <c r="B1264" i="11"/>
  <c r="E1263" i="11"/>
  <c r="D1263" i="11"/>
  <c r="C1263" i="11"/>
  <c r="B1263" i="11"/>
  <c r="A1282" i="11"/>
  <c r="A1281" i="11"/>
  <c r="A1280" i="11"/>
  <c r="A1279" i="11"/>
  <c r="A1278" i="11"/>
  <c r="A1277" i="11"/>
  <c r="A1276" i="11"/>
  <c r="A1275" i="11"/>
  <c r="A1274" i="11"/>
  <c r="A1273" i="11"/>
  <c r="A1272" i="11"/>
  <c r="A1271" i="11"/>
  <c r="A1270" i="11"/>
  <c r="A1269" i="11"/>
  <c r="A1268" i="11"/>
  <c r="A1267" i="11"/>
  <c r="A1266" i="11"/>
  <c r="A1265" i="11"/>
  <c r="A1264" i="11"/>
  <c r="I1263" i="11"/>
  <c r="A1263" i="11"/>
  <c r="C1302" i="11"/>
  <c r="I1302" i="11"/>
  <c r="E1302" i="11"/>
  <c r="D1302" i="11"/>
  <c r="B1302" i="11"/>
  <c r="C1301" i="11"/>
  <c r="I1301" i="11"/>
  <c r="E1301" i="11"/>
  <c r="D1301" i="11"/>
  <c r="B1301" i="11"/>
  <c r="C1300" i="11"/>
  <c r="I1300" i="11"/>
  <c r="E1300" i="11"/>
  <c r="D1300" i="11"/>
  <c r="B1300" i="11"/>
  <c r="C1299" i="11"/>
  <c r="I1299" i="11"/>
  <c r="E1299" i="11"/>
  <c r="D1299" i="11"/>
  <c r="B1299" i="11"/>
  <c r="C1298" i="11"/>
  <c r="I1298" i="11"/>
  <c r="E1298" i="11"/>
  <c r="D1298" i="11"/>
  <c r="B1298" i="11"/>
  <c r="C1297" i="11"/>
  <c r="I1297" i="11"/>
  <c r="E1297" i="11"/>
  <c r="D1297" i="11"/>
  <c r="B1297" i="11"/>
  <c r="C1296" i="11"/>
  <c r="I1296" i="11"/>
  <c r="E1296" i="11"/>
  <c r="D1296" i="11"/>
  <c r="B1296" i="11"/>
  <c r="C1295" i="11"/>
  <c r="I1295" i="11"/>
  <c r="E1295" i="11"/>
  <c r="D1295" i="11"/>
  <c r="B1295" i="11"/>
  <c r="C1294" i="11"/>
  <c r="I1294" i="11"/>
  <c r="E1294" i="11"/>
  <c r="D1294" i="11"/>
  <c r="B1294" i="11"/>
  <c r="C1293" i="11"/>
  <c r="I1293" i="11"/>
  <c r="E1293" i="11"/>
  <c r="D1293" i="11"/>
  <c r="B1293" i="11"/>
  <c r="C1292" i="11"/>
  <c r="I1292" i="11"/>
  <c r="E1292" i="11"/>
  <c r="D1292" i="11"/>
  <c r="B1292" i="11"/>
  <c r="C1291" i="11"/>
  <c r="I1291" i="11"/>
  <c r="E1291" i="11"/>
  <c r="D1291" i="11"/>
  <c r="B1291" i="11"/>
  <c r="C1290" i="11"/>
  <c r="I1290" i="11"/>
  <c r="E1290" i="11"/>
  <c r="D1290" i="11"/>
  <c r="B1290" i="11"/>
  <c r="C1289" i="11"/>
  <c r="I1289" i="11"/>
  <c r="E1289" i="11"/>
  <c r="D1289" i="11"/>
  <c r="B1289" i="11"/>
  <c r="C1288" i="11"/>
  <c r="I1288" i="11"/>
  <c r="E1288" i="11"/>
  <c r="D1288" i="11"/>
  <c r="B1288" i="11"/>
  <c r="C1287" i="11"/>
  <c r="I1287" i="11"/>
  <c r="E1287" i="11"/>
  <c r="D1287" i="11"/>
  <c r="B1287" i="11"/>
  <c r="C1286" i="11"/>
  <c r="I1286" i="11"/>
  <c r="E1286" i="11"/>
  <c r="D1286" i="11"/>
  <c r="B1286" i="11"/>
  <c r="C1285" i="11"/>
  <c r="I1285" i="11"/>
  <c r="E1285" i="11"/>
  <c r="D1285" i="11"/>
  <c r="B1285" i="11"/>
  <c r="C1284" i="11"/>
  <c r="I1284" i="11"/>
  <c r="E1284" i="11"/>
  <c r="D1284" i="11"/>
  <c r="B1284" i="11"/>
  <c r="A1302" i="11"/>
  <c r="A1301" i="11"/>
  <c r="A1300" i="11"/>
  <c r="A1299" i="11"/>
  <c r="A1298" i="11"/>
  <c r="A1297" i="11"/>
  <c r="A1296" i="11"/>
  <c r="A1295" i="11"/>
  <c r="A1294" i="11"/>
  <c r="A1293" i="11"/>
  <c r="A1292" i="11"/>
  <c r="A1291" i="11"/>
  <c r="A1290" i="11"/>
  <c r="A1289" i="11"/>
  <c r="A1288" i="11"/>
  <c r="A1287" i="11"/>
  <c r="A1286" i="11"/>
  <c r="C1283" i="11"/>
  <c r="I1283" i="11"/>
  <c r="E1283" i="11"/>
  <c r="D1283" i="11"/>
  <c r="B1283" i="11"/>
  <c r="A1285" i="11"/>
  <c r="A1284" i="11"/>
  <c r="A1283" i="11"/>
  <c r="E1243" i="11"/>
  <c r="D1243" i="11"/>
  <c r="C1243" i="11"/>
  <c r="B1243" i="11"/>
  <c r="E1262" i="11"/>
  <c r="D1262" i="11"/>
  <c r="C1262" i="11"/>
  <c r="B1262" i="11"/>
  <c r="E1261" i="11"/>
  <c r="D1261" i="11"/>
  <c r="C1261" i="11"/>
  <c r="B1261" i="11"/>
  <c r="E1260" i="11"/>
  <c r="D1260" i="11"/>
  <c r="C1260" i="11"/>
  <c r="B1260" i="11"/>
  <c r="E1259" i="11"/>
  <c r="D1259" i="11"/>
  <c r="C1259" i="11"/>
  <c r="B1259" i="11"/>
  <c r="E1258" i="11"/>
  <c r="D1258" i="11"/>
  <c r="C1258" i="11"/>
  <c r="B1258" i="11"/>
  <c r="E1257" i="11"/>
  <c r="D1257" i="11"/>
  <c r="C1257" i="11"/>
  <c r="B1257" i="11"/>
  <c r="E1256" i="11"/>
  <c r="D1256" i="11"/>
  <c r="C1256" i="11"/>
  <c r="B1256" i="11"/>
  <c r="E1255" i="11"/>
  <c r="D1255" i="11"/>
  <c r="C1255" i="11"/>
  <c r="B1255" i="11"/>
  <c r="E1254" i="11"/>
  <c r="D1254" i="11"/>
  <c r="C1254" i="11"/>
  <c r="B1254" i="11"/>
  <c r="E1253" i="11"/>
  <c r="D1253" i="11"/>
  <c r="C1253" i="11"/>
  <c r="B1253" i="11"/>
  <c r="E1252" i="11"/>
  <c r="D1252" i="11"/>
  <c r="C1252" i="11"/>
  <c r="B1252" i="11"/>
  <c r="E1251" i="11"/>
  <c r="D1251" i="11"/>
  <c r="C1251" i="11"/>
  <c r="B1251" i="11"/>
  <c r="E1250" i="11"/>
  <c r="D1250" i="11"/>
  <c r="C1250" i="11"/>
  <c r="B1250" i="11"/>
  <c r="E1249" i="11"/>
  <c r="D1249" i="11"/>
  <c r="C1249" i="11"/>
  <c r="B1249" i="11"/>
  <c r="E1248" i="11"/>
  <c r="D1248" i="11"/>
  <c r="C1248" i="11"/>
  <c r="B1248" i="11"/>
  <c r="E1247" i="11"/>
  <c r="D1247" i="11"/>
  <c r="C1247" i="11"/>
  <c r="B1247" i="11"/>
  <c r="E1246" i="11"/>
  <c r="D1246" i="11"/>
  <c r="C1246" i="11"/>
  <c r="B1246" i="11"/>
  <c r="E1245" i="11"/>
  <c r="D1245" i="11"/>
  <c r="C1245" i="11"/>
  <c r="B1245" i="11"/>
  <c r="E1244" i="11"/>
  <c r="D1244" i="11"/>
  <c r="C1244" i="11"/>
  <c r="B1244" i="11"/>
  <c r="I1262" i="11"/>
  <c r="A1262" i="11"/>
  <c r="I1261" i="11"/>
  <c r="A1261" i="11"/>
  <c r="I1260" i="11"/>
  <c r="A1260" i="11"/>
  <c r="I1259" i="11"/>
  <c r="A1259" i="11"/>
  <c r="I1258" i="11"/>
  <c r="A1258" i="11"/>
  <c r="I1257" i="11"/>
  <c r="A1257" i="11"/>
  <c r="I1256" i="11"/>
  <c r="A1256" i="11"/>
  <c r="I1255" i="11"/>
  <c r="A1255" i="11"/>
  <c r="I1254" i="11"/>
  <c r="A1254" i="11"/>
  <c r="I1253" i="11"/>
  <c r="A1253" i="11"/>
  <c r="I1252" i="11"/>
  <c r="A1252" i="11"/>
  <c r="I1251" i="11"/>
  <c r="A1251" i="11"/>
  <c r="I1250" i="11"/>
  <c r="A1250" i="11"/>
  <c r="I1249" i="11"/>
  <c r="A1249" i="11"/>
  <c r="I1248" i="11"/>
  <c r="A1248" i="11"/>
  <c r="I1247" i="11"/>
  <c r="A1247" i="11"/>
  <c r="I1246" i="11"/>
  <c r="A1246" i="11"/>
  <c r="I1245" i="11"/>
  <c r="A1245" i="11"/>
  <c r="I1244" i="11"/>
  <c r="A1244" i="11"/>
  <c r="I1243" i="11"/>
  <c r="A1243" i="1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0" i="1"/>
  <c r="G29" i="1"/>
  <c r="G28" i="1"/>
  <c r="G27" i="1"/>
  <c r="G26" i="1"/>
  <c r="G25" i="1"/>
  <c r="G24" i="1"/>
  <c r="G23" i="1"/>
  <c r="G22" i="1"/>
  <c r="G21" i="1"/>
  <c r="G20" i="1"/>
  <c r="G19" i="1"/>
  <c r="G18" i="1"/>
  <c r="G17" i="1"/>
  <c r="G16" i="1"/>
  <c r="G15" i="1"/>
  <c r="G14" i="1"/>
  <c r="G13" i="1"/>
  <c r="G12" i="1"/>
  <c r="G11" i="1"/>
  <c r="G10" i="1"/>
  <c r="G9" i="1"/>
  <c r="G8" i="1"/>
  <c r="G7" i="1"/>
  <c r="G6" i="1"/>
  <c r="G5" i="1"/>
  <c r="G4" i="1"/>
  <c r="H78" i="1"/>
  <c r="H77" i="1"/>
  <c r="H76" i="1"/>
  <c r="H75" i="1"/>
  <c r="H74" i="1"/>
  <c r="H73" i="1"/>
  <c r="H72" i="1"/>
  <c r="M90" i="34"/>
  <c r="L90" i="34"/>
  <c r="F90" i="34"/>
  <c r="E90" i="34"/>
  <c r="M89" i="34"/>
  <c r="L89" i="34"/>
  <c r="F89" i="34"/>
  <c r="E89" i="34"/>
  <c r="M88" i="34"/>
  <c r="L88" i="34"/>
  <c r="F88" i="34"/>
  <c r="E88" i="34"/>
  <c r="M87" i="34"/>
  <c r="L87" i="34"/>
  <c r="F87" i="34"/>
  <c r="E87" i="34"/>
  <c r="M86" i="34"/>
  <c r="L86" i="34"/>
  <c r="F86" i="34"/>
  <c r="E86" i="34"/>
  <c r="M85" i="34"/>
  <c r="L85" i="34"/>
  <c r="F85" i="34"/>
  <c r="E85" i="34"/>
  <c r="M84" i="34"/>
  <c r="L84" i="34"/>
  <c r="F84" i="34"/>
  <c r="E84" i="34"/>
  <c r="M83" i="34"/>
  <c r="L83" i="34"/>
  <c r="F83" i="34"/>
  <c r="E83" i="34"/>
  <c r="M82" i="34"/>
  <c r="L82" i="34"/>
  <c r="F82" i="34"/>
  <c r="E82" i="34"/>
  <c r="M81" i="34"/>
  <c r="L81" i="34"/>
  <c r="F81" i="34"/>
  <c r="E81" i="34"/>
  <c r="M80" i="34"/>
  <c r="L80" i="34"/>
  <c r="F80" i="34"/>
  <c r="E80" i="34"/>
  <c r="M79" i="34"/>
  <c r="L79" i="34"/>
  <c r="F79" i="34"/>
  <c r="E79" i="34"/>
  <c r="M78" i="34"/>
  <c r="L78" i="34"/>
  <c r="F78" i="34"/>
  <c r="E78" i="34"/>
  <c r="M77" i="34"/>
  <c r="L77" i="34"/>
  <c r="F77" i="34"/>
  <c r="E77" i="34"/>
  <c r="M76" i="34"/>
  <c r="L76" i="34"/>
  <c r="F76" i="34"/>
  <c r="E76" i="34"/>
  <c r="M75" i="34"/>
  <c r="L75" i="34"/>
  <c r="F75" i="34"/>
  <c r="E75" i="34"/>
  <c r="M74" i="34"/>
  <c r="L74" i="34"/>
  <c r="F74" i="34"/>
  <c r="E74" i="34"/>
  <c r="M73" i="34"/>
  <c r="L73" i="34"/>
  <c r="F73" i="34"/>
  <c r="E73" i="34"/>
  <c r="M72" i="34"/>
  <c r="L72" i="34"/>
  <c r="F72" i="34"/>
  <c r="E72" i="34"/>
  <c r="M71" i="34"/>
  <c r="L71" i="34"/>
  <c r="F71" i="34"/>
  <c r="E71" i="34"/>
  <c r="M68" i="34"/>
  <c r="L68" i="34"/>
  <c r="F68" i="34"/>
  <c r="E68" i="34"/>
  <c r="M67" i="34"/>
  <c r="L67" i="34"/>
  <c r="F67" i="34"/>
  <c r="E67" i="34"/>
  <c r="M66" i="34"/>
  <c r="L66" i="34"/>
  <c r="F66" i="34"/>
  <c r="E66" i="34"/>
  <c r="M65" i="34"/>
  <c r="L65" i="34"/>
  <c r="F65" i="34"/>
  <c r="E65" i="34"/>
  <c r="M64" i="34"/>
  <c r="L64" i="34"/>
  <c r="F64" i="34"/>
  <c r="E64" i="34"/>
  <c r="M63" i="34"/>
  <c r="L63" i="34"/>
  <c r="F63" i="34"/>
  <c r="E63" i="34"/>
  <c r="M62" i="34"/>
  <c r="L62" i="34"/>
  <c r="F62" i="34"/>
  <c r="E62" i="34"/>
  <c r="M61" i="34"/>
  <c r="L61" i="34"/>
  <c r="F61" i="34"/>
  <c r="E61" i="34"/>
  <c r="M60" i="34"/>
  <c r="L60" i="34"/>
  <c r="F60" i="34"/>
  <c r="E60" i="34"/>
  <c r="M59" i="34"/>
  <c r="L59" i="34"/>
  <c r="F59" i="34"/>
  <c r="E59" i="34"/>
  <c r="M58" i="34"/>
  <c r="L58" i="34"/>
  <c r="F58" i="34"/>
  <c r="E58" i="34"/>
  <c r="M57" i="34"/>
  <c r="L57" i="34"/>
  <c r="F57" i="34"/>
  <c r="E57" i="34"/>
  <c r="M56" i="34"/>
  <c r="L56" i="34"/>
  <c r="F56" i="34"/>
  <c r="E56" i="34"/>
  <c r="M55" i="34"/>
  <c r="L55" i="34"/>
  <c r="F55" i="34"/>
  <c r="E55" i="34"/>
  <c r="M54" i="34"/>
  <c r="L54" i="34"/>
  <c r="F54" i="34"/>
  <c r="E54" i="34"/>
  <c r="M53" i="34"/>
  <c r="L53" i="34"/>
  <c r="F53" i="34"/>
  <c r="E53" i="34"/>
  <c r="M52" i="34"/>
  <c r="L52" i="34"/>
  <c r="F52" i="34"/>
  <c r="E52" i="34"/>
  <c r="M51" i="34"/>
  <c r="L51" i="34"/>
  <c r="F51" i="34"/>
  <c r="E51" i="34"/>
  <c r="M50" i="34"/>
  <c r="L50" i="34"/>
  <c r="F50" i="34"/>
  <c r="E50" i="34"/>
  <c r="M49" i="34"/>
  <c r="L49" i="34"/>
  <c r="F49" i="34"/>
  <c r="E49" i="34"/>
  <c r="H103" i="1"/>
  <c r="H102" i="1"/>
  <c r="H101" i="1"/>
  <c r="H100" i="1"/>
  <c r="H99" i="1"/>
  <c r="H98" i="1"/>
  <c r="H97" i="1"/>
  <c r="H96" i="1"/>
  <c r="H95" i="1"/>
  <c r="H94" i="1"/>
  <c r="H93" i="1"/>
  <c r="H92" i="1"/>
  <c r="H91" i="1"/>
  <c r="H90" i="1"/>
  <c r="H89" i="1"/>
  <c r="H88" i="1"/>
  <c r="H87" i="1"/>
  <c r="H86" i="1"/>
  <c r="H85" i="1"/>
  <c r="H84" i="1"/>
  <c r="H83" i="1"/>
  <c r="H82" i="1"/>
  <c r="H81" i="1"/>
  <c r="H80" i="1"/>
  <c r="H79"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0" i="1"/>
  <c r="H29" i="1"/>
  <c r="H28" i="1"/>
  <c r="H27" i="1"/>
  <c r="H26" i="1"/>
  <c r="H25" i="1"/>
  <c r="H24" i="1"/>
  <c r="H23" i="1"/>
  <c r="H22" i="1"/>
  <c r="H21" i="1"/>
  <c r="H20" i="1"/>
  <c r="H19" i="1"/>
  <c r="H18" i="1"/>
  <c r="H17" i="1"/>
  <c r="H16" i="1"/>
  <c r="H15" i="1"/>
  <c r="H14" i="1"/>
  <c r="H13" i="1"/>
  <c r="H12" i="1"/>
  <c r="H11" i="1"/>
  <c r="H10" i="1"/>
  <c r="H9" i="1"/>
  <c r="H8" i="1"/>
  <c r="H7" i="1"/>
  <c r="H6" i="1"/>
  <c r="H5" i="1"/>
  <c r="H4" i="1"/>
  <c r="E1383" i="11"/>
  <c r="D1383" i="11"/>
  <c r="C1383" i="11"/>
  <c r="I1383" i="11"/>
  <c r="B1383" i="11"/>
  <c r="A1383" i="11"/>
  <c r="E1382" i="11"/>
  <c r="D1382" i="11"/>
  <c r="C1382" i="11"/>
  <c r="I1382" i="11"/>
  <c r="B1382" i="11"/>
  <c r="A1382" i="11"/>
  <c r="C1381" i="11"/>
  <c r="I1381" i="11"/>
  <c r="E1381" i="11"/>
  <c r="D1381" i="11"/>
  <c r="B1381" i="11"/>
  <c r="A1381" i="11"/>
  <c r="E1380" i="11"/>
  <c r="D1380" i="11"/>
  <c r="C1380" i="11"/>
  <c r="I1380" i="11"/>
  <c r="B1380" i="11"/>
  <c r="A1380" i="11"/>
  <c r="E1379" i="11"/>
  <c r="D1379" i="11"/>
  <c r="C1379" i="11"/>
  <c r="I1379" i="11"/>
  <c r="B1379" i="11"/>
  <c r="A1379" i="11"/>
  <c r="E1370" i="11"/>
  <c r="D1370" i="11"/>
  <c r="C1370" i="11"/>
  <c r="I1370" i="11"/>
  <c r="B1370" i="11"/>
  <c r="A1370" i="11"/>
  <c r="E1369" i="11"/>
  <c r="D1369" i="11"/>
  <c r="C1369" i="11"/>
  <c r="I1369" i="11"/>
  <c r="B1369" i="11"/>
  <c r="A1369" i="11"/>
  <c r="E1368" i="11"/>
  <c r="D1368" i="11"/>
  <c r="C1368" i="11"/>
  <c r="I1368" i="11"/>
  <c r="B1368" i="11"/>
  <c r="A1368" i="11"/>
  <c r="E1367" i="11"/>
  <c r="D1367" i="11"/>
  <c r="C1367" i="11"/>
  <c r="I1367" i="11"/>
  <c r="B1367" i="11"/>
  <c r="A1367" i="11"/>
  <c r="E1366" i="11"/>
  <c r="D1366" i="11"/>
  <c r="C1366" i="11"/>
  <c r="I1366" i="11"/>
  <c r="B1366" i="11"/>
  <c r="A1366" i="11"/>
  <c r="C1365" i="11"/>
  <c r="I1365" i="11"/>
  <c r="E1365" i="11"/>
  <c r="D1365" i="11"/>
  <c r="B1365" i="11"/>
  <c r="A1365" i="11"/>
  <c r="E1364" i="11"/>
  <c r="D1364" i="11"/>
  <c r="C1364" i="11"/>
  <c r="I1364" i="11"/>
  <c r="B1364" i="11"/>
  <c r="A1364" i="11"/>
  <c r="E1363" i="11"/>
  <c r="D1363" i="11"/>
  <c r="C1363" i="11"/>
  <c r="I1363" i="11"/>
  <c r="B1363" i="11"/>
  <c r="A1363" i="11"/>
  <c r="E1242" i="11"/>
  <c r="D1242" i="11"/>
  <c r="C1242" i="11"/>
  <c r="I1242" i="11"/>
  <c r="B1242" i="11"/>
  <c r="A1242" i="11"/>
  <c r="E1241" i="11"/>
  <c r="D1241" i="11"/>
  <c r="C1241" i="11"/>
  <c r="I1241" i="11"/>
  <c r="B1241" i="11"/>
  <c r="A1241" i="11"/>
  <c r="E1240" i="11"/>
  <c r="D1240" i="11"/>
  <c r="C1240" i="11"/>
  <c r="I1240" i="11"/>
  <c r="B1240" i="11"/>
  <c r="A1240" i="11"/>
  <c r="E1239" i="11"/>
  <c r="D1239" i="11"/>
  <c r="C1239" i="11"/>
  <c r="I1239" i="11"/>
  <c r="B1239" i="11"/>
  <c r="A1239" i="11"/>
  <c r="E1238" i="11"/>
  <c r="D1238" i="11"/>
  <c r="C1238" i="11"/>
  <c r="I1238" i="11"/>
  <c r="B1238" i="11"/>
  <c r="A1238" i="11"/>
  <c r="E1237" i="11"/>
  <c r="D1237" i="11"/>
  <c r="C1237" i="11"/>
  <c r="I1237" i="11"/>
  <c r="B1237" i="11"/>
  <c r="A1237" i="11"/>
  <c r="E1236" i="11"/>
  <c r="D1236" i="11"/>
  <c r="C1236" i="11"/>
  <c r="I1236" i="11"/>
  <c r="B1236" i="11"/>
  <c r="A1236" i="11"/>
  <c r="E1235" i="11"/>
  <c r="D1235" i="11"/>
  <c r="C1235" i="11"/>
  <c r="I1235" i="11"/>
  <c r="B1235" i="11"/>
  <c r="A1235" i="11"/>
  <c r="E1234" i="11"/>
  <c r="D1234" i="11"/>
  <c r="C1234" i="11"/>
  <c r="I1234" i="11"/>
  <c r="B1234" i="11"/>
  <c r="A1234" i="11"/>
  <c r="E1233" i="11"/>
  <c r="D1233" i="11"/>
  <c r="C1233" i="11"/>
  <c r="I1233" i="11"/>
  <c r="B1233" i="11"/>
  <c r="A1233" i="11"/>
  <c r="E1232" i="11"/>
  <c r="D1232" i="11"/>
  <c r="C1232" i="11"/>
  <c r="I1232" i="11"/>
  <c r="B1232" i="11"/>
  <c r="A1232" i="11"/>
  <c r="C1231" i="11"/>
  <c r="I1231" i="11"/>
  <c r="E1231" i="11"/>
  <c r="D1231" i="11"/>
  <c r="B1231" i="11"/>
  <c r="A1231" i="11"/>
  <c r="E1230" i="11"/>
  <c r="D1230" i="11"/>
  <c r="C1230" i="11"/>
  <c r="I1230" i="11"/>
  <c r="B1230" i="11"/>
  <c r="A1230" i="11"/>
  <c r="E1229" i="11"/>
  <c r="D1229" i="11"/>
  <c r="C1229" i="11"/>
  <c r="I1229" i="11"/>
  <c r="B1229" i="11"/>
  <c r="A1229" i="11"/>
  <c r="E1228" i="11"/>
  <c r="D1228" i="11"/>
  <c r="C1228" i="11"/>
  <c r="I1228" i="11"/>
  <c r="B1228" i="11"/>
  <c r="A1228" i="11"/>
  <c r="E1227" i="11"/>
  <c r="D1227" i="11"/>
  <c r="C1227" i="11"/>
  <c r="I1227" i="11"/>
  <c r="B1227" i="11"/>
  <c r="A1227" i="11"/>
  <c r="E1226" i="11"/>
  <c r="D1226" i="11"/>
  <c r="C1226" i="11"/>
  <c r="I1226" i="11"/>
  <c r="B1226" i="11"/>
  <c r="A1226" i="11"/>
  <c r="E1225" i="11"/>
  <c r="D1225" i="11"/>
  <c r="C1225" i="11"/>
  <c r="I1225" i="11"/>
  <c r="B1225" i="11"/>
  <c r="A1225" i="11"/>
  <c r="E1224" i="11"/>
  <c r="D1224" i="11"/>
  <c r="C1224" i="11"/>
  <c r="I1224" i="11"/>
  <c r="B1224" i="11"/>
  <c r="A1224" i="11"/>
  <c r="E1223" i="11"/>
  <c r="D1223" i="11"/>
  <c r="C1223" i="11"/>
  <c r="I1223" i="11"/>
  <c r="B1223" i="11"/>
  <c r="A1223" i="11"/>
  <c r="E1202" i="11"/>
  <c r="D1202" i="11"/>
  <c r="C1202" i="11"/>
  <c r="I1202" i="11"/>
  <c r="B1202" i="11"/>
  <c r="A1202" i="11"/>
  <c r="E1201" i="11"/>
  <c r="D1201" i="11"/>
  <c r="C1201" i="11"/>
  <c r="I1201" i="11"/>
  <c r="B1201" i="11"/>
  <c r="A1201" i="11"/>
  <c r="E1200" i="11"/>
  <c r="D1200" i="11"/>
  <c r="C1200" i="11"/>
  <c r="I1200" i="11"/>
  <c r="B1200" i="11"/>
  <c r="A1200" i="11"/>
  <c r="E1199" i="11"/>
  <c r="D1199" i="11"/>
  <c r="C1199" i="11"/>
  <c r="I1199" i="11"/>
  <c r="B1199" i="11"/>
  <c r="A1199" i="11"/>
  <c r="E1198" i="11"/>
  <c r="D1198" i="11"/>
  <c r="C1198" i="11"/>
  <c r="I1198" i="11"/>
  <c r="B1198" i="11"/>
  <c r="A1198" i="11"/>
  <c r="E1197" i="11"/>
  <c r="D1197" i="11"/>
  <c r="C1197" i="11"/>
  <c r="I1197" i="11"/>
  <c r="B1197" i="11"/>
  <c r="A1197" i="11"/>
  <c r="E1196" i="11"/>
  <c r="D1196" i="11"/>
  <c r="C1196" i="11"/>
  <c r="I1196" i="11"/>
  <c r="B1196" i="11"/>
  <c r="A1196" i="11"/>
  <c r="E1195" i="11"/>
  <c r="D1195" i="11"/>
  <c r="C1195" i="11"/>
  <c r="I1195" i="11"/>
  <c r="B1195" i="11"/>
  <c r="A1195" i="11"/>
  <c r="E1194" i="11"/>
  <c r="D1194" i="11"/>
  <c r="C1194" i="11"/>
  <c r="I1194" i="11"/>
  <c r="B1194" i="11"/>
  <c r="A1194" i="11"/>
  <c r="E1193" i="11"/>
  <c r="D1193" i="11"/>
  <c r="C1193" i="11"/>
  <c r="I1193" i="11"/>
  <c r="B1193" i="11"/>
  <c r="A1193" i="11"/>
  <c r="E1192" i="11"/>
  <c r="D1192" i="11"/>
  <c r="C1192" i="11"/>
  <c r="I1192" i="11"/>
  <c r="B1192" i="11"/>
  <c r="A1192" i="11"/>
  <c r="E1191" i="11"/>
  <c r="D1191" i="11"/>
  <c r="C1191" i="11"/>
  <c r="I1191" i="11"/>
  <c r="B1191" i="11"/>
  <c r="A1191" i="11"/>
  <c r="E1190" i="11"/>
  <c r="D1190" i="11"/>
  <c r="C1190" i="11"/>
  <c r="I1190" i="11"/>
  <c r="B1190" i="11"/>
  <c r="A1190" i="11"/>
  <c r="E1189" i="11"/>
  <c r="D1189" i="11"/>
  <c r="C1189" i="11"/>
  <c r="I1189" i="11"/>
  <c r="B1189" i="11"/>
  <c r="A1189" i="11"/>
  <c r="E1188" i="11"/>
  <c r="D1188" i="11"/>
  <c r="C1188" i="11"/>
  <c r="I1188" i="11"/>
  <c r="B1188" i="11"/>
  <c r="A1188" i="11"/>
  <c r="E1187" i="11"/>
  <c r="D1187" i="11"/>
  <c r="C1187" i="11"/>
  <c r="I1187" i="11"/>
  <c r="B1187" i="11"/>
  <c r="A1187" i="11"/>
  <c r="E1186" i="11"/>
  <c r="D1186" i="11"/>
  <c r="C1186" i="11"/>
  <c r="I1186" i="11"/>
  <c r="B1186" i="11"/>
  <c r="A1186" i="11"/>
  <c r="E1185" i="11"/>
  <c r="D1185" i="11"/>
  <c r="C1185" i="11"/>
  <c r="I1185" i="11"/>
  <c r="B1185" i="11"/>
  <c r="A1185" i="11"/>
  <c r="E1184" i="11"/>
  <c r="D1184" i="11"/>
  <c r="C1184" i="11"/>
  <c r="I1184" i="11"/>
  <c r="B1184" i="11"/>
  <c r="A1184" i="11"/>
  <c r="C1183" i="11"/>
  <c r="I1183" i="11"/>
  <c r="D1183" i="11"/>
  <c r="E1183" i="11"/>
  <c r="B1183" i="11"/>
  <c r="A1183" i="11"/>
  <c r="E1375" i="11"/>
  <c r="D1375" i="11"/>
  <c r="C1375" i="11"/>
  <c r="I1375" i="11"/>
  <c r="B1375" i="11"/>
  <c r="A1375" i="11"/>
  <c r="E1374" i="11"/>
  <c r="D1374" i="11"/>
  <c r="C1374" i="11"/>
  <c r="I1374" i="11"/>
  <c r="B1374" i="11"/>
  <c r="A1374" i="11"/>
  <c r="E1373" i="11"/>
  <c r="D1373" i="11"/>
  <c r="C1373" i="11"/>
  <c r="I1373" i="11"/>
  <c r="B1373" i="11"/>
  <c r="A1373" i="11"/>
  <c r="E1372" i="11"/>
  <c r="D1372" i="11"/>
  <c r="C1372" i="11"/>
  <c r="I1372" i="11"/>
  <c r="B1372" i="11"/>
  <c r="A1372" i="11"/>
  <c r="E1371" i="11"/>
  <c r="D1371" i="11"/>
  <c r="C1371" i="11"/>
  <c r="I1371" i="11"/>
  <c r="B1371" i="11"/>
  <c r="A1371" i="11"/>
  <c r="E1222" i="11"/>
  <c r="D1222" i="11"/>
  <c r="C1222" i="11"/>
  <c r="I1222" i="11"/>
  <c r="B1222" i="11"/>
  <c r="A1222" i="11"/>
  <c r="E1221" i="11"/>
  <c r="D1221" i="11"/>
  <c r="C1221" i="11"/>
  <c r="I1221" i="11"/>
  <c r="B1221" i="11"/>
  <c r="A1221" i="11"/>
  <c r="E1220" i="11"/>
  <c r="D1220" i="11"/>
  <c r="C1220" i="11"/>
  <c r="I1220" i="11"/>
  <c r="B1220" i="11"/>
  <c r="A1220" i="11"/>
  <c r="E1219" i="11"/>
  <c r="D1219" i="11"/>
  <c r="C1219" i="11"/>
  <c r="I1219" i="11"/>
  <c r="B1219" i="11"/>
  <c r="A1219" i="11"/>
  <c r="E1218" i="11"/>
  <c r="D1218" i="11"/>
  <c r="C1218" i="11"/>
  <c r="I1218" i="11"/>
  <c r="B1218" i="11"/>
  <c r="A1218" i="11"/>
  <c r="E1217" i="11"/>
  <c r="D1217" i="11"/>
  <c r="C1217" i="11"/>
  <c r="I1217" i="11"/>
  <c r="B1217" i="11"/>
  <c r="A1217" i="11"/>
  <c r="E1216" i="11"/>
  <c r="D1216" i="11"/>
  <c r="C1216" i="11"/>
  <c r="I1216" i="11"/>
  <c r="B1216" i="11"/>
  <c r="A1216" i="11"/>
  <c r="E1215" i="11"/>
  <c r="D1215" i="11"/>
  <c r="C1215" i="11"/>
  <c r="I1215" i="11"/>
  <c r="B1215" i="11"/>
  <c r="A1215" i="11"/>
  <c r="E1214" i="11"/>
  <c r="D1214" i="11"/>
  <c r="C1214" i="11"/>
  <c r="I1214" i="11"/>
  <c r="B1214" i="11"/>
  <c r="A1214" i="11"/>
  <c r="E1213" i="11"/>
  <c r="D1213" i="11"/>
  <c r="C1213" i="11"/>
  <c r="I1213" i="11"/>
  <c r="B1213" i="11"/>
  <c r="A1213" i="11"/>
  <c r="E1212" i="11"/>
  <c r="D1212" i="11"/>
  <c r="C1212" i="11"/>
  <c r="I1212" i="11"/>
  <c r="B1212" i="11"/>
  <c r="A1212" i="11"/>
  <c r="E1211" i="11"/>
  <c r="D1211" i="11"/>
  <c r="C1211" i="11"/>
  <c r="I1211" i="11"/>
  <c r="B1211" i="11"/>
  <c r="A1211" i="11"/>
  <c r="E1210" i="11"/>
  <c r="D1210" i="11"/>
  <c r="C1210" i="11"/>
  <c r="I1210" i="11"/>
  <c r="B1210" i="11"/>
  <c r="A1210" i="11"/>
  <c r="E1209" i="11"/>
  <c r="D1209" i="11"/>
  <c r="C1209" i="11"/>
  <c r="I1209" i="11"/>
  <c r="B1209" i="11"/>
  <c r="A1209" i="11"/>
  <c r="E1208" i="11"/>
  <c r="D1208" i="11"/>
  <c r="C1208" i="11"/>
  <c r="I1208" i="11"/>
  <c r="B1208" i="11"/>
  <c r="A1208" i="11"/>
  <c r="E1207" i="11"/>
  <c r="D1207" i="11"/>
  <c r="C1207" i="11"/>
  <c r="I1207" i="11"/>
  <c r="B1207" i="11"/>
  <c r="A1207" i="11"/>
  <c r="E1206" i="11"/>
  <c r="D1206" i="11"/>
  <c r="C1206" i="11"/>
  <c r="I1206" i="11"/>
  <c r="B1206" i="11"/>
  <c r="A1206" i="11"/>
  <c r="E1205" i="11"/>
  <c r="D1205" i="11"/>
  <c r="C1205" i="11"/>
  <c r="I1205" i="11"/>
  <c r="B1205" i="11"/>
  <c r="A1205" i="11"/>
  <c r="E1204" i="11"/>
  <c r="D1204" i="11"/>
  <c r="C1204" i="11"/>
  <c r="I1204" i="11"/>
  <c r="B1204" i="11"/>
  <c r="A1204" i="11"/>
  <c r="E1203" i="11"/>
  <c r="D1203" i="11"/>
  <c r="C1203" i="11"/>
  <c r="I1203" i="11"/>
  <c r="B1203" i="11"/>
  <c r="A1203" i="11"/>
  <c r="E1182" i="11"/>
  <c r="D1182" i="11"/>
  <c r="C1182" i="11"/>
  <c r="I1182" i="11"/>
  <c r="B1182" i="11"/>
  <c r="A1182" i="11"/>
  <c r="E1181" i="11"/>
  <c r="D1181" i="11"/>
  <c r="C1181" i="11"/>
  <c r="I1181" i="11"/>
  <c r="B1181" i="11"/>
  <c r="A1181" i="11"/>
  <c r="E1180" i="11"/>
  <c r="D1180" i="11"/>
  <c r="C1180" i="11"/>
  <c r="I1180" i="11"/>
  <c r="B1180" i="11"/>
  <c r="A1180" i="11"/>
  <c r="E1179" i="11"/>
  <c r="D1179" i="11"/>
  <c r="C1179" i="11"/>
  <c r="I1179" i="11"/>
  <c r="B1179" i="11"/>
  <c r="A1179" i="11"/>
  <c r="E1178" i="11"/>
  <c r="D1178" i="11"/>
  <c r="C1178" i="11"/>
  <c r="I1178" i="11"/>
  <c r="B1178" i="11"/>
  <c r="A1178" i="11"/>
  <c r="E1177" i="11"/>
  <c r="D1177" i="11"/>
  <c r="C1177" i="11"/>
  <c r="I1177" i="11"/>
  <c r="B1177" i="11"/>
  <c r="A1177" i="11"/>
  <c r="E1176" i="11"/>
  <c r="D1176" i="11"/>
  <c r="C1176" i="11"/>
  <c r="I1176" i="11"/>
  <c r="B1176" i="11"/>
  <c r="A1176" i="11"/>
  <c r="E1175" i="11"/>
  <c r="D1175" i="11"/>
  <c r="C1175" i="11"/>
  <c r="I1175" i="11"/>
  <c r="B1175" i="11"/>
  <c r="A1175" i="11"/>
  <c r="E1174" i="11"/>
  <c r="D1174" i="11"/>
  <c r="C1174" i="11"/>
  <c r="I1174" i="11"/>
  <c r="B1174" i="11"/>
  <c r="A1174" i="11"/>
  <c r="E1173" i="11"/>
  <c r="D1173" i="11"/>
  <c r="C1173" i="11"/>
  <c r="I1173" i="11"/>
  <c r="B1173" i="11"/>
  <c r="A1173" i="11"/>
  <c r="E1172" i="11"/>
  <c r="D1172" i="11"/>
  <c r="C1172" i="11"/>
  <c r="I1172" i="11"/>
  <c r="B1172" i="11"/>
  <c r="A1172" i="11"/>
  <c r="E1171" i="11"/>
  <c r="D1171" i="11"/>
  <c r="C1171" i="11"/>
  <c r="I1171" i="11"/>
  <c r="B1171" i="11"/>
  <c r="A1171" i="11"/>
  <c r="E1170" i="11"/>
  <c r="D1170" i="11"/>
  <c r="C1170" i="11"/>
  <c r="I1170" i="11"/>
  <c r="B1170" i="11"/>
  <c r="A1170" i="11"/>
  <c r="E1169" i="11"/>
  <c r="D1169" i="11"/>
  <c r="C1169" i="11"/>
  <c r="I1169" i="11"/>
  <c r="B1169" i="11"/>
  <c r="A1169" i="11"/>
  <c r="E1168" i="11"/>
  <c r="D1168" i="11"/>
  <c r="C1168" i="11"/>
  <c r="I1168" i="11"/>
  <c r="B1168" i="11"/>
  <c r="A1168" i="11"/>
  <c r="E1167" i="11"/>
  <c r="D1167" i="11"/>
  <c r="C1167" i="11"/>
  <c r="I1167" i="11"/>
  <c r="B1167" i="11"/>
  <c r="A1167" i="11"/>
  <c r="E1166" i="11"/>
  <c r="D1166" i="11"/>
  <c r="C1166" i="11"/>
  <c r="I1166" i="11"/>
  <c r="B1166" i="11"/>
  <c r="A1166" i="11"/>
  <c r="E1165" i="11"/>
  <c r="D1165" i="11"/>
  <c r="C1165" i="11"/>
  <c r="I1165" i="11"/>
  <c r="B1165" i="11"/>
  <c r="A1165" i="11"/>
  <c r="E1164" i="11"/>
  <c r="D1164" i="11"/>
  <c r="C1164" i="11"/>
  <c r="I1164" i="11"/>
  <c r="B1164" i="11"/>
  <c r="A1164" i="11"/>
  <c r="C1163" i="11"/>
  <c r="I1163" i="11"/>
  <c r="D1163" i="11"/>
  <c r="E1163" i="11"/>
  <c r="B1163" i="11"/>
  <c r="A1163" i="11"/>
  <c r="E2036" i="11"/>
  <c r="D2036" i="11"/>
  <c r="C2036" i="11"/>
  <c r="I2036" i="11"/>
  <c r="B2036" i="11"/>
  <c r="A2036" i="11"/>
  <c r="E2035" i="11"/>
  <c r="D2035" i="11"/>
  <c r="C2035" i="11"/>
  <c r="I2035" i="11"/>
  <c r="B2035" i="11"/>
  <c r="A2035" i="11"/>
  <c r="E2034" i="11"/>
  <c r="D2034" i="11"/>
  <c r="C2034" i="11"/>
  <c r="I2034" i="11"/>
  <c r="B2034" i="11"/>
  <c r="A2034" i="11"/>
  <c r="E2033" i="11"/>
  <c r="D2033" i="11"/>
  <c r="C2033" i="11"/>
  <c r="I2033" i="11"/>
  <c r="B2033" i="11"/>
  <c r="A2033" i="11"/>
  <c r="E2027" i="11"/>
  <c r="D2027" i="11"/>
  <c r="C2027" i="11"/>
  <c r="I2027" i="11"/>
  <c r="B2027" i="11"/>
  <c r="A2027" i="11"/>
  <c r="E2026" i="11"/>
  <c r="D2026" i="11"/>
  <c r="C2026" i="11"/>
  <c r="I2026" i="11"/>
  <c r="B2026" i="11"/>
  <c r="A2026" i="11"/>
  <c r="E2025" i="11"/>
  <c r="D2025" i="11"/>
  <c r="C2025" i="11"/>
  <c r="I2025" i="11"/>
  <c r="B2025" i="11"/>
  <c r="A2025" i="11"/>
  <c r="E2024" i="11"/>
  <c r="D2024" i="11"/>
  <c r="C2024" i="11"/>
  <c r="I2024" i="11"/>
  <c r="B2024" i="11"/>
  <c r="A2024" i="11"/>
  <c r="E2023" i="11"/>
  <c r="D2023" i="11"/>
  <c r="C2023" i="11"/>
  <c r="I2023" i="11"/>
  <c r="B2023" i="11"/>
  <c r="A2023" i="11"/>
  <c r="E2022" i="11"/>
  <c r="D2022" i="11"/>
  <c r="C2022" i="11"/>
  <c r="I2022" i="11"/>
  <c r="B2022" i="11"/>
  <c r="A2022" i="11"/>
  <c r="E2021" i="11"/>
  <c r="D2021" i="11"/>
  <c r="C2021" i="11"/>
  <c r="I2021" i="11"/>
  <c r="B2021" i="11"/>
  <c r="A2021" i="11"/>
  <c r="E2020" i="11"/>
  <c r="D2020" i="11"/>
  <c r="C2020" i="11"/>
  <c r="I2020" i="11"/>
  <c r="B2020" i="11"/>
  <c r="A2020" i="11"/>
  <c r="E2011" i="11"/>
  <c r="D2011" i="11"/>
  <c r="C2011" i="11"/>
  <c r="I2011" i="11"/>
  <c r="B2011" i="11"/>
  <c r="A2011" i="11"/>
  <c r="E2010" i="11"/>
  <c r="D2010" i="11"/>
  <c r="C2010" i="11"/>
  <c r="I2010" i="11"/>
  <c r="B2010" i="11"/>
  <c r="A2010" i="11"/>
  <c r="E2009" i="11"/>
  <c r="D2009" i="11"/>
  <c r="C2009" i="11"/>
  <c r="I2009" i="11"/>
  <c r="B2009" i="11"/>
  <c r="A2009" i="11"/>
  <c r="E2008" i="11"/>
  <c r="D2008" i="11"/>
  <c r="C2008" i="11"/>
  <c r="I2008" i="11"/>
  <c r="B2008" i="11"/>
  <c r="A2008" i="11"/>
  <c r="E2007" i="11"/>
  <c r="D2007" i="11"/>
  <c r="C2007" i="11"/>
  <c r="I2007" i="11"/>
  <c r="B2007" i="11"/>
  <c r="A2007" i="11"/>
  <c r="E2006" i="11"/>
  <c r="D2006" i="11"/>
  <c r="C2006" i="11"/>
  <c r="I2006" i="11"/>
  <c r="B2006" i="11"/>
  <c r="A2006" i="11"/>
  <c r="E2005" i="11"/>
  <c r="D2005" i="11"/>
  <c r="C2005" i="11"/>
  <c r="I2005" i="11"/>
  <c r="B2005" i="11"/>
  <c r="A2005" i="11"/>
  <c r="E2004" i="11"/>
  <c r="D2004" i="11"/>
  <c r="C2004" i="11"/>
  <c r="I2004" i="11"/>
  <c r="B2004" i="11"/>
  <c r="A2004" i="11"/>
  <c r="E2003" i="11"/>
  <c r="D2003" i="11"/>
  <c r="C2003" i="11"/>
  <c r="I2003" i="11"/>
  <c r="B2003" i="11"/>
  <c r="A2003" i="11"/>
  <c r="E2002" i="11"/>
  <c r="D2002" i="11"/>
  <c r="C2002" i="11"/>
  <c r="I2002" i="11"/>
  <c r="B2002" i="11"/>
  <c r="A2002" i="11"/>
  <c r="E2001" i="11"/>
  <c r="D2001" i="11"/>
  <c r="C2001" i="11"/>
  <c r="I2001" i="11"/>
  <c r="B2001" i="11"/>
  <c r="A2001" i="11"/>
  <c r="E2000" i="11"/>
  <c r="D2000" i="11"/>
  <c r="C2000" i="11"/>
  <c r="I2000" i="11"/>
  <c r="B2000" i="11"/>
  <c r="A2000" i="11"/>
  <c r="E1999" i="11"/>
  <c r="D1999" i="11"/>
  <c r="C1999" i="11"/>
  <c r="I1999" i="11"/>
  <c r="B1999" i="11"/>
  <c r="A1999" i="11"/>
  <c r="E1998" i="11"/>
  <c r="D1998" i="11"/>
  <c r="C1998" i="11"/>
  <c r="I1998" i="11"/>
  <c r="B1998" i="11"/>
  <c r="A1998" i="11"/>
  <c r="E1997" i="11"/>
  <c r="D1997" i="11"/>
  <c r="C1997" i="11"/>
  <c r="I1997" i="11"/>
  <c r="B1997" i="11"/>
  <c r="A1997" i="11"/>
  <c r="E1996" i="11"/>
  <c r="D1996" i="11"/>
  <c r="C1996" i="11"/>
  <c r="I1996" i="11"/>
  <c r="B1996" i="11"/>
  <c r="A1996" i="11"/>
  <c r="E1995" i="11"/>
  <c r="D1995" i="11"/>
  <c r="C1995" i="11"/>
  <c r="I1995" i="11"/>
  <c r="B1995" i="11"/>
  <c r="A1995" i="11"/>
  <c r="E1994" i="11"/>
  <c r="D1994" i="11"/>
  <c r="C1994" i="11"/>
  <c r="I1994" i="11"/>
  <c r="B1994" i="11"/>
  <c r="A1994" i="11"/>
  <c r="E1993" i="11"/>
  <c r="D1993" i="11"/>
  <c r="C1993" i="11"/>
  <c r="I1993" i="11"/>
  <c r="B1993" i="11"/>
  <c r="A1993" i="11"/>
  <c r="E1992" i="11"/>
  <c r="D1992" i="11"/>
  <c r="C1992" i="11"/>
  <c r="I1992" i="11"/>
  <c r="B1992" i="11"/>
  <c r="A1992" i="11"/>
  <c r="E1971" i="11"/>
  <c r="D1971" i="11"/>
  <c r="C1971" i="11"/>
  <c r="I1971" i="11"/>
  <c r="B1971" i="11"/>
  <c r="A1971" i="11"/>
  <c r="E1970" i="11"/>
  <c r="D1970" i="11"/>
  <c r="C1970" i="11"/>
  <c r="I1970" i="11"/>
  <c r="B1970" i="11"/>
  <c r="A1970" i="11"/>
  <c r="E1969" i="11"/>
  <c r="D1969" i="11"/>
  <c r="C1969" i="11"/>
  <c r="I1969" i="11"/>
  <c r="B1969" i="11"/>
  <c r="A1969" i="11"/>
  <c r="E1968" i="11"/>
  <c r="D1968" i="11"/>
  <c r="C1968" i="11"/>
  <c r="I1968" i="11"/>
  <c r="B1968" i="11"/>
  <c r="A1968" i="11"/>
  <c r="E1967" i="11"/>
  <c r="D1967" i="11"/>
  <c r="C1967" i="11"/>
  <c r="I1967" i="11"/>
  <c r="B1967" i="11"/>
  <c r="A1967" i="11"/>
  <c r="E1966" i="11"/>
  <c r="D1966" i="11"/>
  <c r="C1966" i="11"/>
  <c r="I1966" i="11"/>
  <c r="B1966" i="11"/>
  <c r="A1966" i="11"/>
  <c r="E1965" i="11"/>
  <c r="D1965" i="11"/>
  <c r="C1965" i="11"/>
  <c r="I1965" i="11"/>
  <c r="B1965" i="11"/>
  <c r="A1965" i="11"/>
  <c r="E1964" i="11"/>
  <c r="D1964" i="11"/>
  <c r="C1964" i="11"/>
  <c r="I1964" i="11"/>
  <c r="B1964" i="11"/>
  <c r="A1964" i="11"/>
  <c r="E1963" i="11"/>
  <c r="D1963" i="11"/>
  <c r="C1963" i="11"/>
  <c r="I1963" i="11"/>
  <c r="B1963" i="11"/>
  <c r="A1963" i="11"/>
  <c r="E1962" i="11"/>
  <c r="D1962" i="11"/>
  <c r="C1962" i="11"/>
  <c r="I1962" i="11"/>
  <c r="B1962" i="11"/>
  <c r="A1962" i="11"/>
  <c r="E1961" i="11"/>
  <c r="D1961" i="11"/>
  <c r="C1961" i="11"/>
  <c r="I1961" i="11"/>
  <c r="B1961" i="11"/>
  <c r="A1961" i="11"/>
  <c r="E1960" i="11"/>
  <c r="D1960" i="11"/>
  <c r="C1960" i="11"/>
  <c r="I1960" i="11"/>
  <c r="B1960" i="11"/>
  <c r="A1960" i="11"/>
  <c r="E1959" i="11"/>
  <c r="D1959" i="11"/>
  <c r="C1959" i="11"/>
  <c r="I1959" i="11"/>
  <c r="B1959" i="11"/>
  <c r="A1959" i="11"/>
  <c r="E1958" i="11"/>
  <c r="D1958" i="11"/>
  <c r="C1958" i="11"/>
  <c r="I1958" i="11"/>
  <c r="B1958" i="11"/>
  <c r="A1958" i="11"/>
  <c r="E1957" i="11"/>
  <c r="D1957" i="11"/>
  <c r="C1957" i="11"/>
  <c r="I1957" i="11"/>
  <c r="B1957" i="11"/>
  <c r="A1957" i="11"/>
  <c r="E1956" i="11"/>
  <c r="D1956" i="11"/>
  <c r="C1956" i="11"/>
  <c r="I1956" i="11"/>
  <c r="B1956" i="11"/>
  <c r="A1956" i="11"/>
  <c r="E1955" i="11"/>
  <c r="D1955" i="11"/>
  <c r="C1955" i="11"/>
  <c r="I1955" i="11"/>
  <c r="B1955" i="11"/>
  <c r="A1955" i="11"/>
  <c r="E1954" i="11"/>
  <c r="D1954" i="11"/>
  <c r="C1954" i="11"/>
  <c r="I1954" i="11"/>
  <c r="B1954" i="11"/>
  <c r="A1954" i="11"/>
  <c r="E1953" i="11"/>
  <c r="D1953" i="11"/>
  <c r="C1953" i="11"/>
  <c r="I1953" i="11"/>
  <c r="B1953" i="11"/>
  <c r="A1953" i="11"/>
  <c r="C1952" i="11"/>
  <c r="I1952" i="11"/>
  <c r="D1952" i="11"/>
  <c r="E1952" i="11"/>
  <c r="B1952" i="11"/>
  <c r="A1952" i="11"/>
  <c r="E2032" i="11"/>
  <c r="D2032" i="11"/>
  <c r="C2032" i="11"/>
  <c r="I2032" i="11"/>
  <c r="B2032" i="11"/>
  <c r="A2032" i="11"/>
  <c r="E2031" i="11"/>
  <c r="D2031" i="11"/>
  <c r="C2031" i="11"/>
  <c r="I2031" i="11"/>
  <c r="B2031" i="11"/>
  <c r="A2031" i="11"/>
  <c r="E2030" i="11"/>
  <c r="D2030" i="11"/>
  <c r="C2030" i="11"/>
  <c r="I2030" i="11"/>
  <c r="B2030" i="11"/>
  <c r="A2030" i="11"/>
  <c r="E2029" i="11"/>
  <c r="D2029" i="11"/>
  <c r="C2029" i="11"/>
  <c r="I2029" i="11"/>
  <c r="B2029" i="11"/>
  <c r="A2029" i="11"/>
  <c r="E2028" i="11"/>
  <c r="D2028" i="11"/>
  <c r="C2028" i="11"/>
  <c r="I2028" i="11"/>
  <c r="B2028" i="11"/>
  <c r="A2028" i="11"/>
  <c r="E2019" i="11"/>
  <c r="D2019" i="11"/>
  <c r="C2019" i="11"/>
  <c r="I2019" i="11"/>
  <c r="B2019" i="11"/>
  <c r="A2019" i="11"/>
  <c r="E2018" i="11"/>
  <c r="D2018" i="11"/>
  <c r="C2018" i="11"/>
  <c r="I2018" i="11"/>
  <c r="B2018" i="11"/>
  <c r="A2018" i="11"/>
  <c r="E2017" i="11"/>
  <c r="D2017" i="11"/>
  <c r="C2017" i="11"/>
  <c r="I2017" i="11"/>
  <c r="B2017" i="11"/>
  <c r="A2017" i="11"/>
  <c r="E2016" i="11"/>
  <c r="D2016" i="11"/>
  <c r="C2016" i="11"/>
  <c r="I2016" i="11"/>
  <c r="B2016" i="11"/>
  <c r="A2016" i="11"/>
  <c r="E2015" i="11"/>
  <c r="D2015" i="11"/>
  <c r="C2015" i="11"/>
  <c r="I2015" i="11"/>
  <c r="B2015" i="11"/>
  <c r="A2015" i="11"/>
  <c r="E2014" i="11"/>
  <c r="D2014" i="11"/>
  <c r="C2014" i="11"/>
  <c r="I2014" i="11"/>
  <c r="B2014" i="11"/>
  <c r="A2014" i="11"/>
  <c r="E2013" i="11"/>
  <c r="D2013" i="11"/>
  <c r="C2013" i="11"/>
  <c r="I2013" i="11"/>
  <c r="B2013" i="11"/>
  <c r="A2013" i="11"/>
  <c r="E2012" i="11"/>
  <c r="D2012" i="11"/>
  <c r="C2012" i="11"/>
  <c r="I2012" i="11"/>
  <c r="B2012" i="11"/>
  <c r="A2012" i="11"/>
  <c r="E1991" i="11"/>
  <c r="D1991" i="11"/>
  <c r="C1991" i="11"/>
  <c r="I1991" i="11"/>
  <c r="B1991" i="11"/>
  <c r="A1991" i="11"/>
  <c r="E1990" i="11"/>
  <c r="D1990" i="11"/>
  <c r="C1990" i="11"/>
  <c r="I1990" i="11"/>
  <c r="B1990" i="11"/>
  <c r="A1990" i="11"/>
  <c r="E1989" i="11"/>
  <c r="D1989" i="11"/>
  <c r="C1989" i="11"/>
  <c r="I1989" i="11"/>
  <c r="B1989" i="11"/>
  <c r="A1989" i="11"/>
  <c r="E1988" i="11"/>
  <c r="D1988" i="11"/>
  <c r="C1988" i="11"/>
  <c r="I1988" i="11"/>
  <c r="B1988" i="11"/>
  <c r="A1988" i="11"/>
  <c r="E1987" i="11"/>
  <c r="D1987" i="11"/>
  <c r="C1987" i="11"/>
  <c r="I1987" i="11"/>
  <c r="B1987" i="11"/>
  <c r="A1987" i="11"/>
  <c r="E1986" i="11"/>
  <c r="D1986" i="11"/>
  <c r="C1986" i="11"/>
  <c r="I1986" i="11"/>
  <c r="B1986" i="11"/>
  <c r="A1986" i="11"/>
  <c r="E1985" i="11"/>
  <c r="D1985" i="11"/>
  <c r="C1985" i="11"/>
  <c r="I1985" i="11"/>
  <c r="B1985" i="11"/>
  <c r="A1985" i="11"/>
  <c r="E1984" i="11"/>
  <c r="D1984" i="11"/>
  <c r="C1984" i="11"/>
  <c r="I1984" i="11"/>
  <c r="B1984" i="11"/>
  <c r="A1984" i="11"/>
  <c r="E1983" i="11"/>
  <c r="D1983" i="11"/>
  <c r="C1983" i="11"/>
  <c r="I1983" i="11"/>
  <c r="B1983" i="11"/>
  <c r="A1983" i="11"/>
  <c r="E1982" i="11"/>
  <c r="D1982" i="11"/>
  <c r="C1982" i="11"/>
  <c r="I1982" i="11"/>
  <c r="B1982" i="11"/>
  <c r="A1982" i="11"/>
  <c r="E1981" i="11"/>
  <c r="D1981" i="11"/>
  <c r="C1981" i="11"/>
  <c r="I1981" i="11"/>
  <c r="B1981" i="11"/>
  <c r="A1981" i="11"/>
  <c r="E1980" i="11"/>
  <c r="D1980" i="11"/>
  <c r="C1980" i="11"/>
  <c r="I1980" i="11"/>
  <c r="B1980" i="11"/>
  <c r="A1980" i="11"/>
  <c r="E1979" i="11"/>
  <c r="D1979" i="11"/>
  <c r="C1979" i="11"/>
  <c r="I1979" i="11"/>
  <c r="B1979" i="11"/>
  <c r="A1979" i="11"/>
  <c r="E1978" i="11"/>
  <c r="D1978" i="11"/>
  <c r="C1978" i="11"/>
  <c r="I1978" i="11"/>
  <c r="B1978" i="11"/>
  <c r="A1978" i="11"/>
  <c r="E1977" i="11"/>
  <c r="D1977" i="11"/>
  <c r="C1977" i="11"/>
  <c r="I1977" i="11"/>
  <c r="B1977" i="11"/>
  <c r="A1977" i="11"/>
  <c r="E1976" i="11"/>
  <c r="D1976" i="11"/>
  <c r="C1976" i="11"/>
  <c r="I1976" i="11"/>
  <c r="B1976" i="11"/>
  <c r="A1976" i="11"/>
  <c r="E1975" i="11"/>
  <c r="D1975" i="11"/>
  <c r="C1975" i="11"/>
  <c r="I1975" i="11"/>
  <c r="B1975" i="11"/>
  <c r="A1975" i="11"/>
  <c r="E1974" i="11"/>
  <c r="D1974" i="11"/>
  <c r="C1974" i="11"/>
  <c r="I1974" i="11"/>
  <c r="B1974" i="11"/>
  <c r="A1974" i="11"/>
  <c r="E1973" i="11"/>
  <c r="D1973" i="11"/>
  <c r="C1973" i="11"/>
  <c r="I1973" i="11"/>
  <c r="B1973" i="11"/>
  <c r="A1973" i="11"/>
  <c r="E1972" i="11"/>
  <c r="D1972" i="11"/>
  <c r="C1972" i="11"/>
  <c r="I1972" i="11"/>
  <c r="B1972" i="11"/>
  <c r="A1972" i="11"/>
  <c r="E1951" i="11"/>
  <c r="D1951" i="11"/>
  <c r="C1951" i="11"/>
  <c r="I1951" i="11"/>
  <c r="B1951" i="11"/>
  <c r="A1951" i="11"/>
  <c r="E1950" i="11"/>
  <c r="D1950" i="11"/>
  <c r="C1950" i="11"/>
  <c r="I1950" i="11"/>
  <c r="B1950" i="11"/>
  <c r="A1950" i="11"/>
  <c r="E1949" i="11"/>
  <c r="D1949" i="11"/>
  <c r="C1949" i="11"/>
  <c r="I1949" i="11"/>
  <c r="B1949" i="11"/>
  <c r="A1949" i="11"/>
  <c r="E1948" i="11"/>
  <c r="D1948" i="11"/>
  <c r="C1948" i="11"/>
  <c r="I1948" i="11"/>
  <c r="B1948" i="11"/>
  <c r="A1948" i="11"/>
  <c r="E1947" i="11"/>
  <c r="D1947" i="11"/>
  <c r="C1947" i="11"/>
  <c r="I1947" i="11"/>
  <c r="B1947" i="11"/>
  <c r="A1947" i="11"/>
  <c r="E1946" i="11"/>
  <c r="D1946" i="11"/>
  <c r="C1946" i="11"/>
  <c r="I1946" i="11"/>
  <c r="B1946" i="11"/>
  <c r="A1946" i="11"/>
  <c r="E1945" i="11"/>
  <c r="D1945" i="11"/>
  <c r="C1945" i="11"/>
  <c r="I1945" i="11"/>
  <c r="B1945" i="11"/>
  <c r="A1945" i="11"/>
  <c r="E1944" i="11"/>
  <c r="D1944" i="11"/>
  <c r="C1944" i="11"/>
  <c r="I1944" i="11"/>
  <c r="B1944" i="11"/>
  <c r="A1944" i="11"/>
  <c r="E1943" i="11"/>
  <c r="D1943" i="11"/>
  <c r="C1943" i="11"/>
  <c r="I1943" i="11"/>
  <c r="B1943" i="11"/>
  <c r="A1943" i="11"/>
  <c r="E1942" i="11"/>
  <c r="D1942" i="11"/>
  <c r="C1942" i="11"/>
  <c r="I1942" i="11"/>
  <c r="B1942" i="11"/>
  <c r="A1942" i="11"/>
  <c r="E1941" i="11"/>
  <c r="D1941" i="11"/>
  <c r="C1941" i="11"/>
  <c r="I1941" i="11"/>
  <c r="B1941" i="11"/>
  <c r="A1941" i="11"/>
  <c r="E1940" i="11"/>
  <c r="D1940" i="11"/>
  <c r="C1940" i="11"/>
  <c r="I1940" i="11"/>
  <c r="B1940" i="11"/>
  <c r="A1940" i="11"/>
  <c r="E1939" i="11"/>
  <c r="D1939" i="11"/>
  <c r="C1939" i="11"/>
  <c r="I1939" i="11"/>
  <c r="B1939" i="11"/>
  <c r="A1939" i="11"/>
  <c r="E1938" i="11"/>
  <c r="D1938" i="11"/>
  <c r="C1938" i="11"/>
  <c r="I1938" i="11"/>
  <c r="B1938" i="11"/>
  <c r="A1938" i="11"/>
  <c r="E1937" i="11"/>
  <c r="D1937" i="11"/>
  <c r="C1937" i="11"/>
  <c r="I1937" i="11"/>
  <c r="B1937" i="11"/>
  <c r="A1937" i="11"/>
  <c r="E1936" i="11"/>
  <c r="D1936" i="11"/>
  <c r="C1936" i="11"/>
  <c r="I1936" i="11"/>
  <c r="B1936" i="11"/>
  <c r="A1936" i="11"/>
  <c r="E1935" i="11"/>
  <c r="D1935" i="11"/>
  <c r="C1935" i="11"/>
  <c r="I1935" i="11"/>
  <c r="B1935" i="11"/>
  <c r="A1935" i="11"/>
  <c r="E1934" i="11"/>
  <c r="D1934" i="11"/>
  <c r="C1934" i="11"/>
  <c r="I1934" i="11"/>
  <c r="B1934" i="11"/>
  <c r="A1934" i="11"/>
  <c r="E1933" i="11"/>
  <c r="D1933" i="11"/>
  <c r="C1933" i="11"/>
  <c r="I1933" i="11"/>
  <c r="B1933" i="11"/>
  <c r="A1933" i="11"/>
  <c r="C1932" i="11"/>
  <c r="I1932" i="11"/>
  <c r="D1932" i="11"/>
  <c r="E1932" i="11"/>
  <c r="B1932" i="11"/>
  <c r="A1932" i="11"/>
  <c r="F129" i="34"/>
  <c r="E129" i="34"/>
  <c r="M119" i="34"/>
  <c r="L119" i="34"/>
  <c r="F128" i="34"/>
  <c r="E128" i="34"/>
  <c r="M118" i="34"/>
  <c r="L118" i="34"/>
  <c r="F127" i="34"/>
  <c r="E127" i="34"/>
  <c r="M117" i="34"/>
  <c r="L117" i="34"/>
  <c r="F126" i="34"/>
  <c r="E126" i="34"/>
  <c r="M116" i="34"/>
  <c r="L116" i="34"/>
  <c r="F125" i="34"/>
  <c r="E125" i="34"/>
  <c r="M115" i="34"/>
  <c r="L115" i="34"/>
  <c r="F122" i="34"/>
  <c r="E122" i="34"/>
  <c r="F121" i="34"/>
  <c r="E121" i="34"/>
  <c r="F120" i="34"/>
  <c r="E120" i="34"/>
  <c r="F119" i="34"/>
  <c r="E119" i="34"/>
  <c r="F118" i="34"/>
  <c r="E118" i="34"/>
  <c r="F117" i="34"/>
  <c r="E117" i="34"/>
  <c r="F116" i="34"/>
  <c r="E116" i="34"/>
  <c r="F115" i="34"/>
  <c r="E115" i="34"/>
  <c r="M46" i="34"/>
  <c r="L46" i="34"/>
  <c r="F46" i="34"/>
  <c r="E46" i="34"/>
  <c r="M45" i="34"/>
  <c r="L45" i="34"/>
  <c r="F45" i="34"/>
  <c r="E45" i="34"/>
  <c r="M44" i="34"/>
  <c r="L44" i="34"/>
  <c r="F44" i="34"/>
  <c r="E44" i="34"/>
  <c r="M43" i="34"/>
  <c r="L43" i="34"/>
  <c r="F43" i="34"/>
  <c r="E43" i="34"/>
  <c r="M42" i="34"/>
  <c r="L42" i="34"/>
  <c r="F42" i="34"/>
  <c r="E42" i="34"/>
  <c r="M41" i="34"/>
  <c r="L41" i="34"/>
  <c r="F41" i="34"/>
  <c r="E41" i="34"/>
  <c r="M40" i="34"/>
  <c r="L40" i="34"/>
  <c r="F40" i="34"/>
  <c r="E40" i="34"/>
  <c r="M39" i="34"/>
  <c r="L39" i="34"/>
  <c r="F39" i="34"/>
  <c r="E39" i="34"/>
  <c r="M38" i="34"/>
  <c r="L38" i="34"/>
  <c r="F38" i="34"/>
  <c r="E38" i="34"/>
  <c r="M37" i="34"/>
  <c r="L37" i="34"/>
  <c r="F37" i="34"/>
  <c r="E37" i="34"/>
  <c r="M36" i="34"/>
  <c r="L36" i="34"/>
  <c r="F36" i="34"/>
  <c r="E36" i="34"/>
  <c r="M35" i="34"/>
  <c r="L35" i="34"/>
  <c r="F35" i="34"/>
  <c r="E35" i="34"/>
  <c r="M34" i="34"/>
  <c r="L34" i="34"/>
  <c r="F34" i="34"/>
  <c r="E34" i="34"/>
  <c r="M33" i="34"/>
  <c r="L33" i="34"/>
  <c r="F33" i="34"/>
  <c r="E33" i="34"/>
  <c r="M32" i="34"/>
  <c r="L32" i="34"/>
  <c r="F32" i="34"/>
  <c r="E32" i="34"/>
  <c r="M31" i="34"/>
  <c r="L31" i="34"/>
  <c r="F31" i="34"/>
  <c r="E31" i="34"/>
  <c r="M30" i="34"/>
  <c r="L30" i="34"/>
  <c r="F30" i="34"/>
  <c r="E30" i="34"/>
  <c r="M29" i="34"/>
  <c r="L29" i="34"/>
  <c r="F29" i="34"/>
  <c r="E29" i="34"/>
  <c r="M28" i="34"/>
  <c r="L28" i="34"/>
  <c r="F28" i="34"/>
  <c r="E28" i="34"/>
  <c r="M27" i="34"/>
  <c r="L27" i="34"/>
  <c r="F27" i="34"/>
  <c r="E27" i="34"/>
  <c r="M24" i="34"/>
  <c r="L24" i="34"/>
  <c r="F24" i="34"/>
  <c r="E24" i="34"/>
  <c r="M23" i="34"/>
  <c r="L23" i="34"/>
  <c r="F23" i="34"/>
  <c r="E23" i="34"/>
  <c r="M22" i="34"/>
  <c r="L22" i="34"/>
  <c r="F22" i="34"/>
  <c r="E22" i="34"/>
  <c r="M21" i="34"/>
  <c r="L21" i="34"/>
  <c r="F21" i="34"/>
  <c r="E21" i="34"/>
  <c r="M20" i="34"/>
  <c r="L20" i="34"/>
  <c r="F20" i="34"/>
  <c r="E20" i="34"/>
  <c r="M19" i="34"/>
  <c r="L19" i="34"/>
  <c r="F19" i="34"/>
  <c r="E19" i="34"/>
  <c r="M18" i="34"/>
  <c r="L18" i="34"/>
  <c r="F18" i="34"/>
  <c r="E18" i="34"/>
  <c r="M17" i="34"/>
  <c r="L17" i="34"/>
  <c r="F17" i="34"/>
  <c r="E17" i="34"/>
  <c r="M16" i="34"/>
  <c r="L16" i="34"/>
  <c r="F16" i="34"/>
  <c r="E16" i="34"/>
  <c r="M15" i="34"/>
  <c r="L15" i="34"/>
  <c r="F15" i="34"/>
  <c r="E15" i="34"/>
  <c r="M14" i="34"/>
  <c r="L14" i="34"/>
  <c r="F14" i="34"/>
  <c r="E14" i="34"/>
  <c r="M13" i="34"/>
  <c r="L13" i="34"/>
  <c r="F13" i="34"/>
  <c r="E13" i="34"/>
  <c r="M12" i="34"/>
  <c r="L12" i="34"/>
  <c r="F12" i="34"/>
  <c r="E12" i="34"/>
  <c r="M11" i="34"/>
  <c r="L11" i="34"/>
  <c r="F11" i="34"/>
  <c r="E11" i="34"/>
  <c r="M10" i="34"/>
  <c r="L10" i="34"/>
  <c r="F10" i="34"/>
  <c r="E10" i="34"/>
  <c r="M9" i="34"/>
  <c r="L9" i="34"/>
  <c r="F9" i="34"/>
  <c r="E9" i="34"/>
  <c r="M8" i="34"/>
  <c r="L8" i="34"/>
  <c r="F8" i="34"/>
  <c r="E8" i="34"/>
  <c r="M7" i="34"/>
  <c r="L7" i="34"/>
  <c r="F7" i="34"/>
  <c r="E7" i="34"/>
  <c r="M6" i="34"/>
  <c r="L6" i="34"/>
  <c r="F6" i="34"/>
  <c r="E6" i="34"/>
  <c r="M5" i="34"/>
  <c r="L5" i="34"/>
  <c r="F5" i="34"/>
  <c r="E5" i="34"/>
  <c r="M1" i="34"/>
  <c r="M75" i="33"/>
  <c r="L75" i="33"/>
  <c r="F75" i="33"/>
  <c r="E75" i="33"/>
  <c r="M74" i="33"/>
  <c r="L74" i="33"/>
  <c r="F74" i="33"/>
  <c r="E74" i="33"/>
  <c r="M73" i="33"/>
  <c r="L73" i="33"/>
  <c r="F73" i="33"/>
  <c r="E73" i="33"/>
  <c r="M72" i="33"/>
  <c r="L72" i="33"/>
  <c r="F72" i="33"/>
  <c r="E72" i="33"/>
  <c r="M71" i="33"/>
  <c r="L71" i="33"/>
  <c r="F71" i="33"/>
  <c r="E71" i="33"/>
  <c r="M68" i="33"/>
  <c r="L68" i="33"/>
  <c r="F68" i="33"/>
  <c r="E68" i="33"/>
  <c r="M67" i="33"/>
  <c r="L67" i="33"/>
  <c r="F67" i="33"/>
  <c r="E67" i="33"/>
  <c r="M66" i="33"/>
  <c r="L66" i="33"/>
  <c r="F66" i="33"/>
  <c r="E66" i="33"/>
  <c r="M65" i="33"/>
  <c r="L65" i="33"/>
  <c r="F65" i="33"/>
  <c r="E65" i="33"/>
  <c r="M64" i="33"/>
  <c r="L64" i="33"/>
  <c r="F64" i="33"/>
  <c r="E64" i="33"/>
  <c r="M63" i="33"/>
  <c r="L63" i="33"/>
  <c r="F63" i="33"/>
  <c r="E63" i="33"/>
  <c r="M62" i="33"/>
  <c r="L62" i="33"/>
  <c r="F62" i="33"/>
  <c r="E62" i="33"/>
  <c r="M61" i="33"/>
  <c r="L61" i="33"/>
  <c r="F61" i="33"/>
  <c r="E61" i="33"/>
  <c r="M58" i="33"/>
  <c r="L58" i="33"/>
  <c r="F58" i="33"/>
  <c r="E58" i="33"/>
  <c r="M57" i="33"/>
  <c r="L57" i="33"/>
  <c r="F57" i="33"/>
  <c r="E57" i="33"/>
  <c r="M56" i="33"/>
  <c r="L56" i="33"/>
  <c r="F56" i="33"/>
  <c r="E56" i="33"/>
  <c r="M55" i="33"/>
  <c r="L55" i="33"/>
  <c r="F55" i="33"/>
  <c r="E55" i="33"/>
  <c r="M54" i="33"/>
  <c r="L54" i="33"/>
  <c r="F54" i="33"/>
  <c r="E54" i="33"/>
  <c r="M53" i="33"/>
  <c r="L53" i="33"/>
  <c r="F53" i="33"/>
  <c r="E53" i="33"/>
  <c r="M52" i="33"/>
  <c r="L52" i="33"/>
  <c r="F52" i="33"/>
  <c r="E52" i="33"/>
  <c r="M51" i="33"/>
  <c r="L51" i="33"/>
  <c r="F51" i="33"/>
  <c r="E51" i="33"/>
  <c r="M50" i="33"/>
  <c r="L50" i="33"/>
  <c r="F50" i="33"/>
  <c r="E50" i="33"/>
  <c r="M49" i="33"/>
  <c r="L49" i="33"/>
  <c r="F49" i="33"/>
  <c r="E49" i="33"/>
  <c r="M48" i="33"/>
  <c r="L48" i="33"/>
  <c r="F48" i="33"/>
  <c r="E48" i="33"/>
  <c r="M47" i="33"/>
  <c r="L47" i="33"/>
  <c r="F47" i="33"/>
  <c r="E47" i="33"/>
  <c r="M46" i="33"/>
  <c r="L46" i="33"/>
  <c r="F46" i="33"/>
  <c r="E46" i="33"/>
  <c r="M45" i="33"/>
  <c r="L45" i="33"/>
  <c r="F45" i="33"/>
  <c r="E45" i="33"/>
  <c r="M44" i="33"/>
  <c r="L44" i="33"/>
  <c r="F44" i="33"/>
  <c r="E44" i="33"/>
  <c r="M43" i="33"/>
  <c r="L43" i="33"/>
  <c r="F43" i="33"/>
  <c r="E43" i="33"/>
  <c r="M42" i="33"/>
  <c r="L42" i="33"/>
  <c r="F42" i="33"/>
  <c r="E42" i="33"/>
  <c r="M41" i="33"/>
  <c r="L41" i="33"/>
  <c r="F41" i="33"/>
  <c r="E41" i="33"/>
  <c r="M40" i="33"/>
  <c r="L40" i="33"/>
  <c r="F40" i="33"/>
  <c r="E40" i="33"/>
  <c r="M39" i="33"/>
  <c r="L39" i="33"/>
  <c r="F39" i="33"/>
  <c r="E39" i="33"/>
  <c r="M36" i="33"/>
  <c r="L36" i="33"/>
  <c r="F36" i="33"/>
  <c r="E36" i="33"/>
  <c r="M35" i="33"/>
  <c r="L35" i="33"/>
  <c r="F35" i="33"/>
  <c r="E35" i="33"/>
  <c r="M34" i="33"/>
  <c r="L34" i="33"/>
  <c r="F34" i="33"/>
  <c r="E34" i="33"/>
  <c r="M33" i="33"/>
  <c r="L33" i="33"/>
  <c r="F33" i="33"/>
  <c r="E33" i="33"/>
  <c r="M32" i="33"/>
  <c r="L32" i="33"/>
  <c r="F32" i="33"/>
  <c r="E32" i="33"/>
  <c r="M31" i="33"/>
  <c r="L31" i="33"/>
  <c r="F31" i="33"/>
  <c r="E31" i="33"/>
  <c r="M30" i="33"/>
  <c r="L30" i="33"/>
  <c r="F30" i="33"/>
  <c r="E30" i="33"/>
  <c r="M29" i="33"/>
  <c r="L29" i="33"/>
  <c r="F29" i="33"/>
  <c r="E29" i="33"/>
  <c r="M28" i="33"/>
  <c r="L28" i="33"/>
  <c r="F28" i="33"/>
  <c r="E28" i="33"/>
  <c r="M27" i="33"/>
  <c r="L27" i="33"/>
  <c r="F27" i="33"/>
  <c r="E27" i="33"/>
  <c r="M26" i="33"/>
  <c r="L26" i="33"/>
  <c r="F26" i="33"/>
  <c r="E26" i="33"/>
  <c r="M25" i="33"/>
  <c r="L25" i="33"/>
  <c r="F25" i="33"/>
  <c r="E25" i="33"/>
  <c r="M24" i="33"/>
  <c r="L24" i="33"/>
  <c r="F24" i="33"/>
  <c r="E24" i="33"/>
  <c r="M23" i="33"/>
  <c r="L23" i="33"/>
  <c r="F23" i="33"/>
  <c r="E23" i="33"/>
  <c r="M22" i="33"/>
  <c r="L22" i="33"/>
  <c r="F22" i="33"/>
  <c r="E22" i="33"/>
  <c r="M21" i="33"/>
  <c r="L21" i="33"/>
  <c r="F21" i="33"/>
  <c r="E21" i="33"/>
  <c r="M20" i="33"/>
  <c r="L20" i="33"/>
  <c r="F20" i="33"/>
  <c r="E20" i="33"/>
  <c r="M19" i="33"/>
  <c r="L19" i="33"/>
  <c r="F19" i="33"/>
  <c r="E19" i="33"/>
  <c r="M18" i="33"/>
  <c r="L18" i="33"/>
  <c r="F18" i="33"/>
  <c r="E18" i="33"/>
  <c r="M17" i="33"/>
  <c r="L17" i="33"/>
  <c r="F17" i="33"/>
  <c r="E17" i="33"/>
  <c r="M1" i="33"/>
  <c r="F2098" i="11"/>
  <c r="E2098" i="11"/>
  <c r="D2098" i="11"/>
  <c r="C2098" i="11"/>
  <c r="I2098" i="11"/>
  <c r="B2098" i="11"/>
  <c r="A2098" i="11"/>
  <c r="F2097" i="11"/>
  <c r="E2097" i="11"/>
  <c r="D2097" i="11"/>
  <c r="C2097" i="11"/>
  <c r="I2097" i="11"/>
  <c r="B2097" i="11"/>
  <c r="A2097" i="11"/>
  <c r="F2096" i="11"/>
  <c r="E2096" i="11"/>
  <c r="D2096" i="11"/>
  <c r="C2096" i="11"/>
  <c r="I2096" i="11"/>
  <c r="B2096" i="11"/>
  <c r="A2096" i="11"/>
  <c r="F2095" i="11"/>
  <c r="E2095" i="11"/>
  <c r="D2095" i="11"/>
  <c r="C2095" i="11"/>
  <c r="I2095" i="11"/>
  <c r="B2095" i="11"/>
  <c r="A2095" i="11"/>
  <c r="F2094" i="11"/>
  <c r="E2094" i="11"/>
  <c r="D2094" i="11"/>
  <c r="C2094" i="11"/>
  <c r="I2094" i="11"/>
  <c r="B2094" i="11"/>
  <c r="A2094" i="11"/>
  <c r="F2093" i="11"/>
  <c r="E2093" i="11"/>
  <c r="D2093" i="11"/>
  <c r="C2093" i="11"/>
  <c r="I2093" i="11"/>
  <c r="B2093" i="11"/>
  <c r="A2093" i="11"/>
  <c r="F2092" i="11"/>
  <c r="E2092" i="11"/>
  <c r="D2092" i="11"/>
  <c r="C2092" i="11"/>
  <c r="I2092" i="11"/>
  <c r="B2092" i="11"/>
  <c r="A2092" i="11"/>
  <c r="F2091" i="11"/>
  <c r="E2091" i="11"/>
  <c r="D2091" i="11"/>
  <c r="C2091" i="11"/>
  <c r="I2091" i="11"/>
  <c r="B2091" i="11"/>
  <c r="A2091" i="11"/>
  <c r="F2090" i="11"/>
  <c r="E2090" i="11"/>
  <c r="D2090" i="11"/>
  <c r="C2090" i="11"/>
  <c r="I2090" i="11"/>
  <c r="B2090" i="11"/>
  <c r="A2090" i="11"/>
  <c r="F2089" i="11"/>
  <c r="E2089" i="11"/>
  <c r="D2089" i="11"/>
  <c r="C2089" i="11"/>
  <c r="I2089" i="11"/>
  <c r="B2089" i="11"/>
  <c r="A2089" i="11"/>
  <c r="F2088" i="11"/>
  <c r="E2088" i="11"/>
  <c r="D2088" i="11"/>
  <c r="C2088" i="11"/>
  <c r="I2088" i="11"/>
  <c r="B2088" i="11"/>
  <c r="A2088" i="11"/>
  <c r="F2087" i="11"/>
  <c r="E2087" i="11"/>
  <c r="D2087" i="11"/>
  <c r="C2087" i="11"/>
  <c r="I2087" i="11"/>
  <c r="B2087" i="11"/>
  <c r="A2087" i="11"/>
  <c r="F2086" i="11"/>
  <c r="E2086" i="11"/>
  <c r="D2086" i="11"/>
  <c r="C2086" i="11"/>
  <c r="I2086" i="11"/>
  <c r="B2086" i="11"/>
  <c r="A2086" i="11"/>
  <c r="F2085" i="11"/>
  <c r="E2085" i="11"/>
  <c r="D2085" i="11"/>
  <c r="C2085" i="11"/>
  <c r="I2085" i="11"/>
  <c r="B2085" i="11"/>
  <c r="A2085" i="11"/>
  <c r="F2084" i="11"/>
  <c r="E2084" i="11"/>
  <c r="D2084" i="11"/>
  <c r="C2084" i="11"/>
  <c r="I2084" i="11"/>
  <c r="B2084" i="11"/>
  <c r="A2084" i="11"/>
  <c r="F2083" i="11"/>
  <c r="E2083" i="11"/>
  <c r="D2083" i="11"/>
  <c r="C2083" i="11"/>
  <c r="I2083" i="11"/>
  <c r="B2083" i="11"/>
  <c r="A2083" i="11"/>
  <c r="G21" i="24"/>
  <c r="E21" i="24"/>
  <c r="G20" i="24"/>
  <c r="E20" i="24"/>
  <c r="G19" i="24"/>
  <c r="E19" i="24"/>
  <c r="G18" i="24"/>
  <c r="E18" i="24"/>
  <c r="G17" i="24"/>
  <c r="E17" i="24"/>
  <c r="G16" i="24"/>
  <c r="E16" i="24"/>
  <c r="G15" i="24"/>
  <c r="E15" i="24"/>
  <c r="G14" i="24"/>
  <c r="E14" i="24"/>
  <c r="G13" i="24"/>
  <c r="E13" i="24"/>
  <c r="G12" i="24"/>
  <c r="E12" i="24"/>
  <c r="G11" i="24"/>
  <c r="E11" i="24"/>
  <c r="G10" i="24"/>
  <c r="E10" i="24"/>
  <c r="G9" i="24"/>
  <c r="E9" i="24"/>
  <c r="G8" i="24"/>
  <c r="E8" i="24"/>
  <c r="G7" i="24"/>
  <c r="E7" i="24"/>
  <c r="G6" i="24"/>
  <c r="E6" i="24"/>
  <c r="H15" i="11"/>
  <c r="G15" i="11"/>
  <c r="F15" i="11"/>
  <c r="E15" i="11"/>
  <c r="D15" i="11"/>
  <c r="C15" i="11"/>
  <c r="I15" i="11"/>
  <c r="B15" i="11"/>
  <c r="A15" i="11"/>
  <c r="H14" i="11"/>
  <c r="G14" i="11"/>
  <c r="F14" i="11"/>
  <c r="E14" i="11"/>
  <c r="D14" i="11"/>
  <c r="C14" i="11"/>
  <c r="I14" i="11"/>
  <c r="B14" i="11"/>
  <c r="A14" i="11"/>
  <c r="H13" i="11"/>
  <c r="G13" i="11"/>
  <c r="F13" i="11"/>
  <c r="E13" i="11"/>
  <c r="D13" i="11"/>
  <c r="C13" i="11"/>
  <c r="I13" i="11"/>
  <c r="B13" i="11"/>
  <c r="A13" i="11"/>
  <c r="H12" i="11"/>
  <c r="G12" i="11"/>
  <c r="F12" i="11"/>
  <c r="E12" i="11"/>
  <c r="D12" i="11"/>
  <c r="C12" i="11"/>
  <c r="I12" i="11"/>
  <c r="B12" i="11"/>
  <c r="A12" i="11"/>
  <c r="H11" i="11"/>
  <c r="G11" i="11"/>
  <c r="F11" i="11"/>
  <c r="E11" i="11"/>
  <c r="D11" i="11"/>
  <c r="C11" i="11"/>
  <c r="I11" i="11"/>
  <c r="B11" i="11"/>
  <c r="A11" i="11"/>
  <c r="H10" i="11"/>
  <c r="G10" i="11"/>
  <c r="F10" i="11"/>
  <c r="E10" i="11"/>
  <c r="D10" i="11"/>
  <c r="C10" i="11"/>
  <c r="I10" i="11"/>
  <c r="B10" i="11"/>
  <c r="A10" i="11"/>
  <c r="H9" i="11"/>
  <c r="G9" i="11"/>
  <c r="F9" i="11"/>
  <c r="E9" i="11"/>
  <c r="D9" i="11"/>
  <c r="C9" i="11"/>
  <c r="I9" i="11"/>
  <c r="B9" i="11"/>
  <c r="A9" i="11"/>
  <c r="H8" i="11"/>
  <c r="G8" i="11"/>
  <c r="F8" i="11"/>
  <c r="E8" i="11"/>
  <c r="D8" i="11"/>
  <c r="C8" i="11"/>
  <c r="I8" i="11"/>
  <c r="B8" i="11"/>
  <c r="A8" i="11"/>
  <c r="H7" i="11"/>
  <c r="G7" i="11"/>
  <c r="F7" i="11"/>
  <c r="E7" i="11"/>
  <c r="D7" i="11"/>
  <c r="C7" i="11"/>
  <c r="I7" i="11"/>
  <c r="B7" i="11"/>
  <c r="A7" i="11"/>
  <c r="H6" i="11"/>
  <c r="G6" i="11"/>
  <c r="F6" i="11"/>
  <c r="E6" i="11"/>
  <c r="D6" i="11"/>
  <c r="C6" i="11"/>
  <c r="I6" i="11"/>
  <c r="B6" i="11"/>
  <c r="A6" i="11"/>
  <c r="H5" i="11"/>
  <c r="G5" i="11"/>
  <c r="F5" i="11"/>
  <c r="E5" i="11"/>
  <c r="D5" i="11"/>
  <c r="C5" i="11"/>
  <c r="I5" i="11"/>
  <c r="B5" i="11"/>
  <c r="A5" i="11"/>
  <c r="H4" i="11"/>
  <c r="G4" i="11"/>
  <c r="F4" i="11"/>
  <c r="E4" i="11"/>
  <c r="D4" i="11"/>
  <c r="C4" i="11"/>
  <c r="I4" i="11"/>
  <c r="B4" i="11"/>
  <c r="A4" i="11"/>
  <c r="G123" i="11"/>
  <c r="F123" i="11"/>
  <c r="E123" i="11"/>
  <c r="D123" i="11"/>
  <c r="C123" i="11"/>
  <c r="I123" i="11"/>
  <c r="B123" i="11"/>
  <c r="A123" i="11"/>
  <c r="G122" i="11"/>
  <c r="F122" i="11"/>
  <c r="E122" i="11"/>
  <c r="D122" i="11"/>
  <c r="C122" i="11"/>
  <c r="I122" i="11"/>
  <c r="B122" i="11"/>
  <c r="A122" i="11"/>
  <c r="G121" i="11"/>
  <c r="F121" i="11"/>
  <c r="E121" i="11"/>
  <c r="D121" i="11"/>
  <c r="C121" i="11"/>
  <c r="I121" i="11"/>
  <c r="B121" i="11"/>
  <c r="A121" i="11"/>
  <c r="G120" i="11"/>
  <c r="F120" i="11"/>
  <c r="E120" i="11"/>
  <c r="D120" i="11"/>
  <c r="C120" i="11"/>
  <c r="I120" i="11"/>
  <c r="B120" i="11"/>
  <c r="A120" i="11"/>
  <c r="G119" i="11"/>
  <c r="F119" i="11"/>
  <c r="E119" i="11"/>
  <c r="D119" i="11"/>
  <c r="C119" i="11"/>
  <c r="I119" i="11"/>
  <c r="B119" i="11"/>
  <c r="A119" i="11"/>
  <c r="G118" i="11"/>
  <c r="F118" i="11"/>
  <c r="E118" i="11"/>
  <c r="D118" i="11"/>
  <c r="C118" i="11"/>
  <c r="I118" i="11"/>
  <c r="B118" i="11"/>
  <c r="A118" i="11"/>
  <c r="G117" i="11"/>
  <c r="F117" i="11"/>
  <c r="E117" i="11"/>
  <c r="D117" i="11"/>
  <c r="C117" i="11"/>
  <c r="I117" i="11"/>
  <c r="B117" i="11"/>
  <c r="A117" i="11"/>
  <c r="G116" i="11"/>
  <c r="F116" i="11"/>
  <c r="E116" i="11"/>
  <c r="D116" i="11"/>
  <c r="C116" i="11"/>
  <c r="I116" i="11"/>
  <c r="B116" i="11"/>
  <c r="A116" i="11"/>
  <c r="G115" i="11"/>
  <c r="F115" i="11"/>
  <c r="E115" i="11"/>
  <c r="D115" i="11"/>
  <c r="C115" i="11"/>
  <c r="I115" i="11"/>
  <c r="B115" i="11"/>
  <c r="A115" i="11"/>
  <c r="G114" i="11"/>
  <c r="F114" i="11"/>
  <c r="E114" i="11"/>
  <c r="D114" i="11"/>
  <c r="C114" i="11"/>
  <c r="I114" i="11"/>
  <c r="B114" i="11"/>
  <c r="A114" i="11"/>
  <c r="G113" i="11"/>
  <c r="F113" i="11"/>
  <c r="E113" i="11"/>
  <c r="D113" i="11"/>
  <c r="C113" i="11"/>
  <c r="I113" i="11"/>
  <c r="B113" i="11"/>
  <c r="A113" i="11"/>
  <c r="G112" i="11"/>
  <c r="F112" i="11"/>
  <c r="E112" i="11"/>
  <c r="D112" i="11"/>
  <c r="C112" i="11"/>
  <c r="I112" i="11"/>
  <c r="B112" i="11"/>
  <c r="A112" i="11"/>
  <c r="G111" i="11"/>
  <c r="F111" i="11"/>
  <c r="E111" i="11"/>
  <c r="D111" i="11"/>
  <c r="C111" i="11"/>
  <c r="I111" i="11"/>
  <c r="B111" i="11"/>
  <c r="A111" i="11"/>
  <c r="G110" i="11"/>
  <c r="F110" i="11"/>
  <c r="E110" i="11"/>
  <c r="D110" i="11"/>
  <c r="C110" i="11"/>
  <c r="I110" i="11"/>
  <c r="B110" i="11"/>
  <c r="A110" i="11"/>
  <c r="G109" i="11"/>
  <c r="F109" i="11"/>
  <c r="E109" i="11"/>
  <c r="D109" i="11"/>
  <c r="C109" i="11"/>
  <c r="I109" i="11"/>
  <c r="B109" i="11"/>
  <c r="A109" i="11"/>
  <c r="H60" i="11"/>
  <c r="G60" i="11"/>
  <c r="F60" i="11"/>
  <c r="E60" i="11"/>
  <c r="D60" i="11"/>
  <c r="C60" i="11"/>
  <c r="I60" i="11"/>
  <c r="B60" i="11"/>
  <c r="A60" i="11"/>
  <c r="H59" i="11"/>
  <c r="G59" i="11"/>
  <c r="F59" i="11"/>
  <c r="E59" i="11"/>
  <c r="D59" i="11"/>
  <c r="C59" i="11"/>
  <c r="I59" i="11"/>
  <c r="B59" i="11"/>
  <c r="A59" i="11"/>
  <c r="H58" i="11"/>
  <c r="G58" i="11"/>
  <c r="F58" i="11"/>
  <c r="E58" i="11"/>
  <c r="D58" i="11"/>
  <c r="C58" i="11"/>
  <c r="I58" i="11"/>
  <c r="B58" i="11"/>
  <c r="A58" i="11"/>
  <c r="H57" i="11"/>
  <c r="G57" i="11"/>
  <c r="F57" i="11"/>
  <c r="E57" i="11"/>
  <c r="D57" i="11"/>
  <c r="C57" i="11"/>
  <c r="I57" i="11"/>
  <c r="B57" i="11"/>
  <c r="A57" i="11"/>
  <c r="H56" i="11"/>
  <c r="G56" i="11"/>
  <c r="F56" i="11"/>
  <c r="E56" i="11"/>
  <c r="D56" i="11"/>
  <c r="C56" i="11"/>
  <c r="I56" i="11"/>
  <c r="B56" i="11"/>
  <c r="A56" i="11"/>
  <c r="H55" i="11"/>
  <c r="G55" i="11"/>
  <c r="F55" i="11"/>
  <c r="E55" i="11"/>
  <c r="D55" i="11"/>
  <c r="C55" i="11"/>
  <c r="I55" i="11"/>
  <c r="B55" i="11"/>
  <c r="A55" i="11"/>
  <c r="H54" i="11"/>
  <c r="G54" i="11"/>
  <c r="F54" i="11"/>
  <c r="E54" i="11"/>
  <c r="D54" i="11"/>
  <c r="C54" i="11"/>
  <c r="I54" i="11"/>
  <c r="B54" i="11"/>
  <c r="A54" i="11"/>
  <c r="H53" i="11"/>
  <c r="G53" i="11"/>
  <c r="F53" i="11"/>
  <c r="E53" i="11"/>
  <c r="D53" i="11"/>
  <c r="C53" i="11"/>
  <c r="I53" i="11"/>
  <c r="B53" i="11"/>
  <c r="A53" i="11"/>
  <c r="H52" i="11"/>
  <c r="G52" i="11"/>
  <c r="F52" i="11"/>
  <c r="E52" i="11"/>
  <c r="D52" i="11"/>
  <c r="C52" i="11"/>
  <c r="I52" i="11"/>
  <c r="B52" i="11"/>
  <c r="A52" i="11"/>
  <c r="H51" i="11"/>
  <c r="G51" i="11"/>
  <c r="F51" i="11"/>
  <c r="E51" i="11"/>
  <c r="D51" i="11"/>
  <c r="C51" i="11"/>
  <c r="I51" i="11"/>
  <c r="B51" i="11"/>
  <c r="A51" i="11"/>
  <c r="H184" i="11"/>
  <c r="G184" i="11"/>
  <c r="F184" i="11"/>
  <c r="E184" i="11"/>
  <c r="D184" i="11"/>
  <c r="C184" i="11"/>
  <c r="I184" i="11"/>
  <c r="B184" i="11"/>
  <c r="A184" i="11"/>
  <c r="H183" i="11"/>
  <c r="G183" i="11"/>
  <c r="F183" i="11"/>
  <c r="E183" i="11"/>
  <c r="D183" i="11"/>
  <c r="C183" i="11"/>
  <c r="I183" i="11"/>
  <c r="B183" i="11"/>
  <c r="A183" i="11"/>
  <c r="H182" i="11"/>
  <c r="G182" i="11"/>
  <c r="F182" i="11"/>
  <c r="E182" i="11"/>
  <c r="D182" i="11"/>
  <c r="C182" i="11"/>
  <c r="I182" i="11"/>
  <c r="B182" i="11"/>
  <c r="A182" i="11"/>
  <c r="H181" i="11"/>
  <c r="G181" i="11"/>
  <c r="F181" i="11"/>
  <c r="E181" i="11"/>
  <c r="D181" i="11"/>
  <c r="C181" i="11"/>
  <c r="I181" i="11"/>
  <c r="B181" i="11"/>
  <c r="A181" i="11"/>
  <c r="H180" i="11"/>
  <c r="G180" i="11"/>
  <c r="F180" i="11"/>
  <c r="E180" i="11"/>
  <c r="D180" i="11"/>
  <c r="C180" i="11"/>
  <c r="I180" i="11"/>
  <c r="B180" i="11"/>
  <c r="A180" i="11"/>
  <c r="H179" i="11"/>
  <c r="G179" i="11"/>
  <c r="F179" i="11"/>
  <c r="E179" i="11"/>
  <c r="D179" i="11"/>
  <c r="C179" i="11"/>
  <c r="I179" i="11"/>
  <c r="B179" i="11"/>
  <c r="A179" i="11"/>
  <c r="H178" i="11"/>
  <c r="G178" i="11"/>
  <c r="F178" i="11"/>
  <c r="E178" i="11"/>
  <c r="D178" i="11"/>
  <c r="C178" i="11"/>
  <c r="I178" i="11"/>
  <c r="B178" i="11"/>
  <c r="A178" i="11"/>
  <c r="H177" i="11"/>
  <c r="G177" i="11"/>
  <c r="F177" i="11"/>
  <c r="E177" i="11"/>
  <c r="D177" i="11"/>
  <c r="C177" i="11"/>
  <c r="I177" i="11"/>
  <c r="B177" i="11"/>
  <c r="A177" i="11"/>
  <c r="H176" i="11"/>
  <c r="G176" i="11"/>
  <c r="F176" i="11"/>
  <c r="E176" i="11"/>
  <c r="D176" i="11"/>
  <c r="C176" i="11"/>
  <c r="I176" i="11"/>
  <c r="B176" i="11"/>
  <c r="A176" i="11"/>
  <c r="H175" i="11"/>
  <c r="G175" i="11"/>
  <c r="F175" i="11"/>
  <c r="E175" i="11"/>
  <c r="D175" i="11"/>
  <c r="C175" i="11"/>
  <c r="I175" i="11"/>
  <c r="B175" i="11"/>
  <c r="A175" i="11"/>
  <c r="H174" i="11"/>
  <c r="G174" i="11"/>
  <c r="F174" i="11"/>
  <c r="E174" i="11"/>
  <c r="D174" i="11"/>
  <c r="C174" i="11"/>
  <c r="I174" i="11"/>
  <c r="B174" i="11"/>
  <c r="A174" i="11"/>
  <c r="H173" i="11"/>
  <c r="G173" i="11"/>
  <c r="F173" i="11"/>
  <c r="E173" i="11"/>
  <c r="D173" i="11"/>
  <c r="C173" i="11"/>
  <c r="I173" i="11"/>
  <c r="B173" i="11"/>
  <c r="A173" i="11"/>
  <c r="H172" i="11"/>
  <c r="G172" i="11"/>
  <c r="F172" i="11"/>
  <c r="E172" i="11"/>
  <c r="D172" i="11"/>
  <c r="C172" i="11"/>
  <c r="I172" i="11"/>
  <c r="B172" i="11"/>
  <c r="A172" i="11"/>
  <c r="H171" i="11"/>
  <c r="G171" i="11"/>
  <c r="F171" i="11"/>
  <c r="E171" i="11"/>
  <c r="D171" i="11"/>
  <c r="C171" i="11"/>
  <c r="I171" i="11"/>
  <c r="B171" i="11"/>
  <c r="A171" i="11"/>
  <c r="H170" i="11"/>
  <c r="G170" i="11"/>
  <c r="F170" i="11"/>
  <c r="E170" i="11"/>
  <c r="D170" i="11"/>
  <c r="C170" i="11"/>
  <c r="I170" i="11"/>
  <c r="B170" i="11"/>
  <c r="A170" i="11"/>
  <c r="I19" i="19"/>
  <c r="G19" i="19"/>
  <c r="E19" i="19"/>
  <c r="I18" i="19"/>
  <c r="G18" i="19"/>
  <c r="E18" i="19"/>
  <c r="I17" i="19"/>
  <c r="G17" i="19"/>
  <c r="E17" i="19"/>
  <c r="I16" i="19"/>
  <c r="G16" i="19"/>
  <c r="E16" i="19"/>
  <c r="I15" i="19"/>
  <c r="G15" i="19"/>
  <c r="E15" i="19"/>
  <c r="I14" i="19"/>
  <c r="G14" i="19"/>
  <c r="E14" i="19"/>
  <c r="I13" i="19"/>
  <c r="G13" i="19"/>
  <c r="E13" i="19"/>
  <c r="I12" i="19"/>
  <c r="G12" i="19"/>
  <c r="E12" i="19"/>
  <c r="I11" i="19"/>
  <c r="G11" i="19"/>
  <c r="E11" i="19"/>
  <c r="I10" i="19"/>
  <c r="G10" i="19"/>
  <c r="E10" i="19"/>
  <c r="I9" i="19"/>
  <c r="G9" i="19"/>
  <c r="E9" i="19"/>
  <c r="I8" i="19"/>
  <c r="G8" i="19"/>
  <c r="E8" i="19"/>
  <c r="I7" i="19"/>
  <c r="G7" i="19"/>
  <c r="E7" i="19"/>
  <c r="I6" i="19"/>
  <c r="G6" i="19"/>
  <c r="E6" i="19"/>
  <c r="I5" i="19"/>
  <c r="G5" i="19"/>
  <c r="E5" i="19"/>
  <c r="H2197" i="11"/>
  <c r="G2197" i="11"/>
  <c r="F2197" i="11"/>
  <c r="E2197" i="11"/>
  <c r="D2197" i="11"/>
  <c r="C2197" i="11"/>
  <c r="I2197" i="11"/>
  <c r="B2197" i="11"/>
  <c r="A2197" i="11"/>
  <c r="H2196" i="11"/>
  <c r="G2196" i="11"/>
  <c r="F2196" i="11"/>
  <c r="E2196" i="11"/>
  <c r="D2196" i="11"/>
  <c r="C2196" i="11"/>
  <c r="I2196" i="11"/>
  <c r="B2196" i="11"/>
  <c r="A2196" i="11"/>
  <c r="H2195" i="11"/>
  <c r="G2195" i="11"/>
  <c r="F2195" i="11"/>
  <c r="E2195" i="11"/>
  <c r="D2195" i="11"/>
  <c r="C2195" i="11"/>
  <c r="I2195" i="11"/>
  <c r="B2195" i="11"/>
  <c r="A2195" i="11"/>
  <c r="H2194" i="11"/>
  <c r="G2194" i="11"/>
  <c r="F2194" i="11"/>
  <c r="E2194" i="11"/>
  <c r="D2194" i="11"/>
  <c r="C2194" i="11"/>
  <c r="I2194" i="11"/>
  <c r="B2194" i="11"/>
  <c r="A2194" i="11"/>
  <c r="H2193" i="11"/>
  <c r="G2193" i="11"/>
  <c r="F2193" i="11"/>
  <c r="E2193" i="11"/>
  <c r="D2193" i="11"/>
  <c r="C2193" i="11"/>
  <c r="I2193" i="11"/>
  <c r="B2193" i="11"/>
  <c r="A2193" i="11"/>
  <c r="H2192" i="11"/>
  <c r="G2192" i="11"/>
  <c r="F2192" i="11"/>
  <c r="E2192" i="11"/>
  <c r="D2192" i="11"/>
  <c r="C2192" i="11"/>
  <c r="I2192" i="11"/>
  <c r="B2192" i="11"/>
  <c r="A2192" i="11"/>
  <c r="H2191" i="11"/>
  <c r="G2191" i="11"/>
  <c r="F2191" i="11"/>
  <c r="E2191" i="11"/>
  <c r="D2191" i="11"/>
  <c r="C2191" i="11"/>
  <c r="I2191" i="11"/>
  <c r="B2191" i="11"/>
  <c r="A2191" i="11"/>
  <c r="H2190" i="11"/>
  <c r="G2190" i="11"/>
  <c r="F2190" i="11"/>
  <c r="E2190" i="11"/>
  <c r="D2190" i="11"/>
  <c r="C2190" i="11"/>
  <c r="I2190" i="11"/>
  <c r="B2190" i="11"/>
  <c r="A2190" i="11"/>
  <c r="H2189" i="11"/>
  <c r="G2189" i="11"/>
  <c r="F2189" i="11"/>
  <c r="E2189" i="11"/>
  <c r="D2189" i="11"/>
  <c r="C2189" i="11"/>
  <c r="I2189" i="11"/>
  <c r="B2189" i="11"/>
  <c r="A2189" i="11"/>
  <c r="H2188" i="11"/>
  <c r="G2188" i="11"/>
  <c r="F2188" i="11"/>
  <c r="E2188" i="11"/>
  <c r="D2188" i="11"/>
  <c r="C2188" i="11"/>
  <c r="I2188" i="11"/>
  <c r="B2188" i="11"/>
  <c r="A2188" i="11"/>
  <c r="H2187" i="11"/>
  <c r="G2187" i="11"/>
  <c r="F2187" i="11"/>
  <c r="E2187" i="11"/>
  <c r="D2187" i="11"/>
  <c r="C2187" i="11"/>
  <c r="I2187" i="11"/>
  <c r="B2187" i="11"/>
  <c r="A2187" i="11"/>
  <c r="H2186" i="11"/>
  <c r="G2186" i="11"/>
  <c r="F2186" i="11"/>
  <c r="E2186" i="11"/>
  <c r="D2186" i="11"/>
  <c r="C2186" i="11"/>
  <c r="I2186" i="11"/>
  <c r="B2186" i="11"/>
  <c r="A2186" i="11"/>
  <c r="K16" i="17"/>
  <c r="K15" i="17"/>
  <c r="K14" i="17"/>
  <c r="K13" i="17"/>
  <c r="K12" i="17"/>
  <c r="K11" i="17"/>
  <c r="K10" i="17"/>
  <c r="K9" i="17"/>
  <c r="K8" i="17"/>
  <c r="K7" i="17"/>
  <c r="K6" i="17"/>
  <c r="K5" i="17"/>
  <c r="A1775" i="11"/>
  <c r="B1775" i="11"/>
  <c r="C1775" i="11"/>
  <c r="D1775" i="11"/>
  <c r="E1775" i="11"/>
  <c r="A1776" i="11"/>
  <c r="B1776" i="11"/>
  <c r="C1776" i="11"/>
  <c r="D1776" i="11"/>
  <c r="E1776" i="11"/>
  <c r="A1777" i="11"/>
  <c r="B1777" i="11"/>
  <c r="C1777" i="11"/>
  <c r="D1777" i="11"/>
  <c r="E1777" i="11"/>
  <c r="A1778" i="11"/>
  <c r="B1778" i="11"/>
  <c r="C1778" i="11"/>
  <c r="D1778" i="11"/>
  <c r="E1778" i="11"/>
  <c r="A1779" i="11"/>
  <c r="B1779" i="11"/>
  <c r="C1779" i="11"/>
  <c r="D1779" i="11"/>
  <c r="E1779" i="11"/>
  <c r="A1780" i="11"/>
  <c r="B1780" i="11"/>
  <c r="C1780" i="11"/>
  <c r="D1780" i="11"/>
  <c r="E1780" i="11"/>
  <c r="A1783" i="11"/>
  <c r="B1783" i="11"/>
  <c r="C1783" i="11"/>
  <c r="D1783" i="11"/>
  <c r="E1783" i="11"/>
  <c r="A1792" i="11"/>
  <c r="B1792" i="11"/>
  <c r="C1792" i="11"/>
  <c r="D1792" i="11"/>
  <c r="E1792" i="11"/>
  <c r="A1793" i="11"/>
  <c r="B1793" i="11"/>
  <c r="C1793" i="11"/>
  <c r="D1793" i="11"/>
  <c r="E1793" i="11"/>
  <c r="A1794" i="11"/>
  <c r="B1794" i="11"/>
  <c r="C1794" i="11"/>
  <c r="D1794" i="11"/>
  <c r="E1794" i="11"/>
  <c r="A1795" i="11"/>
  <c r="B1795" i="11"/>
  <c r="C1795" i="11"/>
  <c r="D1795" i="11"/>
  <c r="E1795" i="11"/>
  <c r="A1796" i="11"/>
  <c r="B1796" i="11"/>
  <c r="C1796" i="11"/>
  <c r="D1796" i="11"/>
  <c r="E1796" i="11"/>
  <c r="E1774" i="11"/>
  <c r="D1774" i="11"/>
  <c r="C1774" i="11"/>
  <c r="B1774" i="11"/>
  <c r="A1774" i="11"/>
  <c r="A1764" i="11"/>
  <c r="B1764" i="11"/>
  <c r="C1764" i="11"/>
  <c r="D1764" i="11"/>
  <c r="E1764" i="11"/>
  <c r="A1765" i="11"/>
  <c r="B1765" i="11"/>
  <c r="C1765" i="11"/>
  <c r="D1765" i="11"/>
  <c r="E1765" i="11"/>
  <c r="A1766" i="11"/>
  <c r="B1766" i="11"/>
  <c r="C1766" i="11"/>
  <c r="D1766" i="11"/>
  <c r="E1766" i="11"/>
  <c r="A1767" i="11"/>
  <c r="B1767" i="11"/>
  <c r="C1767" i="11"/>
  <c r="D1767" i="11"/>
  <c r="E1767" i="11"/>
  <c r="A1768" i="11"/>
  <c r="B1768" i="11"/>
  <c r="C1768" i="11"/>
  <c r="D1768" i="11"/>
  <c r="E1768" i="11"/>
  <c r="A1769" i="11"/>
  <c r="B1769" i="11"/>
  <c r="C1769" i="11"/>
  <c r="D1769" i="11"/>
  <c r="E1769" i="11"/>
  <c r="A1770" i="11"/>
  <c r="B1770" i="11"/>
  <c r="C1770" i="11"/>
  <c r="D1770" i="11"/>
  <c r="E1770" i="11"/>
  <c r="A1773" i="11"/>
  <c r="B1773" i="11"/>
  <c r="C1773" i="11"/>
  <c r="D1773" i="11"/>
  <c r="E1773" i="11"/>
  <c r="A1739" i="11"/>
  <c r="B1739" i="11"/>
  <c r="C1739" i="11"/>
  <c r="D1739" i="11"/>
  <c r="E1739" i="11"/>
  <c r="A1740" i="11"/>
  <c r="B1740" i="11"/>
  <c r="C1740" i="11"/>
  <c r="D1740" i="11"/>
  <c r="E1740" i="11"/>
  <c r="A1741" i="11"/>
  <c r="B1741" i="11"/>
  <c r="C1741" i="11"/>
  <c r="D1741" i="11"/>
  <c r="E1741" i="11"/>
  <c r="A1742" i="11"/>
  <c r="B1742" i="11"/>
  <c r="C1742" i="11"/>
  <c r="D1742" i="11"/>
  <c r="E1742" i="11"/>
  <c r="A1743" i="11"/>
  <c r="B1743" i="11"/>
  <c r="C1743" i="11"/>
  <c r="D1743" i="11"/>
  <c r="E1743" i="11"/>
  <c r="A1725" i="11"/>
  <c r="B1725" i="11"/>
  <c r="C1725" i="11"/>
  <c r="D1725" i="11"/>
  <c r="E1725" i="11"/>
  <c r="A1726" i="11"/>
  <c r="B1726" i="11"/>
  <c r="C1726" i="11"/>
  <c r="D1726" i="11"/>
  <c r="E1726" i="11"/>
  <c r="A1727" i="11"/>
  <c r="B1727" i="11"/>
  <c r="C1727" i="11"/>
  <c r="D1727" i="11"/>
  <c r="E1727" i="11"/>
  <c r="A1728" i="11"/>
  <c r="B1728" i="11"/>
  <c r="C1728" i="11"/>
  <c r="D1728" i="11"/>
  <c r="E1728" i="11"/>
  <c r="A1729" i="11"/>
  <c r="B1729" i="11"/>
  <c r="C1729" i="11"/>
  <c r="D1729" i="11"/>
  <c r="E1729" i="11"/>
  <c r="A1730" i="11"/>
  <c r="B1730" i="11"/>
  <c r="C1730" i="11"/>
  <c r="D1730" i="11"/>
  <c r="E1730" i="11"/>
  <c r="A1731" i="11"/>
  <c r="B1731" i="11"/>
  <c r="C1731" i="11"/>
  <c r="D1731" i="11"/>
  <c r="E1731" i="11"/>
  <c r="A1732" i="11"/>
  <c r="B1732" i="11"/>
  <c r="C1732" i="11"/>
  <c r="D1732" i="11"/>
  <c r="E1732" i="11"/>
  <c r="A1733" i="11"/>
  <c r="B1733" i="11"/>
  <c r="C1733" i="11"/>
  <c r="D1733" i="11"/>
  <c r="E1733" i="11"/>
  <c r="A1734" i="11"/>
  <c r="B1734" i="11"/>
  <c r="C1734" i="11"/>
  <c r="D1734" i="11"/>
  <c r="E1734" i="11"/>
  <c r="A1735" i="11"/>
  <c r="B1735" i="11"/>
  <c r="C1735" i="11"/>
  <c r="D1735" i="11"/>
  <c r="E1735" i="11"/>
  <c r="A1736" i="11"/>
  <c r="B1736" i="11"/>
  <c r="C1736" i="11"/>
  <c r="D1736" i="11"/>
  <c r="E1736" i="11"/>
  <c r="A1737" i="11"/>
  <c r="B1737" i="11"/>
  <c r="C1737" i="11"/>
  <c r="D1737" i="11"/>
  <c r="E1737" i="11"/>
  <c r="A1738" i="11"/>
  <c r="B1738" i="11"/>
  <c r="C1738" i="11"/>
  <c r="D1738" i="11"/>
  <c r="E1738" i="11"/>
  <c r="E1724" i="11"/>
  <c r="D1724" i="11"/>
  <c r="C1724" i="11"/>
  <c r="B1724" i="11"/>
  <c r="A1724" i="11"/>
  <c r="A1745" i="11"/>
  <c r="B1745" i="11"/>
  <c r="C1745" i="11"/>
  <c r="D1745" i="11"/>
  <c r="E1745" i="11"/>
  <c r="A1746" i="11"/>
  <c r="B1746" i="11"/>
  <c r="C1746" i="11"/>
  <c r="D1746" i="11"/>
  <c r="E1746" i="11"/>
  <c r="A1747" i="11"/>
  <c r="B1747" i="11"/>
  <c r="C1747" i="11"/>
  <c r="D1747" i="11"/>
  <c r="E1747" i="11"/>
  <c r="A1748" i="11"/>
  <c r="B1748" i="11"/>
  <c r="C1748" i="11"/>
  <c r="D1748" i="11"/>
  <c r="E1748" i="11"/>
  <c r="A1749" i="11"/>
  <c r="B1749" i="11"/>
  <c r="C1749" i="11"/>
  <c r="D1749" i="11"/>
  <c r="E1749" i="11"/>
  <c r="A1750" i="11"/>
  <c r="B1750" i="11"/>
  <c r="C1750" i="11"/>
  <c r="D1750" i="11"/>
  <c r="E1750" i="11"/>
  <c r="A1751" i="11"/>
  <c r="B1751" i="11"/>
  <c r="C1751" i="11"/>
  <c r="D1751" i="11"/>
  <c r="E1751" i="11"/>
  <c r="A1752" i="11"/>
  <c r="B1752" i="11"/>
  <c r="C1752" i="11"/>
  <c r="D1752" i="11"/>
  <c r="E1752" i="11"/>
  <c r="A1753" i="11"/>
  <c r="B1753" i="11"/>
  <c r="C1753" i="11"/>
  <c r="D1753" i="11"/>
  <c r="E1753" i="11"/>
  <c r="A1754" i="11"/>
  <c r="B1754" i="11"/>
  <c r="C1754" i="11"/>
  <c r="D1754" i="11"/>
  <c r="E1754" i="11"/>
  <c r="A1755" i="11"/>
  <c r="B1755" i="11"/>
  <c r="C1755" i="11"/>
  <c r="D1755" i="11"/>
  <c r="E1755" i="11"/>
  <c r="A1756" i="11"/>
  <c r="B1756" i="11"/>
  <c r="C1756" i="11"/>
  <c r="D1756" i="11"/>
  <c r="E1756" i="11"/>
  <c r="A1757" i="11"/>
  <c r="B1757" i="11"/>
  <c r="C1757" i="11"/>
  <c r="D1757" i="11"/>
  <c r="E1757" i="11"/>
  <c r="A1758" i="11"/>
  <c r="B1758" i="11"/>
  <c r="C1758" i="11"/>
  <c r="D1758" i="11"/>
  <c r="E1758" i="11"/>
  <c r="A1759" i="11"/>
  <c r="B1759" i="11"/>
  <c r="C1759" i="11"/>
  <c r="D1759" i="11"/>
  <c r="E1759" i="11"/>
  <c r="A1760" i="11"/>
  <c r="B1760" i="11"/>
  <c r="C1760" i="11"/>
  <c r="D1760" i="11"/>
  <c r="E1760" i="11"/>
  <c r="A1761" i="11"/>
  <c r="B1761" i="11"/>
  <c r="C1761" i="11"/>
  <c r="D1761" i="11"/>
  <c r="E1761" i="11"/>
  <c r="A1762" i="11"/>
  <c r="B1762" i="11"/>
  <c r="C1762" i="11"/>
  <c r="D1762" i="11"/>
  <c r="E1762" i="11"/>
  <c r="A1763" i="11"/>
  <c r="B1763" i="11"/>
  <c r="C1763" i="11"/>
  <c r="D1763" i="11"/>
  <c r="E1763" i="11"/>
  <c r="E1744" i="11"/>
  <c r="D1744" i="11"/>
  <c r="C1744" i="11"/>
  <c r="B1744" i="11"/>
  <c r="A1744" i="11"/>
  <c r="A1720" i="11"/>
  <c r="B1720" i="11"/>
  <c r="C1720" i="11"/>
  <c r="D1720" i="11"/>
  <c r="E1720" i="11"/>
  <c r="A1721" i="11"/>
  <c r="B1721" i="11"/>
  <c r="C1721" i="11"/>
  <c r="D1721" i="11"/>
  <c r="E1721" i="11"/>
  <c r="A1722" i="11"/>
  <c r="B1722" i="11"/>
  <c r="C1722" i="11"/>
  <c r="D1722" i="11"/>
  <c r="E1722" i="11"/>
  <c r="A1723" i="11"/>
  <c r="B1723" i="11"/>
  <c r="C1723" i="11"/>
  <c r="D1723" i="11"/>
  <c r="E1723" i="11"/>
  <c r="A1705" i="11"/>
  <c r="B1705" i="11"/>
  <c r="C1705" i="11"/>
  <c r="D1705" i="11"/>
  <c r="E1705" i="11"/>
  <c r="A1706" i="11"/>
  <c r="B1706" i="11"/>
  <c r="C1706" i="11"/>
  <c r="D1706" i="11"/>
  <c r="E1706" i="11"/>
  <c r="A1707" i="11"/>
  <c r="B1707" i="11"/>
  <c r="C1707" i="11"/>
  <c r="D1707" i="11"/>
  <c r="E1707" i="11"/>
  <c r="A1708" i="11"/>
  <c r="B1708" i="11"/>
  <c r="C1708" i="11"/>
  <c r="D1708" i="11"/>
  <c r="E1708" i="11"/>
  <c r="A1709" i="11"/>
  <c r="B1709" i="11"/>
  <c r="C1709" i="11"/>
  <c r="D1709" i="11"/>
  <c r="E1709" i="11"/>
  <c r="A1710" i="11"/>
  <c r="B1710" i="11"/>
  <c r="C1710" i="11"/>
  <c r="D1710" i="11"/>
  <c r="E1710" i="11"/>
  <c r="A1711" i="11"/>
  <c r="B1711" i="11"/>
  <c r="C1711" i="11"/>
  <c r="D1711" i="11"/>
  <c r="E1711" i="11"/>
  <c r="A1712" i="11"/>
  <c r="B1712" i="11"/>
  <c r="C1712" i="11"/>
  <c r="D1712" i="11"/>
  <c r="E1712" i="11"/>
  <c r="A1713" i="11"/>
  <c r="B1713" i="11"/>
  <c r="C1713" i="11"/>
  <c r="D1713" i="11"/>
  <c r="E1713" i="11"/>
  <c r="A1714" i="11"/>
  <c r="B1714" i="11"/>
  <c r="C1714" i="11"/>
  <c r="D1714" i="11"/>
  <c r="E1714" i="11"/>
  <c r="A1715" i="11"/>
  <c r="B1715" i="11"/>
  <c r="C1715" i="11"/>
  <c r="D1715" i="11"/>
  <c r="E1715" i="11"/>
  <c r="A1716" i="11"/>
  <c r="B1716" i="11"/>
  <c r="C1716" i="11"/>
  <c r="D1716" i="11"/>
  <c r="E1716" i="11"/>
  <c r="A1717" i="11"/>
  <c r="B1717" i="11"/>
  <c r="C1717" i="11"/>
  <c r="D1717" i="11"/>
  <c r="E1717" i="11"/>
  <c r="A1718" i="11"/>
  <c r="B1718" i="11"/>
  <c r="C1718" i="11"/>
  <c r="D1718" i="11"/>
  <c r="E1718" i="11"/>
  <c r="A1719" i="11"/>
  <c r="B1719" i="11"/>
  <c r="C1719" i="11"/>
  <c r="D1719" i="11"/>
  <c r="E1719" i="11"/>
  <c r="D1704" i="11"/>
  <c r="C1704" i="11"/>
  <c r="B1704" i="11"/>
  <c r="E1704" i="11"/>
  <c r="A1704" i="11"/>
  <c r="A1695" i="11"/>
  <c r="B1695" i="11"/>
  <c r="C1695" i="11"/>
  <c r="D1695" i="11"/>
  <c r="E1695" i="11"/>
  <c r="A1696" i="11"/>
  <c r="B1696" i="11"/>
  <c r="C1696" i="11"/>
  <c r="D1696" i="11"/>
  <c r="E1696" i="11"/>
  <c r="A1697" i="11"/>
  <c r="B1697" i="11"/>
  <c r="C1697" i="11"/>
  <c r="D1697" i="11"/>
  <c r="E1697" i="11"/>
  <c r="A1698" i="11"/>
  <c r="B1698" i="11"/>
  <c r="C1698" i="11"/>
  <c r="D1698" i="11"/>
  <c r="E1698" i="11"/>
  <c r="A1699" i="11"/>
  <c r="B1699" i="11"/>
  <c r="C1699" i="11"/>
  <c r="D1699" i="11"/>
  <c r="E1699" i="11"/>
  <c r="A1700" i="11"/>
  <c r="B1700" i="11"/>
  <c r="C1700" i="11"/>
  <c r="D1700" i="11"/>
  <c r="E1700" i="11"/>
  <c r="A1701" i="11"/>
  <c r="B1701" i="11"/>
  <c r="C1701" i="11"/>
  <c r="D1701" i="11"/>
  <c r="E1701" i="11"/>
  <c r="A1702" i="11"/>
  <c r="B1702" i="11"/>
  <c r="C1702" i="11"/>
  <c r="D1702" i="11"/>
  <c r="E1702" i="11"/>
  <c r="A1703" i="11"/>
  <c r="B1703" i="11"/>
  <c r="C1703" i="11"/>
  <c r="D1703" i="11"/>
  <c r="E1703" i="11"/>
  <c r="A1685" i="11"/>
  <c r="B1685" i="11"/>
  <c r="C1685" i="11"/>
  <c r="D1685" i="11"/>
  <c r="E1685" i="11"/>
  <c r="A1686" i="11"/>
  <c r="B1686" i="11"/>
  <c r="C1686" i="11"/>
  <c r="D1686" i="11"/>
  <c r="E1686" i="11"/>
  <c r="A1687" i="11"/>
  <c r="B1687" i="11"/>
  <c r="C1687" i="11"/>
  <c r="D1687" i="11"/>
  <c r="E1687" i="11"/>
  <c r="A1688" i="11"/>
  <c r="B1688" i="11"/>
  <c r="C1688" i="11"/>
  <c r="D1688" i="11"/>
  <c r="E1688" i="11"/>
  <c r="A1689" i="11"/>
  <c r="B1689" i="11"/>
  <c r="C1689" i="11"/>
  <c r="D1689" i="11"/>
  <c r="E1689" i="11"/>
  <c r="A1690" i="11"/>
  <c r="B1690" i="11"/>
  <c r="C1690" i="11"/>
  <c r="D1690" i="11"/>
  <c r="E1690" i="11"/>
  <c r="A1691" i="11"/>
  <c r="B1691" i="11"/>
  <c r="C1691" i="11"/>
  <c r="D1691" i="11"/>
  <c r="E1691" i="11"/>
  <c r="A1692" i="11"/>
  <c r="B1692" i="11"/>
  <c r="C1692" i="11"/>
  <c r="D1692" i="11"/>
  <c r="E1692" i="11"/>
  <c r="A1693" i="11"/>
  <c r="B1693" i="11"/>
  <c r="C1693" i="11"/>
  <c r="D1693" i="11"/>
  <c r="E1693" i="11"/>
  <c r="A1694" i="11"/>
  <c r="B1694" i="11"/>
  <c r="C1694" i="11"/>
  <c r="D1694" i="11"/>
  <c r="E1694" i="11"/>
  <c r="E1684" i="11"/>
  <c r="D1684" i="11"/>
  <c r="C1684" i="11"/>
  <c r="B1684" i="11"/>
  <c r="A1684" i="11"/>
  <c r="M1" i="31"/>
  <c r="F84" i="29"/>
  <c r="E84" i="29"/>
  <c r="M77" i="29"/>
  <c r="L77" i="29"/>
  <c r="F83" i="29"/>
  <c r="E83" i="29"/>
  <c r="M76" i="29"/>
  <c r="L76" i="29"/>
  <c r="F82" i="29"/>
  <c r="E82" i="29"/>
  <c r="M75" i="29"/>
  <c r="L75" i="29"/>
  <c r="F81" i="29"/>
  <c r="E81" i="29"/>
  <c r="M74" i="29"/>
  <c r="L74" i="29"/>
  <c r="F80" i="29"/>
  <c r="E80" i="29"/>
  <c r="M73" i="29"/>
  <c r="L73" i="29"/>
  <c r="M70" i="29"/>
  <c r="L70" i="29"/>
  <c r="F70" i="29"/>
  <c r="E70" i="29"/>
  <c r="M67" i="29"/>
  <c r="L67" i="29"/>
  <c r="F67" i="29"/>
  <c r="E67" i="29"/>
  <c r="M66" i="29"/>
  <c r="L66" i="29"/>
  <c r="F66" i="29"/>
  <c r="E66" i="29"/>
  <c r="M65" i="29"/>
  <c r="L65" i="29"/>
  <c r="F65" i="29"/>
  <c r="E65" i="29"/>
  <c r="M64" i="29"/>
  <c r="L64" i="29"/>
  <c r="F64" i="29"/>
  <c r="E64" i="29"/>
  <c r="M63" i="29"/>
  <c r="L63" i="29"/>
  <c r="F63" i="29"/>
  <c r="E63" i="29"/>
  <c r="M62" i="29"/>
  <c r="L62" i="29"/>
  <c r="F62" i="29"/>
  <c r="E62" i="29"/>
  <c r="M61" i="29"/>
  <c r="L61" i="29"/>
  <c r="F61" i="29"/>
  <c r="E61" i="29"/>
  <c r="M58" i="29"/>
  <c r="L58" i="29"/>
  <c r="F58" i="29"/>
  <c r="E58" i="29"/>
  <c r="M57" i="29"/>
  <c r="L57" i="29"/>
  <c r="F57" i="29"/>
  <c r="E57" i="29"/>
  <c r="M56" i="29"/>
  <c r="L56" i="29"/>
  <c r="F56" i="29"/>
  <c r="E56" i="29"/>
  <c r="M55" i="29"/>
  <c r="L55" i="29"/>
  <c r="F55" i="29"/>
  <c r="E55" i="29"/>
  <c r="M54" i="29"/>
  <c r="L54" i="29"/>
  <c r="F54" i="29"/>
  <c r="E54" i="29"/>
  <c r="M53" i="29"/>
  <c r="L53" i="29"/>
  <c r="F53" i="29"/>
  <c r="E53" i="29"/>
  <c r="M52" i="29"/>
  <c r="L52" i="29"/>
  <c r="F52" i="29"/>
  <c r="E52" i="29"/>
  <c r="M51" i="29"/>
  <c r="L51" i="29"/>
  <c r="F51" i="29"/>
  <c r="E51" i="29"/>
  <c r="M50" i="29"/>
  <c r="L50" i="29"/>
  <c r="F50" i="29"/>
  <c r="E50" i="29"/>
  <c r="M49" i="29"/>
  <c r="L49" i="29"/>
  <c r="F49" i="29"/>
  <c r="E49" i="29"/>
  <c r="M48" i="29"/>
  <c r="L48" i="29"/>
  <c r="F48" i="29"/>
  <c r="E48" i="29"/>
  <c r="M47" i="29"/>
  <c r="L47" i="29"/>
  <c r="F47" i="29"/>
  <c r="E47" i="29"/>
  <c r="M46" i="29"/>
  <c r="L46" i="29"/>
  <c r="F46" i="29"/>
  <c r="E46" i="29"/>
  <c r="M45" i="29"/>
  <c r="L45" i="29"/>
  <c r="F45" i="29"/>
  <c r="E45" i="29"/>
  <c r="M44" i="29"/>
  <c r="L44" i="29"/>
  <c r="F44" i="29"/>
  <c r="E44" i="29"/>
  <c r="M43" i="29"/>
  <c r="L43" i="29"/>
  <c r="F43" i="29"/>
  <c r="E43" i="29"/>
  <c r="M42" i="29"/>
  <c r="L42" i="29"/>
  <c r="F42" i="29"/>
  <c r="E42" i="29"/>
  <c r="M41" i="29"/>
  <c r="L41" i="29"/>
  <c r="F41" i="29"/>
  <c r="E41" i="29"/>
  <c r="M40" i="29"/>
  <c r="L40" i="29"/>
  <c r="F40" i="29"/>
  <c r="E40" i="29"/>
  <c r="M39" i="29"/>
  <c r="L39" i="29"/>
  <c r="F39" i="29"/>
  <c r="E39" i="29"/>
  <c r="M36" i="29"/>
  <c r="L36" i="29"/>
  <c r="F36" i="29"/>
  <c r="E36" i="29"/>
  <c r="M35" i="29"/>
  <c r="L35" i="29"/>
  <c r="F35" i="29"/>
  <c r="E35" i="29"/>
  <c r="M34" i="29"/>
  <c r="L34" i="29"/>
  <c r="F34" i="29"/>
  <c r="E34" i="29"/>
  <c r="M33" i="29"/>
  <c r="L33" i="29"/>
  <c r="F33" i="29"/>
  <c r="E33" i="29"/>
  <c r="M32" i="29"/>
  <c r="L32" i="29"/>
  <c r="F32" i="29"/>
  <c r="E32" i="29"/>
  <c r="M31" i="29"/>
  <c r="L31" i="29"/>
  <c r="F31" i="29"/>
  <c r="E31" i="29"/>
  <c r="M30" i="29"/>
  <c r="L30" i="29"/>
  <c r="F30" i="29"/>
  <c r="E30" i="29"/>
  <c r="M29" i="29"/>
  <c r="L29" i="29"/>
  <c r="F29" i="29"/>
  <c r="E29" i="29"/>
  <c r="M28" i="29"/>
  <c r="L28" i="29"/>
  <c r="F28" i="29"/>
  <c r="E28" i="29"/>
  <c r="M27" i="29"/>
  <c r="L27" i="29"/>
  <c r="F27" i="29"/>
  <c r="E27" i="29"/>
  <c r="M26" i="29"/>
  <c r="L26" i="29"/>
  <c r="F26" i="29"/>
  <c r="E26" i="29"/>
  <c r="M25" i="29"/>
  <c r="L25" i="29"/>
  <c r="F25" i="29"/>
  <c r="E25" i="29"/>
  <c r="M24" i="29"/>
  <c r="L24" i="29"/>
  <c r="F24" i="29"/>
  <c r="E24" i="29"/>
  <c r="M23" i="29"/>
  <c r="L23" i="29"/>
  <c r="F23" i="29"/>
  <c r="E23" i="29"/>
  <c r="M22" i="29"/>
  <c r="L22" i="29"/>
  <c r="F22" i="29"/>
  <c r="E22" i="29"/>
  <c r="M21" i="29"/>
  <c r="L21" i="29"/>
  <c r="F21" i="29"/>
  <c r="E21" i="29"/>
  <c r="M20" i="29"/>
  <c r="L20" i="29"/>
  <c r="F20" i="29"/>
  <c r="E20" i="29"/>
  <c r="M19" i="29"/>
  <c r="L19" i="29"/>
  <c r="F19" i="29"/>
  <c r="E19" i="29"/>
  <c r="M18" i="29"/>
  <c r="L18" i="29"/>
  <c r="F18" i="29"/>
  <c r="E18" i="29"/>
  <c r="M17" i="29"/>
  <c r="L17" i="29"/>
  <c r="F17" i="29"/>
  <c r="E17" i="29"/>
  <c r="M1" i="29"/>
  <c r="C27" i="11"/>
  <c r="H27" i="11"/>
  <c r="G27" i="11"/>
  <c r="F27" i="11"/>
  <c r="E27" i="11"/>
  <c r="D27" i="11"/>
  <c r="B27" i="11"/>
  <c r="A27" i="11"/>
  <c r="C26" i="11"/>
  <c r="H26" i="11"/>
  <c r="G26" i="11"/>
  <c r="F26" i="11"/>
  <c r="E26" i="11"/>
  <c r="D26" i="11"/>
  <c r="B26" i="11"/>
  <c r="A26" i="11"/>
  <c r="C25" i="11"/>
  <c r="H25" i="11"/>
  <c r="G25" i="11"/>
  <c r="F25" i="11"/>
  <c r="E25" i="11"/>
  <c r="D25" i="11"/>
  <c r="B25" i="11"/>
  <c r="A25" i="11"/>
  <c r="C24" i="11"/>
  <c r="H24" i="11"/>
  <c r="G24" i="11"/>
  <c r="F24" i="11"/>
  <c r="E24" i="11"/>
  <c r="D24" i="11"/>
  <c r="B24" i="11"/>
  <c r="A24" i="11"/>
  <c r="C23" i="11"/>
  <c r="H23" i="11"/>
  <c r="G23" i="11"/>
  <c r="F23" i="11"/>
  <c r="E23" i="11"/>
  <c r="D23" i="11"/>
  <c r="B23" i="11"/>
  <c r="A23" i="11"/>
  <c r="C22" i="11"/>
  <c r="H22" i="11"/>
  <c r="G22" i="11"/>
  <c r="F22" i="11"/>
  <c r="E22" i="11"/>
  <c r="D22" i="11"/>
  <c r="B22" i="11"/>
  <c r="A22" i="11"/>
  <c r="C150" i="11"/>
  <c r="G150" i="11"/>
  <c r="F150" i="11"/>
  <c r="E150" i="11"/>
  <c r="D150" i="11"/>
  <c r="B150" i="11"/>
  <c r="A150" i="11"/>
  <c r="C149" i="11"/>
  <c r="G149" i="11"/>
  <c r="F149" i="11"/>
  <c r="E149" i="11"/>
  <c r="D149" i="11"/>
  <c r="B149" i="11"/>
  <c r="A149" i="11"/>
  <c r="C148" i="11"/>
  <c r="G148" i="11"/>
  <c r="F148" i="11"/>
  <c r="E148" i="11"/>
  <c r="D148" i="11"/>
  <c r="B148" i="11"/>
  <c r="A148" i="11"/>
  <c r="C147" i="11"/>
  <c r="G147" i="11"/>
  <c r="F147" i="11"/>
  <c r="E147" i="11"/>
  <c r="D147" i="11"/>
  <c r="B147" i="11"/>
  <c r="A147" i="11"/>
  <c r="C138" i="11"/>
  <c r="G138" i="11"/>
  <c r="F138" i="11"/>
  <c r="E138" i="11"/>
  <c r="D138" i="11"/>
  <c r="B138" i="11"/>
  <c r="A138" i="11"/>
  <c r="C137" i="11"/>
  <c r="G137" i="11"/>
  <c r="F137" i="11"/>
  <c r="E137" i="11"/>
  <c r="D137" i="11"/>
  <c r="B137" i="11"/>
  <c r="A137" i="11"/>
  <c r="C136" i="11"/>
  <c r="G136" i="11"/>
  <c r="F136" i="11"/>
  <c r="E136" i="11"/>
  <c r="D136" i="11"/>
  <c r="B136" i="11"/>
  <c r="A136" i="11"/>
  <c r="C135" i="11"/>
  <c r="G135" i="11"/>
  <c r="F135" i="11"/>
  <c r="E135" i="11"/>
  <c r="D135" i="11"/>
  <c r="B135" i="11"/>
  <c r="A135" i="11"/>
  <c r="C134" i="11"/>
  <c r="G134" i="11"/>
  <c r="F134" i="11"/>
  <c r="E134" i="11"/>
  <c r="D134" i="11"/>
  <c r="B134" i="11"/>
  <c r="A134" i="11"/>
  <c r="C133" i="11"/>
  <c r="G133" i="11"/>
  <c r="F133" i="11"/>
  <c r="E133" i="11"/>
  <c r="D133" i="11"/>
  <c r="B133" i="11"/>
  <c r="A133" i="11"/>
  <c r="C132" i="11"/>
  <c r="G132" i="11"/>
  <c r="F132" i="11"/>
  <c r="E132" i="11"/>
  <c r="D132" i="11"/>
  <c r="B132" i="11"/>
  <c r="A132" i="11"/>
  <c r="C72" i="11"/>
  <c r="H72" i="11"/>
  <c r="G72" i="11"/>
  <c r="F72" i="11"/>
  <c r="E72" i="11"/>
  <c r="D72" i="11"/>
  <c r="B72" i="11"/>
  <c r="A72" i="11"/>
  <c r="C71" i="11"/>
  <c r="H71" i="11"/>
  <c r="G71" i="11"/>
  <c r="F71" i="11"/>
  <c r="E71" i="11"/>
  <c r="D71" i="11"/>
  <c r="B71" i="11"/>
  <c r="A71" i="11"/>
  <c r="C211" i="11"/>
  <c r="H211" i="11"/>
  <c r="G211" i="11"/>
  <c r="F211" i="11"/>
  <c r="E211" i="11"/>
  <c r="D211" i="11"/>
  <c r="B211" i="11"/>
  <c r="A211" i="11"/>
  <c r="C210" i="11"/>
  <c r="H210" i="11"/>
  <c r="G210" i="11"/>
  <c r="F210" i="11"/>
  <c r="E210" i="11"/>
  <c r="D210" i="11"/>
  <c r="B210" i="11"/>
  <c r="A210" i="11"/>
  <c r="C209" i="11"/>
  <c r="H209" i="11"/>
  <c r="G209" i="11"/>
  <c r="F209" i="11"/>
  <c r="E209" i="11"/>
  <c r="D209" i="11"/>
  <c r="B209" i="11"/>
  <c r="A209" i="11"/>
  <c r="C208" i="11"/>
  <c r="H208" i="11"/>
  <c r="G208" i="11"/>
  <c r="F208" i="11"/>
  <c r="E208" i="11"/>
  <c r="D208" i="11"/>
  <c r="B208" i="11"/>
  <c r="A208" i="11"/>
  <c r="C199" i="11"/>
  <c r="H199" i="11"/>
  <c r="G199" i="11"/>
  <c r="F199" i="11"/>
  <c r="E199" i="11"/>
  <c r="D199" i="11"/>
  <c r="B199" i="11"/>
  <c r="A199" i="11"/>
  <c r="C198" i="11"/>
  <c r="H198" i="11"/>
  <c r="G198" i="11"/>
  <c r="F198" i="11"/>
  <c r="E198" i="11"/>
  <c r="D198" i="11"/>
  <c r="B198" i="11"/>
  <c r="A198" i="11"/>
  <c r="C197" i="11"/>
  <c r="H197" i="11"/>
  <c r="G197" i="11"/>
  <c r="F197" i="11"/>
  <c r="E197" i="11"/>
  <c r="D197" i="11"/>
  <c r="B197" i="11"/>
  <c r="A197" i="11"/>
  <c r="C196" i="11"/>
  <c r="H196" i="11"/>
  <c r="G196" i="11"/>
  <c r="F196" i="11"/>
  <c r="E196" i="11"/>
  <c r="D196" i="11"/>
  <c r="B196" i="11"/>
  <c r="A196" i="11"/>
  <c r="C195" i="11"/>
  <c r="H195" i="11"/>
  <c r="G195" i="11"/>
  <c r="F195" i="11"/>
  <c r="E195" i="11"/>
  <c r="D195" i="11"/>
  <c r="B195" i="11"/>
  <c r="A195" i="11"/>
  <c r="C194" i="11"/>
  <c r="H194" i="11"/>
  <c r="G194" i="11"/>
  <c r="F194" i="11"/>
  <c r="E194" i="11"/>
  <c r="D194" i="11"/>
  <c r="B194" i="11"/>
  <c r="A194" i="11"/>
  <c r="C193" i="11"/>
  <c r="H193" i="11"/>
  <c r="G193" i="11"/>
  <c r="F193" i="11"/>
  <c r="E193" i="11"/>
  <c r="D193" i="11"/>
  <c r="B193" i="11"/>
  <c r="A193" i="11"/>
  <c r="C2219" i="11"/>
  <c r="H2219" i="11"/>
  <c r="G2219" i="11"/>
  <c r="F2219" i="11"/>
  <c r="E2219" i="11"/>
  <c r="D2219" i="11"/>
  <c r="B2219" i="11"/>
  <c r="A2219" i="11"/>
  <c r="C2218" i="11"/>
  <c r="H2218" i="11"/>
  <c r="G2218" i="11"/>
  <c r="F2218" i="11"/>
  <c r="E2218" i="11"/>
  <c r="D2218" i="11"/>
  <c r="B2218" i="11"/>
  <c r="A2218" i="11"/>
  <c r="C2209" i="11"/>
  <c r="H2209" i="11"/>
  <c r="G2209" i="11"/>
  <c r="F2209" i="11"/>
  <c r="E2209" i="11"/>
  <c r="D2209" i="11"/>
  <c r="B2209" i="11"/>
  <c r="A2209" i="11"/>
  <c r="C2208" i="11"/>
  <c r="H2208" i="11"/>
  <c r="G2208" i="11"/>
  <c r="F2208" i="11"/>
  <c r="E2208" i="11"/>
  <c r="D2208" i="11"/>
  <c r="B2208" i="11"/>
  <c r="A2208" i="11"/>
  <c r="C2207" i="11"/>
  <c r="H2207" i="11"/>
  <c r="G2207" i="11"/>
  <c r="F2207" i="11"/>
  <c r="E2207" i="11"/>
  <c r="D2207" i="11"/>
  <c r="B2207" i="11"/>
  <c r="A2207" i="11"/>
  <c r="C2206" i="11"/>
  <c r="H2206" i="11"/>
  <c r="G2206" i="11"/>
  <c r="F2206" i="11"/>
  <c r="E2206" i="11"/>
  <c r="D2206" i="11"/>
  <c r="B2206" i="11"/>
  <c r="C1846" i="11"/>
  <c r="E1846" i="11"/>
  <c r="D1846" i="11"/>
  <c r="B1846" i="11"/>
  <c r="A1846" i="11"/>
  <c r="C1845" i="11"/>
  <c r="E1845" i="11"/>
  <c r="D1845" i="11"/>
  <c r="B1845" i="11"/>
  <c r="A1845" i="11"/>
  <c r="C1844" i="11"/>
  <c r="E1844" i="11"/>
  <c r="D1844" i="11"/>
  <c r="B1844" i="11"/>
  <c r="A1844" i="11"/>
  <c r="C1843" i="11"/>
  <c r="E1843" i="11"/>
  <c r="D1843" i="11"/>
  <c r="B1843" i="11"/>
  <c r="A1843" i="11"/>
  <c r="C1842" i="11"/>
  <c r="E1842" i="11"/>
  <c r="D1842" i="11"/>
  <c r="B1842" i="11"/>
  <c r="A1842" i="11"/>
  <c r="C1841" i="11"/>
  <c r="E1841" i="11"/>
  <c r="D1841" i="11"/>
  <c r="B1841" i="11"/>
  <c r="A1841" i="11"/>
  <c r="C1840" i="11"/>
  <c r="E1840" i="11"/>
  <c r="D1840" i="11"/>
  <c r="B1840" i="11"/>
  <c r="A1840" i="11"/>
  <c r="C1839" i="11"/>
  <c r="E1839" i="11"/>
  <c r="D1839" i="11"/>
  <c r="B1839" i="11"/>
  <c r="A1839" i="11"/>
  <c r="C1838" i="11"/>
  <c r="E1838" i="11"/>
  <c r="D1838" i="11"/>
  <c r="B1838" i="11"/>
  <c r="A1838" i="11"/>
  <c r="C1837" i="11"/>
  <c r="E1837" i="11"/>
  <c r="D1837" i="11"/>
  <c r="B1837" i="11"/>
  <c r="A1837" i="11"/>
  <c r="C1836" i="11"/>
  <c r="E1836" i="11"/>
  <c r="D1836" i="11"/>
  <c r="B1836" i="11"/>
  <c r="A1836" i="11"/>
  <c r="C1835" i="11"/>
  <c r="E1835" i="11"/>
  <c r="D1835" i="11"/>
  <c r="B1835" i="11"/>
  <c r="A1835" i="11"/>
  <c r="C1886" i="11"/>
  <c r="E1886" i="11"/>
  <c r="D1886" i="11"/>
  <c r="B1886" i="11"/>
  <c r="A1886" i="11"/>
  <c r="C1885" i="11"/>
  <c r="E1885" i="11"/>
  <c r="D1885" i="11"/>
  <c r="B1885" i="11"/>
  <c r="A1885" i="11"/>
  <c r="C1884" i="11"/>
  <c r="E1884" i="11"/>
  <c r="D1884" i="11"/>
  <c r="B1884" i="11"/>
  <c r="A1884" i="11"/>
  <c r="C1883" i="11"/>
  <c r="E1883" i="11"/>
  <c r="D1883" i="11"/>
  <c r="B1883" i="11"/>
  <c r="A1883" i="11"/>
  <c r="C1882" i="11"/>
  <c r="E1882" i="11"/>
  <c r="D1882" i="11"/>
  <c r="B1882" i="11"/>
  <c r="A1882" i="11"/>
  <c r="C1881" i="11"/>
  <c r="E1881" i="11"/>
  <c r="D1881" i="11"/>
  <c r="B1881" i="11"/>
  <c r="A1881" i="11"/>
  <c r="C1880" i="11"/>
  <c r="E1880" i="11"/>
  <c r="D1880" i="11"/>
  <c r="B1880" i="11"/>
  <c r="A1880" i="11"/>
  <c r="C1879" i="11"/>
  <c r="E1879" i="11"/>
  <c r="D1879" i="11"/>
  <c r="B1879" i="11"/>
  <c r="A1879" i="11"/>
  <c r="C1878" i="11"/>
  <c r="E1878" i="11"/>
  <c r="D1878" i="11"/>
  <c r="B1878" i="11"/>
  <c r="A1878" i="11"/>
  <c r="C1877" i="11"/>
  <c r="E1877" i="11"/>
  <c r="D1877" i="11"/>
  <c r="B1877" i="11"/>
  <c r="A1877" i="11"/>
  <c r="C1876" i="11"/>
  <c r="E1876" i="11"/>
  <c r="D1876" i="11"/>
  <c r="B1876" i="11"/>
  <c r="A1876" i="11"/>
  <c r="C1875" i="11"/>
  <c r="E1875" i="11"/>
  <c r="D1875" i="11"/>
  <c r="B1875" i="11"/>
  <c r="A1875" i="11"/>
  <c r="C1866" i="11"/>
  <c r="E1866" i="11"/>
  <c r="D1866" i="11"/>
  <c r="B1866" i="11"/>
  <c r="A1866" i="11"/>
  <c r="C1865" i="11"/>
  <c r="E1865" i="11"/>
  <c r="D1865" i="11"/>
  <c r="B1865" i="11"/>
  <c r="A1865" i="11"/>
  <c r="C1864" i="11"/>
  <c r="E1864" i="11"/>
  <c r="D1864" i="11"/>
  <c r="B1864" i="11"/>
  <c r="A1864" i="11"/>
  <c r="C1863" i="11"/>
  <c r="E1863" i="11"/>
  <c r="D1863" i="11"/>
  <c r="B1863" i="11"/>
  <c r="A1863" i="11"/>
  <c r="C1862" i="11"/>
  <c r="E1862" i="11"/>
  <c r="D1862" i="11"/>
  <c r="B1862" i="11"/>
  <c r="A1862" i="11"/>
  <c r="C1861" i="11"/>
  <c r="E1861" i="11"/>
  <c r="D1861" i="11"/>
  <c r="B1861" i="11"/>
  <c r="A1861" i="11"/>
  <c r="C1860" i="11"/>
  <c r="E1860" i="11"/>
  <c r="D1860" i="11"/>
  <c r="B1860" i="11"/>
  <c r="A1860" i="11"/>
  <c r="C1859" i="11"/>
  <c r="E1859" i="11"/>
  <c r="D1859" i="11"/>
  <c r="B1859" i="11"/>
  <c r="A1859" i="11"/>
  <c r="C1858" i="11"/>
  <c r="E1858" i="11"/>
  <c r="D1858" i="11"/>
  <c r="B1858" i="11"/>
  <c r="A1858" i="11"/>
  <c r="C1857" i="11"/>
  <c r="E1857" i="11"/>
  <c r="D1857" i="11"/>
  <c r="B1857" i="11"/>
  <c r="A1857" i="11"/>
  <c r="C1856" i="11"/>
  <c r="E1856" i="11"/>
  <c r="D1856" i="11"/>
  <c r="B1856" i="11"/>
  <c r="A1856" i="11"/>
  <c r="C1855" i="11"/>
  <c r="E1855" i="11"/>
  <c r="D1855" i="11"/>
  <c r="B1855" i="11"/>
  <c r="A1855" i="11"/>
  <c r="C1826" i="11"/>
  <c r="E1826" i="11"/>
  <c r="D1826" i="11"/>
  <c r="B1826" i="11"/>
  <c r="A1826" i="11"/>
  <c r="C1825" i="11"/>
  <c r="E1825" i="11"/>
  <c r="D1825" i="11"/>
  <c r="B1825" i="11"/>
  <c r="A1825" i="11"/>
  <c r="C1824" i="11"/>
  <c r="E1824" i="11"/>
  <c r="D1824" i="11"/>
  <c r="B1824" i="11"/>
  <c r="A1824" i="11"/>
  <c r="C1823" i="11"/>
  <c r="E1823" i="11"/>
  <c r="D1823" i="11"/>
  <c r="B1823" i="11"/>
  <c r="A1823" i="11"/>
  <c r="C1822" i="11"/>
  <c r="E1822" i="11"/>
  <c r="D1822" i="11"/>
  <c r="B1822" i="11"/>
  <c r="A1822" i="11"/>
  <c r="C1821" i="11"/>
  <c r="E1821" i="11"/>
  <c r="D1821" i="11"/>
  <c r="B1821" i="11"/>
  <c r="A1821" i="11"/>
  <c r="C1820" i="11"/>
  <c r="E1820" i="11"/>
  <c r="D1820" i="11"/>
  <c r="B1820" i="11"/>
  <c r="A1820" i="11"/>
  <c r="C1819" i="11"/>
  <c r="E1819" i="11"/>
  <c r="D1819" i="11"/>
  <c r="B1819" i="11"/>
  <c r="A1819" i="11"/>
  <c r="C1818" i="11"/>
  <c r="E1818" i="11"/>
  <c r="D1818" i="11"/>
  <c r="B1818" i="11"/>
  <c r="A1818" i="11"/>
  <c r="C1817" i="11"/>
  <c r="E1817" i="11"/>
  <c r="D1817" i="11"/>
  <c r="B1817" i="11"/>
  <c r="A1817" i="11"/>
  <c r="C1816" i="11"/>
  <c r="E1816" i="11"/>
  <c r="D1816" i="11"/>
  <c r="B1816" i="11"/>
  <c r="A1816" i="11"/>
  <c r="C1815" i="11"/>
  <c r="E1815" i="11"/>
  <c r="D1815" i="11"/>
  <c r="B1815" i="11"/>
  <c r="A1815" i="11"/>
  <c r="HJ20" i="27"/>
  <c r="HC20" i="27"/>
  <c r="M36" i="15"/>
  <c r="L36" i="15"/>
  <c r="M35" i="15"/>
  <c r="L35" i="15"/>
  <c r="M34" i="15"/>
  <c r="L34" i="15"/>
  <c r="M33" i="15"/>
  <c r="L33" i="15"/>
  <c r="M32" i="15"/>
  <c r="L32" i="15"/>
  <c r="M31" i="15"/>
  <c r="L31" i="15"/>
  <c r="M30" i="15"/>
  <c r="M18" i="15"/>
  <c r="DY18" i="27"/>
  <c r="L30" i="15"/>
  <c r="M29" i="15"/>
  <c r="L29" i="15"/>
  <c r="M28" i="15"/>
  <c r="L28" i="15"/>
  <c r="M27" i="15"/>
  <c r="L27" i="15"/>
  <c r="M26" i="15"/>
  <c r="L26" i="15"/>
  <c r="M25" i="15"/>
  <c r="L25" i="15"/>
  <c r="F36" i="15"/>
  <c r="E36" i="15"/>
  <c r="F35" i="15"/>
  <c r="E35" i="15"/>
  <c r="F34" i="15"/>
  <c r="E34" i="15"/>
  <c r="F33" i="15"/>
  <c r="E33" i="15"/>
  <c r="F32" i="15"/>
  <c r="E32" i="15"/>
  <c r="F31" i="15"/>
  <c r="E31" i="15"/>
  <c r="F30" i="15"/>
  <c r="F18" i="15"/>
  <c r="DR18" i="27"/>
  <c r="E30" i="15"/>
  <c r="F29" i="15"/>
  <c r="E29" i="15"/>
  <c r="F28" i="15"/>
  <c r="E28" i="15"/>
  <c r="F27" i="15"/>
  <c r="E27" i="15"/>
  <c r="F26" i="15"/>
  <c r="E26" i="15"/>
  <c r="F25" i="15"/>
  <c r="E25" i="15"/>
  <c r="M58" i="15"/>
  <c r="L58" i="15"/>
  <c r="M57" i="15"/>
  <c r="L57" i="15"/>
  <c r="M56" i="15"/>
  <c r="L56" i="15"/>
  <c r="M55" i="15"/>
  <c r="L55" i="15"/>
  <c r="M54" i="15"/>
  <c r="L54" i="15"/>
  <c r="M53" i="15"/>
  <c r="L53" i="15"/>
  <c r="M52" i="15"/>
  <c r="L52" i="15"/>
  <c r="M51" i="15"/>
  <c r="L51" i="15"/>
  <c r="M50" i="15"/>
  <c r="L50" i="15"/>
  <c r="M49" i="15"/>
  <c r="L49" i="15"/>
  <c r="M48" i="15"/>
  <c r="L48" i="15"/>
  <c r="M47" i="15"/>
  <c r="L47" i="15"/>
  <c r="F58" i="15"/>
  <c r="E58" i="15"/>
  <c r="F57" i="15"/>
  <c r="E57" i="15"/>
  <c r="F56" i="15"/>
  <c r="E56" i="15"/>
  <c r="F55" i="15"/>
  <c r="E55" i="15"/>
  <c r="F54" i="15"/>
  <c r="E54" i="15"/>
  <c r="F53" i="15"/>
  <c r="E53" i="15"/>
  <c r="F52" i="15"/>
  <c r="E52" i="15"/>
  <c r="F51" i="15"/>
  <c r="E51" i="15"/>
  <c r="F50" i="15"/>
  <c r="E50" i="15"/>
  <c r="F49" i="15"/>
  <c r="E49" i="15"/>
  <c r="F48" i="15"/>
  <c r="E48" i="15"/>
  <c r="F47" i="15"/>
  <c r="E47" i="15"/>
  <c r="G3" i="1"/>
  <c r="B17" i="11"/>
  <c r="C17" i="11"/>
  <c r="D17" i="11"/>
  <c r="E17" i="11"/>
  <c r="F17" i="11"/>
  <c r="G17" i="11"/>
  <c r="H17" i="11"/>
  <c r="B18" i="11"/>
  <c r="C18" i="11"/>
  <c r="D18" i="11"/>
  <c r="E18" i="11"/>
  <c r="F18" i="11"/>
  <c r="G18" i="11"/>
  <c r="H18" i="11"/>
  <c r="B19" i="11"/>
  <c r="C19" i="11"/>
  <c r="I19" i="11"/>
  <c r="D19" i="11"/>
  <c r="E19" i="11"/>
  <c r="F19" i="11"/>
  <c r="G19" i="11"/>
  <c r="H19" i="11"/>
  <c r="B20" i="11"/>
  <c r="C20" i="11"/>
  <c r="D20" i="11"/>
  <c r="E20" i="11"/>
  <c r="F20" i="11"/>
  <c r="G20" i="11"/>
  <c r="H20" i="11"/>
  <c r="B21" i="11"/>
  <c r="C21" i="11"/>
  <c r="D21" i="11"/>
  <c r="E21" i="11"/>
  <c r="F21" i="11"/>
  <c r="G21" i="11"/>
  <c r="H21" i="11"/>
  <c r="B28" i="11"/>
  <c r="C28" i="11"/>
  <c r="D28" i="11"/>
  <c r="E28" i="11"/>
  <c r="F28" i="11"/>
  <c r="G28" i="11"/>
  <c r="H28" i="11"/>
  <c r="B29" i="11"/>
  <c r="C29" i="11"/>
  <c r="I29" i="11"/>
  <c r="D29" i="11"/>
  <c r="E29" i="11"/>
  <c r="F29" i="11"/>
  <c r="G29" i="11"/>
  <c r="H29" i="11"/>
  <c r="B30" i="11"/>
  <c r="C30" i="11"/>
  <c r="D30" i="11"/>
  <c r="E30" i="11"/>
  <c r="F30" i="11"/>
  <c r="G30" i="11"/>
  <c r="H30" i="11"/>
  <c r="B31" i="11"/>
  <c r="C31" i="11"/>
  <c r="D31" i="11"/>
  <c r="E31" i="11"/>
  <c r="F31" i="11"/>
  <c r="G31" i="11"/>
  <c r="H31" i="11"/>
  <c r="B32" i="11"/>
  <c r="C32" i="11"/>
  <c r="D32" i="11"/>
  <c r="E32" i="11"/>
  <c r="F32" i="11"/>
  <c r="G32" i="11"/>
  <c r="H32" i="11"/>
  <c r="B33" i="11"/>
  <c r="C33" i="11"/>
  <c r="D33" i="11"/>
  <c r="E33" i="11"/>
  <c r="F33" i="11"/>
  <c r="G33" i="11"/>
  <c r="H33" i="11"/>
  <c r="B48" i="11"/>
  <c r="C48" i="11"/>
  <c r="D48" i="11"/>
  <c r="E48" i="11"/>
  <c r="F48" i="11"/>
  <c r="G48" i="11"/>
  <c r="H48" i="11"/>
  <c r="B49" i="11"/>
  <c r="C49" i="11"/>
  <c r="D49" i="11"/>
  <c r="E49" i="11"/>
  <c r="F49" i="11"/>
  <c r="G49" i="11"/>
  <c r="H49" i="11"/>
  <c r="B50" i="11"/>
  <c r="C50" i="11"/>
  <c r="D50" i="11"/>
  <c r="E50" i="11"/>
  <c r="F50" i="11"/>
  <c r="G50" i="11"/>
  <c r="H50" i="11"/>
  <c r="B233" i="11"/>
  <c r="C233" i="11"/>
  <c r="D233" i="11"/>
  <c r="E233" i="11"/>
  <c r="F233" i="11"/>
  <c r="G233" i="11"/>
  <c r="H233" i="11"/>
  <c r="B234" i="11"/>
  <c r="C234" i="11"/>
  <c r="D234" i="11"/>
  <c r="E234" i="11"/>
  <c r="F234" i="11"/>
  <c r="G234" i="11"/>
  <c r="H234" i="11"/>
  <c r="B235" i="11"/>
  <c r="C235" i="11"/>
  <c r="D235" i="11"/>
  <c r="E235" i="11"/>
  <c r="F235" i="11"/>
  <c r="G235" i="11"/>
  <c r="H235" i="11"/>
  <c r="B236" i="11"/>
  <c r="C236" i="11"/>
  <c r="D236" i="11"/>
  <c r="E236" i="11"/>
  <c r="F236" i="11"/>
  <c r="G236" i="11"/>
  <c r="H236" i="11"/>
  <c r="B237" i="11"/>
  <c r="C237" i="11"/>
  <c r="D237" i="11"/>
  <c r="E237" i="11"/>
  <c r="F237" i="11"/>
  <c r="G237" i="11"/>
  <c r="H237" i="11"/>
  <c r="B238" i="11"/>
  <c r="C238" i="11"/>
  <c r="D238" i="11"/>
  <c r="E238" i="11"/>
  <c r="F238" i="11"/>
  <c r="G238" i="11"/>
  <c r="H238" i="11"/>
  <c r="B239" i="11"/>
  <c r="C239" i="11"/>
  <c r="D239" i="11"/>
  <c r="E239" i="11"/>
  <c r="F239" i="11"/>
  <c r="G239" i="11"/>
  <c r="H239" i="11"/>
  <c r="B240" i="11"/>
  <c r="C240" i="11"/>
  <c r="D240" i="11"/>
  <c r="E240" i="11"/>
  <c r="F240" i="11"/>
  <c r="G240" i="11"/>
  <c r="H240" i="11"/>
  <c r="B241" i="11"/>
  <c r="C241" i="11"/>
  <c r="I241" i="11"/>
  <c r="D241" i="11"/>
  <c r="E241" i="11"/>
  <c r="F241" i="11"/>
  <c r="G241" i="11"/>
  <c r="H241" i="11"/>
  <c r="B242" i="11"/>
  <c r="C242" i="11"/>
  <c r="D242" i="11"/>
  <c r="E242" i="11"/>
  <c r="F242" i="11"/>
  <c r="G242" i="11"/>
  <c r="H242" i="11"/>
  <c r="B243" i="11"/>
  <c r="C243" i="11"/>
  <c r="D243" i="11"/>
  <c r="E243" i="11"/>
  <c r="F243" i="11"/>
  <c r="G243" i="11"/>
  <c r="H243" i="11"/>
  <c r="B244" i="11"/>
  <c r="C244" i="11"/>
  <c r="D244" i="11"/>
  <c r="E244" i="11"/>
  <c r="F244" i="11"/>
  <c r="G244" i="11"/>
  <c r="H244" i="11"/>
  <c r="B245" i="11"/>
  <c r="C245" i="11"/>
  <c r="D245" i="11"/>
  <c r="E245" i="11"/>
  <c r="F245" i="11"/>
  <c r="G245" i="11"/>
  <c r="H245" i="11"/>
  <c r="B246" i="11"/>
  <c r="C246" i="11"/>
  <c r="D246" i="11"/>
  <c r="E246" i="11"/>
  <c r="F246" i="11"/>
  <c r="G246" i="11"/>
  <c r="H246" i="11"/>
  <c r="B34" i="11"/>
  <c r="C34" i="11"/>
  <c r="D34" i="11"/>
  <c r="E34" i="11"/>
  <c r="F34" i="11"/>
  <c r="G34" i="11"/>
  <c r="H34" i="11"/>
  <c r="B35" i="11"/>
  <c r="C35" i="11"/>
  <c r="D35" i="11"/>
  <c r="E35" i="11"/>
  <c r="F35" i="11"/>
  <c r="G35" i="11"/>
  <c r="H35" i="11"/>
  <c r="B36" i="11"/>
  <c r="C36" i="11"/>
  <c r="D36" i="11"/>
  <c r="E36" i="11"/>
  <c r="F36" i="11"/>
  <c r="G36" i="11"/>
  <c r="H36" i="11"/>
  <c r="B37" i="11"/>
  <c r="C37" i="11"/>
  <c r="D37" i="11"/>
  <c r="E37" i="11"/>
  <c r="F37" i="11"/>
  <c r="G37" i="11"/>
  <c r="H37" i="11"/>
  <c r="B38" i="11"/>
  <c r="C38" i="11"/>
  <c r="D38" i="11"/>
  <c r="E38" i="11"/>
  <c r="F38" i="11"/>
  <c r="G38" i="11"/>
  <c r="H38" i="11"/>
  <c r="B39" i="11"/>
  <c r="C39" i="11"/>
  <c r="D39" i="11"/>
  <c r="E39" i="11"/>
  <c r="F39" i="11"/>
  <c r="G39" i="11"/>
  <c r="H39" i="11"/>
  <c r="B40" i="11"/>
  <c r="C40" i="11"/>
  <c r="D40" i="11"/>
  <c r="E40" i="11"/>
  <c r="F40" i="11"/>
  <c r="G40" i="11"/>
  <c r="H40" i="11"/>
  <c r="B41" i="11"/>
  <c r="C41" i="11"/>
  <c r="D41" i="11"/>
  <c r="E41" i="11"/>
  <c r="F41" i="11"/>
  <c r="G41" i="11"/>
  <c r="H41" i="11"/>
  <c r="B42" i="11"/>
  <c r="C42" i="11"/>
  <c r="D42" i="11"/>
  <c r="E42" i="11"/>
  <c r="F42" i="11"/>
  <c r="G42" i="11"/>
  <c r="H42" i="11"/>
  <c r="B43" i="11"/>
  <c r="C43" i="11"/>
  <c r="D43" i="11"/>
  <c r="E43" i="11"/>
  <c r="F43" i="11"/>
  <c r="G43" i="11"/>
  <c r="H43" i="11"/>
  <c r="B44" i="11"/>
  <c r="C44" i="11"/>
  <c r="D44" i="11"/>
  <c r="E44" i="11"/>
  <c r="F44" i="11"/>
  <c r="G44" i="11"/>
  <c r="H44" i="11"/>
  <c r="B45" i="11"/>
  <c r="C45" i="11"/>
  <c r="D45" i="11"/>
  <c r="E45" i="11"/>
  <c r="F45" i="11"/>
  <c r="G45" i="11"/>
  <c r="H45" i="11"/>
  <c r="B46" i="11"/>
  <c r="C46" i="11"/>
  <c r="D46" i="11"/>
  <c r="E46" i="11"/>
  <c r="F46" i="11"/>
  <c r="G46" i="11"/>
  <c r="H46" i="11"/>
  <c r="B47" i="11"/>
  <c r="C47" i="11"/>
  <c r="D47" i="11"/>
  <c r="E47" i="11"/>
  <c r="F47" i="11"/>
  <c r="G47" i="11"/>
  <c r="H47" i="11"/>
  <c r="H16" i="11"/>
  <c r="G16" i="11"/>
  <c r="F16" i="11"/>
  <c r="C16" i="11"/>
  <c r="D16" i="11"/>
  <c r="E16" i="11"/>
  <c r="B16" i="11"/>
  <c r="A143" i="11"/>
  <c r="A144" i="11"/>
  <c r="A145" i="11"/>
  <c r="A146" i="11"/>
  <c r="A167" i="11"/>
  <c r="A168" i="11"/>
  <c r="A169" i="11"/>
  <c r="A247" i="11"/>
  <c r="A248" i="11"/>
  <c r="A249" i="11"/>
  <c r="A250" i="11"/>
  <c r="A251" i="11"/>
  <c r="A252" i="11"/>
  <c r="A253" i="11"/>
  <c r="A254" i="11"/>
  <c r="A255" i="11"/>
  <c r="A256" i="11"/>
  <c r="A257" i="11"/>
  <c r="A258" i="11"/>
  <c r="A259" i="11"/>
  <c r="A260" i="11"/>
  <c r="A261" i="11"/>
  <c r="A262" i="11"/>
  <c r="A151" i="11"/>
  <c r="A152" i="11"/>
  <c r="A153" i="11"/>
  <c r="A154" i="11"/>
  <c r="A155" i="11"/>
  <c r="A156" i="11"/>
  <c r="A157" i="11"/>
  <c r="A158" i="11"/>
  <c r="A159" i="11"/>
  <c r="A160" i="11"/>
  <c r="A161" i="11"/>
  <c r="A162" i="11"/>
  <c r="A163" i="11"/>
  <c r="A164" i="11"/>
  <c r="A165" i="11"/>
  <c r="A166" i="11"/>
  <c r="A16" i="11"/>
  <c r="A17" i="11"/>
  <c r="A18" i="11"/>
  <c r="A19" i="11"/>
  <c r="A20" i="11"/>
  <c r="A21" i="11"/>
  <c r="A28" i="11"/>
  <c r="A29" i="11"/>
  <c r="A30" i="11"/>
  <c r="A31" i="11"/>
  <c r="A32" i="11"/>
  <c r="A33" i="11"/>
  <c r="A48" i="11"/>
  <c r="A49" i="11"/>
  <c r="A50" i="11"/>
  <c r="A233" i="11"/>
  <c r="A234" i="11"/>
  <c r="A235" i="11"/>
  <c r="A236" i="11"/>
  <c r="A237" i="11"/>
  <c r="A238" i="11"/>
  <c r="A239" i="11"/>
  <c r="A240" i="11"/>
  <c r="A241" i="11"/>
  <c r="A242" i="11"/>
  <c r="A243" i="11"/>
  <c r="A244" i="11"/>
  <c r="A245" i="11"/>
  <c r="A246" i="11"/>
  <c r="A34" i="11"/>
  <c r="A35" i="11"/>
  <c r="A36" i="11"/>
  <c r="A37" i="11"/>
  <c r="A38" i="11"/>
  <c r="A39" i="11"/>
  <c r="A40" i="11"/>
  <c r="A41" i="11"/>
  <c r="A42" i="11"/>
  <c r="A43" i="11"/>
  <c r="A44" i="11"/>
  <c r="A45" i="11"/>
  <c r="A46" i="11"/>
  <c r="A47" i="11"/>
  <c r="B125" i="11"/>
  <c r="C125" i="11"/>
  <c r="D125" i="11"/>
  <c r="E125" i="11"/>
  <c r="F125" i="11"/>
  <c r="G125" i="11"/>
  <c r="B126" i="11"/>
  <c r="C126" i="11"/>
  <c r="D126" i="11"/>
  <c r="E126" i="11"/>
  <c r="F126" i="11"/>
  <c r="G126" i="11"/>
  <c r="B127" i="11"/>
  <c r="C127" i="11"/>
  <c r="D127" i="11"/>
  <c r="E127" i="11"/>
  <c r="F127" i="11"/>
  <c r="G127" i="11"/>
  <c r="B128" i="11"/>
  <c r="C128" i="11"/>
  <c r="D128" i="11"/>
  <c r="E128" i="11"/>
  <c r="F128" i="11"/>
  <c r="G128" i="11"/>
  <c r="B129" i="11"/>
  <c r="C129" i="11"/>
  <c r="D129" i="11"/>
  <c r="E129" i="11"/>
  <c r="F129" i="11"/>
  <c r="G129" i="11"/>
  <c r="B130" i="11"/>
  <c r="C130" i="11"/>
  <c r="D130" i="11"/>
  <c r="E130" i="11"/>
  <c r="F130" i="11"/>
  <c r="G130" i="11"/>
  <c r="B131" i="11"/>
  <c r="C131" i="11"/>
  <c r="D131" i="11"/>
  <c r="E131" i="11"/>
  <c r="F131" i="11"/>
  <c r="G131" i="11"/>
  <c r="B139" i="11"/>
  <c r="C139" i="11"/>
  <c r="D139" i="11"/>
  <c r="E139" i="11"/>
  <c r="F139" i="11"/>
  <c r="G139" i="11"/>
  <c r="B140" i="11"/>
  <c r="C140" i="11"/>
  <c r="D140" i="11"/>
  <c r="E140" i="11"/>
  <c r="F140" i="11"/>
  <c r="G140" i="11"/>
  <c r="B141" i="11"/>
  <c r="C141" i="11"/>
  <c r="D141" i="11"/>
  <c r="E141" i="11"/>
  <c r="F141" i="11"/>
  <c r="G141" i="11"/>
  <c r="B142" i="11"/>
  <c r="C142" i="11"/>
  <c r="D142" i="11"/>
  <c r="E142" i="11"/>
  <c r="F142" i="11"/>
  <c r="G142" i="11"/>
  <c r="B143" i="11"/>
  <c r="C143" i="11"/>
  <c r="D143" i="11"/>
  <c r="E143" i="11"/>
  <c r="F143" i="11"/>
  <c r="G143" i="11"/>
  <c r="B144" i="11"/>
  <c r="C144" i="11"/>
  <c r="D144" i="11"/>
  <c r="E144" i="11"/>
  <c r="F144" i="11"/>
  <c r="G144" i="11"/>
  <c r="B145" i="11"/>
  <c r="C145" i="11"/>
  <c r="D145" i="11"/>
  <c r="E145" i="11"/>
  <c r="F145" i="11"/>
  <c r="G145" i="11"/>
  <c r="B146" i="11"/>
  <c r="C146" i="11"/>
  <c r="D146" i="11"/>
  <c r="E146" i="11"/>
  <c r="F146" i="11"/>
  <c r="G146" i="11"/>
  <c r="B167" i="11"/>
  <c r="C167" i="11"/>
  <c r="D167" i="11"/>
  <c r="E167" i="11"/>
  <c r="F167" i="11"/>
  <c r="G167" i="11"/>
  <c r="B168" i="11"/>
  <c r="C168" i="11"/>
  <c r="D168" i="11"/>
  <c r="E168" i="11"/>
  <c r="F168" i="11"/>
  <c r="G168" i="11"/>
  <c r="B169" i="11"/>
  <c r="C169" i="11"/>
  <c r="D169" i="11"/>
  <c r="E169" i="11"/>
  <c r="F169" i="11"/>
  <c r="G169" i="11"/>
  <c r="B247" i="11"/>
  <c r="C247" i="11"/>
  <c r="D247" i="11"/>
  <c r="E247" i="11"/>
  <c r="F247" i="11"/>
  <c r="G247" i="11"/>
  <c r="B248" i="11"/>
  <c r="C248" i="11"/>
  <c r="D248" i="11"/>
  <c r="E248" i="11"/>
  <c r="F248" i="11"/>
  <c r="G248" i="11"/>
  <c r="B249" i="11"/>
  <c r="C249" i="11"/>
  <c r="D249" i="11"/>
  <c r="E249" i="11"/>
  <c r="F249" i="11"/>
  <c r="G249" i="11"/>
  <c r="B250" i="11"/>
  <c r="C250" i="11"/>
  <c r="D250" i="11"/>
  <c r="E250" i="11"/>
  <c r="F250" i="11"/>
  <c r="G250" i="11"/>
  <c r="B251" i="11"/>
  <c r="C251" i="11"/>
  <c r="D251" i="11"/>
  <c r="E251" i="11"/>
  <c r="F251" i="11"/>
  <c r="G251" i="11"/>
  <c r="B252" i="11"/>
  <c r="C252" i="11"/>
  <c r="D252" i="11"/>
  <c r="E252" i="11"/>
  <c r="F252" i="11"/>
  <c r="G252" i="11"/>
  <c r="B253" i="11"/>
  <c r="C253" i="11"/>
  <c r="D253" i="11"/>
  <c r="E253" i="11"/>
  <c r="F253" i="11"/>
  <c r="G253" i="11"/>
  <c r="B254" i="11"/>
  <c r="C254" i="11"/>
  <c r="D254" i="11"/>
  <c r="E254" i="11"/>
  <c r="F254" i="11"/>
  <c r="G254" i="11"/>
  <c r="B255" i="11"/>
  <c r="C255" i="11"/>
  <c r="D255" i="11"/>
  <c r="E255" i="11"/>
  <c r="F255" i="11"/>
  <c r="G255" i="11"/>
  <c r="B256" i="11"/>
  <c r="C256" i="11"/>
  <c r="D256" i="11"/>
  <c r="E256" i="11"/>
  <c r="F256" i="11"/>
  <c r="G256" i="11"/>
  <c r="B257" i="11"/>
  <c r="C257" i="11"/>
  <c r="D257" i="11"/>
  <c r="E257" i="11"/>
  <c r="F257" i="11"/>
  <c r="G257" i="11"/>
  <c r="B258" i="11"/>
  <c r="C258" i="11"/>
  <c r="D258" i="11"/>
  <c r="E258" i="11"/>
  <c r="F258" i="11"/>
  <c r="G258" i="11"/>
  <c r="B259" i="11"/>
  <c r="C259" i="11"/>
  <c r="D259" i="11"/>
  <c r="E259" i="11"/>
  <c r="F259" i="11"/>
  <c r="G259" i="11"/>
  <c r="B260" i="11"/>
  <c r="C260" i="11"/>
  <c r="D260" i="11"/>
  <c r="E260" i="11"/>
  <c r="F260" i="11"/>
  <c r="G260" i="11"/>
  <c r="B261" i="11"/>
  <c r="C261" i="11"/>
  <c r="D261" i="11"/>
  <c r="E261" i="11"/>
  <c r="F261" i="11"/>
  <c r="G261" i="11"/>
  <c r="B262" i="11"/>
  <c r="C262" i="11"/>
  <c r="D262" i="11"/>
  <c r="E262" i="11"/>
  <c r="F262" i="11"/>
  <c r="G262" i="11"/>
  <c r="B151" i="11"/>
  <c r="C151" i="11"/>
  <c r="D151" i="11"/>
  <c r="E151" i="11"/>
  <c r="F151" i="11"/>
  <c r="G151" i="11"/>
  <c r="B152" i="11"/>
  <c r="C152" i="11"/>
  <c r="D152" i="11"/>
  <c r="E152" i="11"/>
  <c r="F152" i="11"/>
  <c r="G152" i="11"/>
  <c r="B153" i="11"/>
  <c r="C153" i="11"/>
  <c r="D153" i="11"/>
  <c r="E153" i="11"/>
  <c r="F153" i="11"/>
  <c r="G153" i="11"/>
  <c r="B154" i="11"/>
  <c r="C154" i="11"/>
  <c r="D154" i="11"/>
  <c r="E154" i="11"/>
  <c r="F154" i="11"/>
  <c r="G154" i="11"/>
  <c r="B155" i="11"/>
  <c r="C155" i="11"/>
  <c r="D155" i="11"/>
  <c r="E155" i="11"/>
  <c r="F155" i="11"/>
  <c r="G155" i="11"/>
  <c r="B156" i="11"/>
  <c r="C156" i="11"/>
  <c r="D156" i="11"/>
  <c r="E156" i="11"/>
  <c r="F156" i="11"/>
  <c r="G156" i="11"/>
  <c r="B157" i="11"/>
  <c r="C157" i="11"/>
  <c r="D157" i="11"/>
  <c r="E157" i="11"/>
  <c r="F157" i="11"/>
  <c r="G157" i="11"/>
  <c r="B158" i="11"/>
  <c r="C158" i="11"/>
  <c r="D158" i="11"/>
  <c r="E158" i="11"/>
  <c r="F158" i="11"/>
  <c r="G158" i="11"/>
  <c r="B159" i="11"/>
  <c r="C159" i="11"/>
  <c r="D159" i="11"/>
  <c r="E159" i="11"/>
  <c r="F159" i="11"/>
  <c r="G159" i="11"/>
  <c r="B160" i="11"/>
  <c r="C160" i="11"/>
  <c r="D160" i="11"/>
  <c r="E160" i="11"/>
  <c r="F160" i="11"/>
  <c r="G160" i="11"/>
  <c r="B161" i="11"/>
  <c r="C161" i="11"/>
  <c r="D161" i="11"/>
  <c r="E161" i="11"/>
  <c r="F161" i="11"/>
  <c r="G161" i="11"/>
  <c r="B162" i="11"/>
  <c r="C162" i="11"/>
  <c r="D162" i="11"/>
  <c r="E162" i="11"/>
  <c r="F162" i="11"/>
  <c r="G162" i="11"/>
  <c r="B163" i="11"/>
  <c r="C163" i="11"/>
  <c r="D163" i="11"/>
  <c r="E163" i="11"/>
  <c r="F163" i="11"/>
  <c r="G163" i="11"/>
  <c r="B164" i="11"/>
  <c r="C164" i="11"/>
  <c r="D164" i="11"/>
  <c r="E164" i="11"/>
  <c r="F164" i="11"/>
  <c r="G164" i="11"/>
  <c r="B165" i="11"/>
  <c r="C165" i="11"/>
  <c r="D165" i="11"/>
  <c r="E165" i="11"/>
  <c r="F165" i="11"/>
  <c r="G165" i="11"/>
  <c r="B166" i="11"/>
  <c r="C166" i="11"/>
  <c r="D166" i="11"/>
  <c r="E166" i="11"/>
  <c r="F166" i="11"/>
  <c r="G166" i="11"/>
  <c r="G124" i="11"/>
  <c r="F124" i="11"/>
  <c r="C124" i="11"/>
  <c r="D124" i="11"/>
  <c r="E124" i="11"/>
  <c r="B124" i="11"/>
  <c r="A2117" i="11"/>
  <c r="A2118" i="11"/>
  <c r="A2123" i="11"/>
  <c r="A2124" i="11"/>
  <c r="A2125" i="11"/>
  <c r="A2126" i="11"/>
  <c r="A2127" i="11"/>
  <c r="A2128" i="11"/>
  <c r="A2129" i="11"/>
  <c r="A2130" i="11"/>
  <c r="A2183" i="11"/>
  <c r="A2184" i="11"/>
  <c r="A2185" i="11"/>
  <c r="A484" i="11"/>
  <c r="A485" i="11"/>
  <c r="A486" i="11"/>
  <c r="A487" i="11"/>
  <c r="A488" i="11"/>
  <c r="A489" i="11"/>
  <c r="A490" i="11"/>
  <c r="A491" i="11"/>
  <c r="A492" i="11"/>
  <c r="A493" i="11"/>
  <c r="A494" i="11"/>
  <c r="A495" i="11"/>
  <c r="A496" i="11"/>
  <c r="A497" i="11"/>
  <c r="A498" i="11"/>
  <c r="A499" i="11"/>
  <c r="A2143" i="11"/>
  <c r="A2144" i="11"/>
  <c r="A2145" i="11"/>
  <c r="A2146" i="11"/>
  <c r="A2147" i="11"/>
  <c r="A2148" i="11"/>
  <c r="A2149" i="11"/>
  <c r="A2150" i="11"/>
  <c r="A2163" i="11"/>
  <c r="A2164" i="11"/>
  <c r="A2165" i="11"/>
  <c r="A2166" i="11"/>
  <c r="A2167" i="11"/>
  <c r="A2168" i="11"/>
  <c r="A2169" i="11"/>
  <c r="A2170" i="11"/>
  <c r="A124" i="11"/>
  <c r="A125" i="11"/>
  <c r="A126" i="11"/>
  <c r="A127" i="11"/>
  <c r="A128" i="11"/>
  <c r="A129" i="11"/>
  <c r="A130" i="11"/>
  <c r="A131" i="11"/>
  <c r="A139" i="11"/>
  <c r="A140" i="11"/>
  <c r="A141" i="11"/>
  <c r="A142" i="11"/>
  <c r="B2104" i="11"/>
  <c r="C2104" i="11"/>
  <c r="D2104" i="11"/>
  <c r="E2104" i="11"/>
  <c r="F2104" i="11"/>
  <c r="B2105" i="11"/>
  <c r="C2105" i="11"/>
  <c r="D2105" i="11"/>
  <c r="E2105" i="11"/>
  <c r="F2105" i="11"/>
  <c r="B2106" i="11"/>
  <c r="C2106" i="11"/>
  <c r="D2106" i="11"/>
  <c r="E2106" i="11"/>
  <c r="F2106" i="11"/>
  <c r="B2107" i="11"/>
  <c r="C2107" i="11"/>
  <c r="D2107" i="11"/>
  <c r="E2107" i="11"/>
  <c r="F2107" i="11"/>
  <c r="B2108" i="11"/>
  <c r="C2108" i="11"/>
  <c r="D2108" i="11"/>
  <c r="E2108" i="11"/>
  <c r="F2108" i="11"/>
  <c r="B2109" i="11"/>
  <c r="C2109" i="11"/>
  <c r="D2109" i="11"/>
  <c r="E2109" i="11"/>
  <c r="F2109" i="11"/>
  <c r="B2110" i="11"/>
  <c r="C2110" i="11"/>
  <c r="D2110" i="11"/>
  <c r="E2110" i="11"/>
  <c r="F2110" i="11"/>
  <c r="B2111" i="11"/>
  <c r="C2111" i="11"/>
  <c r="D2111" i="11"/>
  <c r="E2111" i="11"/>
  <c r="F2111" i="11"/>
  <c r="B2112" i="11"/>
  <c r="C2112" i="11"/>
  <c r="D2112" i="11"/>
  <c r="E2112" i="11"/>
  <c r="F2112" i="11"/>
  <c r="B2113" i="11"/>
  <c r="C2113" i="11"/>
  <c r="D2113" i="11"/>
  <c r="E2113" i="11"/>
  <c r="F2113" i="11"/>
  <c r="B2114" i="11"/>
  <c r="C2114" i="11"/>
  <c r="D2114" i="11"/>
  <c r="E2114" i="11"/>
  <c r="F2114" i="11"/>
  <c r="B2115" i="11"/>
  <c r="C2115" i="11"/>
  <c r="D2115" i="11"/>
  <c r="E2115" i="11"/>
  <c r="F2115" i="11"/>
  <c r="B2116" i="11"/>
  <c r="B1461" i="11"/>
  <c r="B82" i="27"/>
  <c r="C2116" i="11"/>
  <c r="I2116" i="11"/>
  <c r="D2116" i="11"/>
  <c r="E2116" i="11"/>
  <c r="F2116" i="11"/>
  <c r="B2117" i="11"/>
  <c r="C2117" i="11"/>
  <c r="D2117" i="11"/>
  <c r="E2117" i="11"/>
  <c r="F2117" i="11"/>
  <c r="B2118" i="11"/>
  <c r="C2118" i="11"/>
  <c r="D2118" i="11"/>
  <c r="E2118" i="11"/>
  <c r="F2118" i="11"/>
  <c r="B2123" i="11"/>
  <c r="C2123" i="11"/>
  <c r="D2123" i="11"/>
  <c r="E2123" i="11"/>
  <c r="F2123" i="11"/>
  <c r="B2124" i="11"/>
  <c r="C2124" i="11"/>
  <c r="D2124" i="11"/>
  <c r="E2124" i="11"/>
  <c r="F2124" i="11"/>
  <c r="B2125" i="11"/>
  <c r="C2125" i="11"/>
  <c r="D2125" i="11"/>
  <c r="E2125" i="11"/>
  <c r="F2125" i="11"/>
  <c r="B2126" i="11"/>
  <c r="C2126" i="11"/>
  <c r="D2126" i="11"/>
  <c r="E2126" i="11"/>
  <c r="F2126" i="11"/>
  <c r="B2127" i="11"/>
  <c r="C2127" i="11"/>
  <c r="D2127" i="11"/>
  <c r="E2127" i="11"/>
  <c r="F2127" i="11"/>
  <c r="B2128" i="11"/>
  <c r="C2128" i="11"/>
  <c r="D2128" i="11"/>
  <c r="E2128" i="11"/>
  <c r="F2128" i="11"/>
  <c r="B2129" i="11"/>
  <c r="C2129" i="11"/>
  <c r="D2129" i="11"/>
  <c r="E2129" i="11"/>
  <c r="F2129" i="11"/>
  <c r="B2130" i="11"/>
  <c r="C2130" i="11"/>
  <c r="D2130" i="11"/>
  <c r="E2130" i="11"/>
  <c r="F2130" i="11"/>
  <c r="B2183" i="11"/>
  <c r="C2183" i="11"/>
  <c r="D2183" i="11"/>
  <c r="E2183" i="11"/>
  <c r="F2183" i="11"/>
  <c r="B2184" i="11"/>
  <c r="C2184" i="11"/>
  <c r="I2184" i="11"/>
  <c r="D2184" i="11"/>
  <c r="E2184" i="11"/>
  <c r="F2184" i="11"/>
  <c r="B2185" i="11"/>
  <c r="C2185" i="11"/>
  <c r="D2185" i="11"/>
  <c r="E2185" i="11"/>
  <c r="F2185" i="11"/>
  <c r="B484" i="11"/>
  <c r="C484" i="11"/>
  <c r="D484" i="11"/>
  <c r="E484" i="11"/>
  <c r="F484" i="11"/>
  <c r="B485" i="11"/>
  <c r="C485" i="11"/>
  <c r="D485" i="11"/>
  <c r="E485" i="11"/>
  <c r="F485" i="11"/>
  <c r="B486" i="11"/>
  <c r="C486" i="11"/>
  <c r="I486" i="11"/>
  <c r="D486" i="11"/>
  <c r="E486" i="11"/>
  <c r="F486" i="11"/>
  <c r="B487" i="11"/>
  <c r="C487" i="11"/>
  <c r="D487" i="11"/>
  <c r="E487" i="11"/>
  <c r="F487" i="11"/>
  <c r="B488" i="11"/>
  <c r="C488" i="11"/>
  <c r="D488" i="11"/>
  <c r="E488" i="11"/>
  <c r="F488" i="11"/>
  <c r="B489" i="11"/>
  <c r="C489" i="11"/>
  <c r="D489" i="11"/>
  <c r="E489" i="11"/>
  <c r="F489" i="11"/>
  <c r="B490" i="11"/>
  <c r="C490" i="11"/>
  <c r="I490" i="11"/>
  <c r="D490" i="11"/>
  <c r="E490" i="11"/>
  <c r="F490" i="11"/>
  <c r="B491" i="11"/>
  <c r="C491" i="11"/>
  <c r="D491" i="11"/>
  <c r="E491" i="11"/>
  <c r="F491" i="11"/>
  <c r="B492" i="11"/>
  <c r="C492" i="11"/>
  <c r="D492" i="11"/>
  <c r="E492" i="11"/>
  <c r="F492" i="11"/>
  <c r="B493" i="11"/>
  <c r="C493" i="11"/>
  <c r="D493" i="11"/>
  <c r="E493" i="11"/>
  <c r="F493" i="11"/>
  <c r="B494" i="11"/>
  <c r="C494" i="11"/>
  <c r="I494" i="11"/>
  <c r="D494" i="11"/>
  <c r="E494" i="11"/>
  <c r="F494" i="11"/>
  <c r="B495" i="11"/>
  <c r="C495" i="11"/>
  <c r="D495" i="11"/>
  <c r="E495" i="11"/>
  <c r="F495" i="11"/>
  <c r="B496" i="11"/>
  <c r="C496" i="11"/>
  <c r="D496" i="11"/>
  <c r="E496" i="11"/>
  <c r="F496" i="11"/>
  <c r="B497" i="11"/>
  <c r="C497" i="11"/>
  <c r="D497" i="11"/>
  <c r="E497" i="11"/>
  <c r="F497" i="11"/>
  <c r="B498" i="11"/>
  <c r="C498" i="11"/>
  <c r="I498" i="11"/>
  <c r="D498" i="11"/>
  <c r="E498" i="11"/>
  <c r="F498" i="11"/>
  <c r="B499" i="11"/>
  <c r="C499" i="11"/>
  <c r="D499" i="11"/>
  <c r="E499" i="11"/>
  <c r="F499" i="11"/>
  <c r="B2143" i="11"/>
  <c r="C2143" i="11"/>
  <c r="D2143" i="11"/>
  <c r="E2143" i="11"/>
  <c r="F2143" i="11"/>
  <c r="B2144" i="11"/>
  <c r="C2144" i="11"/>
  <c r="D2144" i="11"/>
  <c r="E2144" i="11"/>
  <c r="F2144" i="11"/>
  <c r="B2145" i="11"/>
  <c r="C2145" i="11"/>
  <c r="I2145" i="11"/>
  <c r="D2145" i="11"/>
  <c r="E2145" i="11"/>
  <c r="F2145" i="11"/>
  <c r="B2146" i="11"/>
  <c r="C2146" i="11"/>
  <c r="D2146" i="11"/>
  <c r="E2146" i="11"/>
  <c r="F2146" i="11"/>
  <c r="B2147" i="11"/>
  <c r="C2147" i="11"/>
  <c r="D2147" i="11"/>
  <c r="E2147" i="11"/>
  <c r="F2147" i="11"/>
  <c r="B2148" i="11"/>
  <c r="C2148" i="11"/>
  <c r="D2148" i="11"/>
  <c r="E2148" i="11"/>
  <c r="F2148" i="11"/>
  <c r="B2149" i="11"/>
  <c r="C2149" i="11"/>
  <c r="D2149" i="11"/>
  <c r="E2149" i="11"/>
  <c r="F2149" i="11"/>
  <c r="B2150" i="11"/>
  <c r="C2150" i="11"/>
  <c r="D2150" i="11"/>
  <c r="E2150" i="11"/>
  <c r="F2150" i="11"/>
  <c r="B2163" i="11"/>
  <c r="C2163" i="11"/>
  <c r="D2163" i="11"/>
  <c r="E2163" i="11"/>
  <c r="F2163" i="11"/>
  <c r="B2164" i="11"/>
  <c r="C2164" i="11"/>
  <c r="D2164" i="11"/>
  <c r="E2164" i="11"/>
  <c r="F2164" i="11"/>
  <c r="B2165" i="11"/>
  <c r="C2165" i="11"/>
  <c r="I2165" i="11"/>
  <c r="D2165" i="11"/>
  <c r="E2165" i="11"/>
  <c r="F2165" i="11"/>
  <c r="B2166" i="11"/>
  <c r="C2166" i="11"/>
  <c r="D2166" i="11"/>
  <c r="E2166" i="11"/>
  <c r="F2166" i="11"/>
  <c r="B2167" i="11"/>
  <c r="C2167" i="11"/>
  <c r="D2167" i="11"/>
  <c r="E2167" i="11"/>
  <c r="F2167" i="11"/>
  <c r="B2168" i="11"/>
  <c r="C2168" i="11"/>
  <c r="D2168" i="11"/>
  <c r="E2168" i="11"/>
  <c r="F2168" i="11"/>
  <c r="B2169" i="11"/>
  <c r="C2169" i="11"/>
  <c r="D2169" i="11"/>
  <c r="E2169" i="11"/>
  <c r="F2169" i="11"/>
  <c r="B2170" i="11"/>
  <c r="C2170" i="11"/>
  <c r="D2170" i="11"/>
  <c r="E2170" i="11"/>
  <c r="F2170" i="11"/>
  <c r="F2103" i="11"/>
  <c r="C2103" i="11"/>
  <c r="D2103" i="11"/>
  <c r="E2103" i="11"/>
  <c r="B2103" i="11"/>
  <c r="E79" i="27"/>
  <c r="D77" i="27"/>
  <c r="B1511" i="11"/>
  <c r="C1511" i="11"/>
  <c r="D1511" i="11"/>
  <c r="E1511" i="11"/>
  <c r="B1512" i="11"/>
  <c r="C1512" i="11"/>
  <c r="D1512" i="11"/>
  <c r="E1512" i="11"/>
  <c r="B1513" i="11"/>
  <c r="C1513" i="11"/>
  <c r="D1513" i="11"/>
  <c r="E1513" i="11"/>
  <c r="B1524" i="11"/>
  <c r="C1524" i="11"/>
  <c r="D1524" i="11"/>
  <c r="E1524" i="11"/>
  <c r="B1525" i="11"/>
  <c r="C1525" i="11"/>
  <c r="D1525" i="11"/>
  <c r="E1525" i="11"/>
  <c r="B1526" i="11"/>
  <c r="C1526" i="11"/>
  <c r="D1526" i="11"/>
  <c r="E1526" i="11"/>
  <c r="B1527" i="11"/>
  <c r="C1527" i="11"/>
  <c r="D1527" i="11"/>
  <c r="E1527" i="11"/>
  <c r="B1528" i="11"/>
  <c r="C1528" i="11"/>
  <c r="D1528" i="11"/>
  <c r="E1528" i="11"/>
  <c r="B1529" i="11"/>
  <c r="C1529" i="11"/>
  <c r="D1529" i="11"/>
  <c r="E1529" i="11"/>
  <c r="B1530" i="11"/>
  <c r="C1530" i="11"/>
  <c r="D1530" i="11"/>
  <c r="E1530" i="11"/>
  <c r="B1533" i="11"/>
  <c r="C1533" i="11"/>
  <c r="D1533" i="11"/>
  <c r="E1533" i="11"/>
  <c r="B1544" i="11"/>
  <c r="C1544" i="11"/>
  <c r="D1544" i="11"/>
  <c r="E1544" i="11"/>
  <c r="B1545" i="11"/>
  <c r="C1545" i="11"/>
  <c r="D1545" i="11"/>
  <c r="E1545" i="11"/>
  <c r="B1546" i="11"/>
  <c r="C1546" i="11"/>
  <c r="D1546" i="11"/>
  <c r="E1546" i="11"/>
  <c r="B1547" i="11"/>
  <c r="C1547" i="11"/>
  <c r="D1547" i="11"/>
  <c r="E1547" i="11"/>
  <c r="B1548" i="11"/>
  <c r="C1548" i="11"/>
  <c r="D1548" i="11"/>
  <c r="E1548" i="11"/>
  <c r="B1455" i="11"/>
  <c r="C1455" i="11"/>
  <c r="D1455" i="11"/>
  <c r="E1455" i="11"/>
  <c r="B1456" i="11"/>
  <c r="C1456" i="11"/>
  <c r="D1456" i="11"/>
  <c r="E1456" i="11"/>
  <c r="B1457" i="11"/>
  <c r="C1457" i="11"/>
  <c r="D1457" i="11"/>
  <c r="E1457" i="11"/>
  <c r="B1458" i="11"/>
  <c r="C1458" i="11"/>
  <c r="D1458" i="11"/>
  <c r="E1458" i="11"/>
  <c r="B1459" i="11"/>
  <c r="C1459" i="11"/>
  <c r="D1459" i="11"/>
  <c r="E1459" i="11"/>
  <c r="B1460" i="11"/>
  <c r="C1460" i="11"/>
  <c r="D1460" i="11"/>
  <c r="E1460" i="11"/>
  <c r="C1461" i="11"/>
  <c r="D1461" i="11"/>
  <c r="E1461" i="11"/>
  <c r="B1462" i="11"/>
  <c r="C1462" i="11"/>
  <c r="D1462" i="11"/>
  <c r="E1462" i="11"/>
  <c r="B1463" i="11"/>
  <c r="C1463" i="11"/>
  <c r="D1463" i="11"/>
  <c r="E1463" i="11"/>
  <c r="B1464" i="11"/>
  <c r="C1464" i="11"/>
  <c r="D1464" i="11"/>
  <c r="E1464" i="11"/>
  <c r="B1465" i="11"/>
  <c r="C1465" i="11"/>
  <c r="D1465" i="11"/>
  <c r="E1465" i="11"/>
  <c r="B1466" i="11"/>
  <c r="C1466" i="11"/>
  <c r="D1466" i="11"/>
  <c r="E1466" i="11"/>
  <c r="B1467" i="11"/>
  <c r="C1467" i="11"/>
  <c r="D1467" i="11"/>
  <c r="E1467" i="11"/>
  <c r="B1468" i="11"/>
  <c r="C1468" i="11"/>
  <c r="D1468" i="11"/>
  <c r="E1468" i="11"/>
  <c r="B1469" i="11"/>
  <c r="C1469" i="11"/>
  <c r="D1469" i="11"/>
  <c r="E1469" i="11"/>
  <c r="B1470" i="11"/>
  <c r="C1470" i="11"/>
  <c r="D1470" i="11"/>
  <c r="E1470" i="11"/>
  <c r="B1471" i="11"/>
  <c r="C1471" i="11"/>
  <c r="D1471" i="11"/>
  <c r="E1471" i="11"/>
  <c r="B1472" i="11"/>
  <c r="C1472" i="11"/>
  <c r="D1472" i="11"/>
  <c r="E1472" i="11"/>
  <c r="B1473" i="11"/>
  <c r="C1473" i="11"/>
  <c r="D1473" i="11"/>
  <c r="E1473" i="11"/>
  <c r="B1494" i="11"/>
  <c r="C1494" i="11"/>
  <c r="D1494" i="11"/>
  <c r="E1494" i="11"/>
  <c r="B1495" i="11"/>
  <c r="C1495" i="11"/>
  <c r="D1495" i="11"/>
  <c r="E1495" i="11"/>
  <c r="B1496" i="11"/>
  <c r="C1496" i="11"/>
  <c r="D1496" i="11"/>
  <c r="E1496" i="11"/>
  <c r="B1497" i="11"/>
  <c r="C1497" i="11"/>
  <c r="D1497" i="11"/>
  <c r="E1497" i="11"/>
  <c r="B1498" i="11"/>
  <c r="C1498" i="11"/>
  <c r="D1498" i="11"/>
  <c r="E1498" i="11"/>
  <c r="B1499" i="11"/>
  <c r="C1499" i="11"/>
  <c r="D1499" i="11"/>
  <c r="E1499" i="11"/>
  <c r="B1500" i="11"/>
  <c r="C1500" i="11"/>
  <c r="D1500" i="11"/>
  <c r="E1500" i="11"/>
  <c r="B1501" i="11"/>
  <c r="C1501" i="11"/>
  <c r="D1501" i="11"/>
  <c r="E1501" i="11"/>
  <c r="B1502" i="11"/>
  <c r="C1502" i="11"/>
  <c r="D1502" i="11"/>
  <c r="E1502" i="11"/>
  <c r="B1503" i="11"/>
  <c r="C1503" i="11"/>
  <c r="D1503" i="11"/>
  <c r="E1503" i="11"/>
  <c r="B1504" i="11"/>
  <c r="C1504" i="11"/>
  <c r="D1504" i="11"/>
  <c r="E1504" i="11"/>
  <c r="B1505" i="11"/>
  <c r="C1505" i="11"/>
  <c r="D1505" i="11"/>
  <c r="E1505" i="11"/>
  <c r="B1506" i="11"/>
  <c r="C1506" i="11"/>
  <c r="D1506" i="11"/>
  <c r="E1506" i="11"/>
  <c r="B1507" i="11"/>
  <c r="C1507" i="11"/>
  <c r="D1507" i="11"/>
  <c r="E1507" i="11"/>
  <c r="B1508" i="11"/>
  <c r="C1508" i="11"/>
  <c r="D1508" i="11"/>
  <c r="E1508" i="11"/>
  <c r="B1509" i="11"/>
  <c r="C1509" i="11"/>
  <c r="D1509" i="11"/>
  <c r="E1509" i="11"/>
  <c r="B1510" i="11"/>
  <c r="C1510" i="11"/>
  <c r="D1510" i="11"/>
  <c r="E1510" i="11"/>
  <c r="C1454" i="11"/>
  <c r="D1454" i="11"/>
  <c r="E1454" i="11"/>
  <c r="B1454" i="11"/>
  <c r="B1435" i="11"/>
  <c r="C1435" i="11"/>
  <c r="D1435" i="11"/>
  <c r="E1435" i="11"/>
  <c r="B1436" i="11"/>
  <c r="C1436" i="11"/>
  <c r="D1436" i="11"/>
  <c r="E1436" i="11"/>
  <c r="B1437" i="11"/>
  <c r="C1437" i="11"/>
  <c r="D1437" i="11"/>
  <c r="E1437" i="11"/>
  <c r="B1438" i="11"/>
  <c r="C1438" i="11"/>
  <c r="D1438" i="11"/>
  <c r="E1438" i="11"/>
  <c r="B1439" i="11"/>
  <c r="C1439" i="11"/>
  <c r="D1439" i="11"/>
  <c r="E1439" i="11"/>
  <c r="B1440" i="11"/>
  <c r="C1440" i="11"/>
  <c r="D1440" i="11"/>
  <c r="E1440" i="11"/>
  <c r="B1441" i="11"/>
  <c r="C1441" i="11"/>
  <c r="D1441" i="11"/>
  <c r="E1441" i="11"/>
  <c r="B1442" i="11"/>
  <c r="C1442" i="11"/>
  <c r="D1442" i="11"/>
  <c r="E1442" i="11"/>
  <c r="B1443" i="11"/>
  <c r="C1443" i="11"/>
  <c r="D1443" i="11"/>
  <c r="E1443" i="11"/>
  <c r="B1444" i="11"/>
  <c r="C1444" i="11"/>
  <c r="D1444" i="11"/>
  <c r="E1444" i="11"/>
  <c r="B1445" i="11"/>
  <c r="C1445" i="11"/>
  <c r="D1445" i="11"/>
  <c r="E1445" i="11"/>
  <c r="B1446" i="11"/>
  <c r="C1446" i="11"/>
  <c r="D1446" i="11"/>
  <c r="E1446" i="11"/>
  <c r="B1447" i="11"/>
  <c r="C1447" i="11"/>
  <c r="D1447" i="11"/>
  <c r="E1447" i="11"/>
  <c r="B1448" i="11"/>
  <c r="C1448" i="11"/>
  <c r="D1448" i="11"/>
  <c r="E1448" i="11"/>
  <c r="B1449" i="11"/>
  <c r="B73" i="27"/>
  <c r="C1449" i="11"/>
  <c r="D1449" i="11"/>
  <c r="E1449" i="11"/>
  <c r="B1450" i="11"/>
  <c r="C1450" i="11"/>
  <c r="D1450" i="11"/>
  <c r="E1450" i="11"/>
  <c r="B1451" i="11"/>
  <c r="C1451" i="11"/>
  <c r="D1451" i="11"/>
  <c r="E1451" i="11"/>
  <c r="B1452" i="11"/>
  <c r="C1452" i="11"/>
  <c r="D1452" i="11"/>
  <c r="E1452" i="11"/>
  <c r="B1453" i="11"/>
  <c r="C1453" i="11"/>
  <c r="D1453" i="11"/>
  <c r="E1453" i="11"/>
  <c r="B1474" i="11"/>
  <c r="C1474" i="11"/>
  <c r="D1474" i="11"/>
  <c r="E1474" i="11"/>
  <c r="B1475" i="11"/>
  <c r="C1475" i="11"/>
  <c r="D1475" i="11"/>
  <c r="E1475" i="11"/>
  <c r="B1476" i="11"/>
  <c r="C1476" i="11"/>
  <c r="D1476" i="11"/>
  <c r="E1476" i="11"/>
  <c r="B1477" i="11"/>
  <c r="C1477" i="11"/>
  <c r="D1477" i="11"/>
  <c r="E1477" i="11"/>
  <c r="B1478" i="11"/>
  <c r="C1478" i="11"/>
  <c r="D1478" i="11"/>
  <c r="E1478" i="11"/>
  <c r="B1479" i="11"/>
  <c r="C1479" i="11"/>
  <c r="D1479" i="11"/>
  <c r="E1479" i="11"/>
  <c r="B1480" i="11"/>
  <c r="C1480" i="11"/>
  <c r="D1480" i="11"/>
  <c r="E1480" i="11"/>
  <c r="B1481" i="11"/>
  <c r="C1481" i="11"/>
  <c r="D1481" i="11"/>
  <c r="E1481" i="11"/>
  <c r="B1482" i="11"/>
  <c r="C1482" i="11"/>
  <c r="D1482" i="11"/>
  <c r="E1482" i="11"/>
  <c r="B1483" i="11"/>
  <c r="C1483" i="11"/>
  <c r="D1483" i="11"/>
  <c r="E1483" i="11"/>
  <c r="B1484" i="11"/>
  <c r="C1484" i="11"/>
  <c r="D1484" i="11"/>
  <c r="E1484" i="11"/>
  <c r="B1485" i="11"/>
  <c r="C1485" i="11"/>
  <c r="D1485" i="11"/>
  <c r="E1485" i="11"/>
  <c r="B1486" i="11"/>
  <c r="C1486" i="11"/>
  <c r="D1486" i="11"/>
  <c r="E1486" i="11"/>
  <c r="B1487" i="11"/>
  <c r="C1487" i="11"/>
  <c r="D1487" i="11"/>
  <c r="E1487" i="11"/>
  <c r="B1488" i="11"/>
  <c r="C1488" i="11"/>
  <c r="D1488" i="11"/>
  <c r="E1488" i="11"/>
  <c r="B1489" i="11"/>
  <c r="C1489" i="11"/>
  <c r="D1489" i="11"/>
  <c r="E1489" i="11"/>
  <c r="B1490" i="11"/>
  <c r="C1490" i="11"/>
  <c r="D1490" i="11"/>
  <c r="E1490" i="11"/>
  <c r="B1491" i="11"/>
  <c r="C1491" i="11"/>
  <c r="D1491" i="11"/>
  <c r="E1491" i="11"/>
  <c r="B1492" i="11"/>
  <c r="C1492" i="11"/>
  <c r="D1492" i="11"/>
  <c r="E1492" i="11"/>
  <c r="B1493" i="11"/>
  <c r="C1493" i="11"/>
  <c r="D1493" i="11"/>
  <c r="E1493" i="11"/>
  <c r="B1514" i="11"/>
  <c r="C1514" i="11"/>
  <c r="D1514" i="11"/>
  <c r="E1514" i="11"/>
  <c r="B1515" i="11"/>
  <c r="C1515" i="11"/>
  <c r="D1515" i="11"/>
  <c r="E1515" i="11"/>
  <c r="B1516" i="11"/>
  <c r="C1516" i="11"/>
  <c r="D1516" i="11"/>
  <c r="E1516" i="11"/>
  <c r="B1517" i="11"/>
  <c r="C1517" i="11"/>
  <c r="D1517" i="11"/>
  <c r="E1517" i="11"/>
  <c r="B1518" i="11"/>
  <c r="C1518" i="11"/>
  <c r="D1518" i="11"/>
  <c r="E1518" i="11"/>
  <c r="B1519" i="11"/>
  <c r="C1519" i="11"/>
  <c r="D1519" i="11"/>
  <c r="E1519" i="11"/>
  <c r="B1520" i="11"/>
  <c r="C1520" i="11"/>
  <c r="D1520" i="11"/>
  <c r="E1520" i="11"/>
  <c r="B1523" i="11"/>
  <c r="C1523" i="11"/>
  <c r="D1523" i="11"/>
  <c r="E1523" i="11"/>
  <c r="B1539" i="11"/>
  <c r="C1539" i="11"/>
  <c r="D1539" i="11"/>
  <c r="E1539" i="11"/>
  <c r="B1540" i="11"/>
  <c r="C1540" i="11"/>
  <c r="D1540" i="11"/>
  <c r="E1540" i="11"/>
  <c r="B1541" i="11"/>
  <c r="C1541" i="11"/>
  <c r="D1541" i="11"/>
  <c r="E1541" i="11"/>
  <c r="B1542" i="11"/>
  <c r="C1542" i="11"/>
  <c r="D1542" i="11"/>
  <c r="E1542" i="11"/>
  <c r="B1543" i="11"/>
  <c r="C1543" i="11"/>
  <c r="D1543" i="11"/>
  <c r="E1543" i="11"/>
  <c r="C1434" i="11"/>
  <c r="D1434" i="11"/>
  <c r="E1434" i="11"/>
  <c r="B1434" i="11"/>
  <c r="B64" i="11"/>
  <c r="C64" i="11"/>
  <c r="D64" i="11"/>
  <c r="E64" i="11"/>
  <c r="F64" i="11"/>
  <c r="G64" i="11"/>
  <c r="H64" i="11"/>
  <c r="B65" i="11"/>
  <c r="C65" i="11"/>
  <c r="D65" i="11"/>
  <c r="E65" i="11"/>
  <c r="F65" i="11"/>
  <c r="G65" i="11"/>
  <c r="H65" i="11"/>
  <c r="B66" i="11"/>
  <c r="C66" i="11"/>
  <c r="D66" i="11"/>
  <c r="E66" i="11"/>
  <c r="F66" i="11"/>
  <c r="G66" i="11"/>
  <c r="H66" i="11"/>
  <c r="B67" i="11"/>
  <c r="C67" i="11"/>
  <c r="D67" i="11"/>
  <c r="E67" i="11"/>
  <c r="F67" i="11"/>
  <c r="G67" i="11"/>
  <c r="H67" i="11"/>
  <c r="B68" i="11"/>
  <c r="C68" i="11"/>
  <c r="D68" i="11"/>
  <c r="E68" i="11"/>
  <c r="F68" i="11"/>
  <c r="G68" i="11"/>
  <c r="H68" i="11"/>
  <c r="B69" i="11"/>
  <c r="C69" i="11"/>
  <c r="D69" i="11"/>
  <c r="E69" i="11"/>
  <c r="F69" i="11"/>
  <c r="G69" i="11"/>
  <c r="H69" i="11"/>
  <c r="B70" i="11"/>
  <c r="C70" i="11"/>
  <c r="D70" i="11"/>
  <c r="E70" i="11"/>
  <c r="F70" i="11"/>
  <c r="G70" i="11"/>
  <c r="H70" i="11"/>
  <c r="B75" i="11"/>
  <c r="C75" i="11"/>
  <c r="I75" i="11"/>
  <c r="D75" i="11"/>
  <c r="E75" i="11"/>
  <c r="F75" i="11"/>
  <c r="G75" i="11"/>
  <c r="H75" i="11"/>
  <c r="B76" i="11"/>
  <c r="C76" i="11"/>
  <c r="D76" i="11"/>
  <c r="E76" i="11"/>
  <c r="F76" i="11"/>
  <c r="G76" i="11"/>
  <c r="H76" i="11"/>
  <c r="B77" i="11"/>
  <c r="C77" i="11"/>
  <c r="D77" i="11"/>
  <c r="E77" i="11"/>
  <c r="F77" i="11"/>
  <c r="G77" i="11"/>
  <c r="H77" i="11"/>
  <c r="B78" i="11"/>
  <c r="C78" i="11"/>
  <c r="D78" i="11"/>
  <c r="E78" i="11"/>
  <c r="F78" i="11"/>
  <c r="G78" i="11"/>
  <c r="H78" i="11"/>
  <c r="B79" i="11"/>
  <c r="C79" i="11"/>
  <c r="I79" i="11"/>
  <c r="D79" i="11"/>
  <c r="E79" i="11"/>
  <c r="F79" i="11"/>
  <c r="G79" i="11"/>
  <c r="H79" i="11"/>
  <c r="B80" i="11"/>
  <c r="C80" i="11"/>
  <c r="D80" i="11"/>
  <c r="E80" i="11"/>
  <c r="F80" i="11"/>
  <c r="G80" i="11"/>
  <c r="H80" i="11"/>
  <c r="B81" i="11"/>
  <c r="C81" i="11"/>
  <c r="D81" i="11"/>
  <c r="E81" i="11"/>
  <c r="F81" i="11"/>
  <c r="G81" i="11"/>
  <c r="H81" i="11"/>
  <c r="B82" i="11"/>
  <c r="C82" i="11"/>
  <c r="D82" i="11"/>
  <c r="E82" i="11"/>
  <c r="F82" i="11"/>
  <c r="G82" i="11"/>
  <c r="H82" i="11"/>
  <c r="B85" i="11"/>
  <c r="C85" i="11"/>
  <c r="D85" i="11"/>
  <c r="E85" i="11"/>
  <c r="F85" i="11"/>
  <c r="G85" i="11"/>
  <c r="H85" i="11"/>
  <c r="B86" i="11"/>
  <c r="C86" i="11"/>
  <c r="D86" i="11"/>
  <c r="E86" i="11"/>
  <c r="F86" i="11"/>
  <c r="G86" i="11"/>
  <c r="H86" i="11"/>
  <c r="B87" i="11"/>
  <c r="C87" i="11"/>
  <c r="D87" i="11"/>
  <c r="E87" i="11"/>
  <c r="F87" i="11"/>
  <c r="G87" i="11"/>
  <c r="H87" i="11"/>
  <c r="B88" i="11"/>
  <c r="C88" i="11"/>
  <c r="D88" i="11"/>
  <c r="E88" i="11"/>
  <c r="F88" i="11"/>
  <c r="G88" i="11"/>
  <c r="H88" i="11"/>
  <c r="B89" i="11"/>
  <c r="C89" i="11"/>
  <c r="I89" i="11"/>
  <c r="D89" i="11"/>
  <c r="E89" i="11"/>
  <c r="F89" i="11"/>
  <c r="G89" i="11"/>
  <c r="H89" i="11"/>
  <c r="B90" i="11"/>
  <c r="C90" i="11"/>
  <c r="D90" i="11"/>
  <c r="E90" i="11"/>
  <c r="F90" i="11"/>
  <c r="G90" i="11"/>
  <c r="H90" i="11"/>
  <c r="B91" i="11"/>
  <c r="C91" i="11"/>
  <c r="D91" i="11"/>
  <c r="E91" i="11"/>
  <c r="F91" i="11"/>
  <c r="G91" i="11"/>
  <c r="H91" i="11"/>
  <c r="B92" i="11"/>
  <c r="C92" i="11"/>
  <c r="D92" i="11"/>
  <c r="E92" i="11"/>
  <c r="F92" i="11"/>
  <c r="G92" i="11"/>
  <c r="H92" i="11"/>
  <c r="B93" i="11"/>
  <c r="C93" i="11"/>
  <c r="I93" i="11"/>
  <c r="D93" i="11"/>
  <c r="E93" i="11"/>
  <c r="F93" i="11"/>
  <c r="G93" i="11"/>
  <c r="H93" i="11"/>
  <c r="B94" i="11"/>
  <c r="C94" i="11"/>
  <c r="D94" i="11"/>
  <c r="E94" i="11"/>
  <c r="F94" i="11"/>
  <c r="G94" i="11"/>
  <c r="H94" i="11"/>
  <c r="B95" i="11"/>
  <c r="C95" i="11"/>
  <c r="D95" i="11"/>
  <c r="E95" i="11"/>
  <c r="F95" i="11"/>
  <c r="G95" i="11"/>
  <c r="H95" i="11"/>
  <c r="B96" i="11"/>
  <c r="C96" i="11"/>
  <c r="D96" i="11"/>
  <c r="E96" i="11"/>
  <c r="F96" i="11"/>
  <c r="G96" i="11"/>
  <c r="H96" i="11"/>
  <c r="B97" i="11"/>
  <c r="C97" i="11"/>
  <c r="I97" i="11"/>
  <c r="D97" i="11"/>
  <c r="E97" i="11"/>
  <c r="F97" i="11"/>
  <c r="G97" i="11"/>
  <c r="H97" i="11"/>
  <c r="B98" i="11"/>
  <c r="C98" i="11"/>
  <c r="D98" i="11"/>
  <c r="E98" i="11"/>
  <c r="F98" i="11"/>
  <c r="F72" i="27"/>
  <c r="G98" i="11"/>
  <c r="H98" i="11"/>
  <c r="B99" i="11"/>
  <c r="C99" i="11"/>
  <c r="D99" i="11"/>
  <c r="E99" i="11"/>
  <c r="F99" i="11"/>
  <c r="G99" i="11"/>
  <c r="H99" i="11"/>
  <c r="B100" i="11"/>
  <c r="C100" i="11"/>
  <c r="D100" i="11"/>
  <c r="E100" i="11"/>
  <c r="F100" i="11"/>
  <c r="G100" i="11"/>
  <c r="H100" i="11"/>
  <c r="B101" i="11"/>
  <c r="C101" i="11"/>
  <c r="D101" i="11"/>
  <c r="E101" i="11"/>
  <c r="F101" i="11"/>
  <c r="G101" i="11"/>
  <c r="H101" i="11"/>
  <c r="B102" i="11"/>
  <c r="C102" i="11"/>
  <c r="D102" i="11"/>
  <c r="E102" i="11"/>
  <c r="F102" i="11"/>
  <c r="G102" i="11"/>
  <c r="H102" i="11"/>
  <c r="B103" i="11"/>
  <c r="C103" i="11"/>
  <c r="D103" i="11"/>
  <c r="E103" i="11"/>
  <c r="F103" i="11"/>
  <c r="G103" i="11"/>
  <c r="H103" i="11"/>
  <c r="B104" i="11"/>
  <c r="C104" i="11"/>
  <c r="D104" i="11"/>
  <c r="E104" i="11"/>
  <c r="F104" i="11"/>
  <c r="G104" i="11"/>
  <c r="H104" i="11"/>
  <c r="B105" i="11"/>
  <c r="C105" i="11"/>
  <c r="D105" i="11"/>
  <c r="E105" i="11"/>
  <c r="F105" i="11"/>
  <c r="G105" i="11"/>
  <c r="H105" i="11"/>
  <c r="B106" i="11"/>
  <c r="C106" i="11"/>
  <c r="D106" i="11"/>
  <c r="E106" i="11"/>
  <c r="F106" i="11"/>
  <c r="G106" i="11"/>
  <c r="H106" i="11"/>
  <c r="B107" i="11"/>
  <c r="C107" i="11"/>
  <c r="D107" i="11"/>
  <c r="E107" i="11"/>
  <c r="F107" i="11"/>
  <c r="G107" i="11"/>
  <c r="H107" i="11"/>
  <c r="B108" i="11"/>
  <c r="C108" i="11"/>
  <c r="D108" i="11"/>
  <c r="E108" i="11"/>
  <c r="F108" i="11"/>
  <c r="G108" i="11"/>
  <c r="H108" i="11"/>
  <c r="H63" i="11"/>
  <c r="G63" i="11"/>
  <c r="F63" i="11"/>
  <c r="C63" i="11"/>
  <c r="D63" i="11"/>
  <c r="E63" i="11"/>
  <c r="B63" i="11"/>
  <c r="B224" i="11"/>
  <c r="C224" i="11"/>
  <c r="D224" i="11"/>
  <c r="E224" i="11"/>
  <c r="F224" i="11"/>
  <c r="G224" i="11"/>
  <c r="H224" i="11"/>
  <c r="B225" i="11"/>
  <c r="C225" i="11"/>
  <c r="D225" i="11"/>
  <c r="E225" i="11"/>
  <c r="F225" i="11"/>
  <c r="G225" i="11"/>
  <c r="H225" i="11"/>
  <c r="B226" i="11"/>
  <c r="C226" i="11"/>
  <c r="D226" i="11"/>
  <c r="E226" i="11"/>
  <c r="F226" i="11"/>
  <c r="G226" i="11"/>
  <c r="H226" i="11"/>
  <c r="B227" i="11"/>
  <c r="C227" i="11"/>
  <c r="D227" i="11"/>
  <c r="E227" i="11"/>
  <c r="F227" i="11"/>
  <c r="G227" i="11"/>
  <c r="H227" i="11"/>
  <c r="B228" i="11"/>
  <c r="C228" i="11"/>
  <c r="D228" i="11"/>
  <c r="E228" i="11"/>
  <c r="F228" i="11"/>
  <c r="G228" i="11"/>
  <c r="H228" i="11"/>
  <c r="B229" i="11"/>
  <c r="C229" i="11"/>
  <c r="D229" i="11"/>
  <c r="E229" i="11"/>
  <c r="F229" i="11"/>
  <c r="G229" i="11"/>
  <c r="H229" i="11"/>
  <c r="B230" i="11"/>
  <c r="C230" i="11"/>
  <c r="D230" i="11"/>
  <c r="E230" i="11"/>
  <c r="F230" i="11"/>
  <c r="G230" i="11"/>
  <c r="H230" i="11"/>
  <c r="B231" i="11"/>
  <c r="C231" i="11"/>
  <c r="D231" i="11"/>
  <c r="E231" i="11"/>
  <c r="F231" i="11"/>
  <c r="G231" i="11"/>
  <c r="H231" i="11"/>
  <c r="B232" i="11"/>
  <c r="C232" i="11"/>
  <c r="D232" i="11"/>
  <c r="E232" i="11"/>
  <c r="F232" i="11"/>
  <c r="G232" i="11"/>
  <c r="H232" i="11"/>
  <c r="B186" i="11"/>
  <c r="C186" i="11"/>
  <c r="D186" i="11"/>
  <c r="E186" i="11"/>
  <c r="F186" i="11"/>
  <c r="G186" i="11"/>
  <c r="H186" i="11"/>
  <c r="B187" i="11"/>
  <c r="C187" i="11"/>
  <c r="D187" i="11"/>
  <c r="E187" i="11"/>
  <c r="F187" i="11"/>
  <c r="G187" i="11"/>
  <c r="H187" i="11"/>
  <c r="B188" i="11"/>
  <c r="C188" i="11"/>
  <c r="D188" i="11"/>
  <c r="E188" i="11"/>
  <c r="F188" i="11"/>
  <c r="G188" i="11"/>
  <c r="H188" i="11"/>
  <c r="B189" i="11"/>
  <c r="C189" i="11"/>
  <c r="D189" i="11"/>
  <c r="E189" i="11"/>
  <c r="F189" i="11"/>
  <c r="G189" i="11"/>
  <c r="H189" i="11"/>
  <c r="B190" i="11"/>
  <c r="C190" i="11"/>
  <c r="D190" i="11"/>
  <c r="E190" i="11"/>
  <c r="F190" i="11"/>
  <c r="G190" i="11"/>
  <c r="H190" i="11"/>
  <c r="B191" i="11"/>
  <c r="C191" i="11"/>
  <c r="D191" i="11"/>
  <c r="E191" i="11"/>
  <c r="F191" i="11"/>
  <c r="G191" i="11"/>
  <c r="H191" i="11"/>
  <c r="B192" i="11"/>
  <c r="C192" i="11"/>
  <c r="D192" i="11"/>
  <c r="E192" i="11"/>
  <c r="F192" i="11"/>
  <c r="G192" i="11"/>
  <c r="H192" i="11"/>
  <c r="B200" i="11"/>
  <c r="C200" i="11"/>
  <c r="D200" i="11"/>
  <c r="E200" i="11"/>
  <c r="F200" i="11"/>
  <c r="G200" i="11"/>
  <c r="H200" i="11"/>
  <c r="B201" i="11"/>
  <c r="C201" i="11"/>
  <c r="D201" i="11"/>
  <c r="E201" i="11"/>
  <c r="F201" i="11"/>
  <c r="G201" i="11"/>
  <c r="H201" i="11"/>
  <c r="B202" i="11"/>
  <c r="C202" i="11"/>
  <c r="D202" i="11"/>
  <c r="E202" i="11"/>
  <c r="F202" i="11"/>
  <c r="G202" i="11"/>
  <c r="H202" i="11"/>
  <c r="B203" i="11"/>
  <c r="C203" i="11"/>
  <c r="D203" i="11"/>
  <c r="E203" i="11"/>
  <c r="F203" i="11"/>
  <c r="G203" i="11"/>
  <c r="H203" i="11"/>
  <c r="B204" i="11"/>
  <c r="C204" i="11"/>
  <c r="D204" i="11"/>
  <c r="E204" i="11"/>
  <c r="F204" i="11"/>
  <c r="G204" i="11"/>
  <c r="H204" i="11"/>
  <c r="B205" i="11"/>
  <c r="C205" i="11"/>
  <c r="D205" i="11"/>
  <c r="E205" i="11"/>
  <c r="F205" i="11"/>
  <c r="G205" i="11"/>
  <c r="H205" i="11"/>
  <c r="B206" i="11"/>
  <c r="C206" i="11"/>
  <c r="D206" i="11"/>
  <c r="E206" i="11"/>
  <c r="F206" i="11"/>
  <c r="G206" i="11"/>
  <c r="H206" i="11"/>
  <c r="B207" i="11"/>
  <c r="C207" i="11"/>
  <c r="D207" i="11"/>
  <c r="E207" i="11"/>
  <c r="F207" i="11"/>
  <c r="G207" i="11"/>
  <c r="H207" i="11"/>
  <c r="B212" i="11"/>
  <c r="C212" i="11"/>
  <c r="D212" i="11"/>
  <c r="E212" i="11"/>
  <c r="F212" i="11"/>
  <c r="G212" i="11"/>
  <c r="H212" i="11"/>
  <c r="B213" i="11"/>
  <c r="C213" i="11"/>
  <c r="D213" i="11"/>
  <c r="E213" i="11"/>
  <c r="F213" i="11"/>
  <c r="G213" i="11"/>
  <c r="H213" i="11"/>
  <c r="B214" i="11"/>
  <c r="C214" i="11"/>
  <c r="D214" i="11"/>
  <c r="E214" i="11"/>
  <c r="F214" i="11"/>
  <c r="G214" i="11"/>
  <c r="H214" i="11"/>
  <c r="B215" i="11"/>
  <c r="C215" i="11"/>
  <c r="D215" i="11"/>
  <c r="E215" i="11"/>
  <c r="E70" i="27"/>
  <c r="F215" i="11"/>
  <c r="G215" i="11"/>
  <c r="H215" i="11"/>
  <c r="B216" i="11"/>
  <c r="C216" i="11"/>
  <c r="D216" i="11"/>
  <c r="E216" i="11"/>
  <c r="F216" i="11"/>
  <c r="G216" i="11"/>
  <c r="H216" i="11"/>
  <c r="B217" i="11"/>
  <c r="C217" i="11"/>
  <c r="D217" i="11"/>
  <c r="E217" i="11"/>
  <c r="F217" i="11"/>
  <c r="G217" i="11"/>
  <c r="H217" i="11"/>
  <c r="B218" i="11"/>
  <c r="C218" i="11"/>
  <c r="D218" i="11"/>
  <c r="E218" i="11"/>
  <c r="F218" i="11"/>
  <c r="G218" i="11"/>
  <c r="H218" i="11"/>
  <c r="B219" i="11"/>
  <c r="C219" i="11"/>
  <c r="D219" i="11"/>
  <c r="E219" i="11"/>
  <c r="F219" i="11"/>
  <c r="G219" i="11"/>
  <c r="H219" i="11"/>
  <c r="B220" i="11"/>
  <c r="C220" i="11"/>
  <c r="D220" i="11"/>
  <c r="E220" i="11"/>
  <c r="F220" i="11"/>
  <c r="G220" i="11"/>
  <c r="H220" i="11"/>
  <c r="B221" i="11"/>
  <c r="C221" i="11"/>
  <c r="D221" i="11"/>
  <c r="E221" i="11"/>
  <c r="F221" i="11"/>
  <c r="G221" i="11"/>
  <c r="H221" i="11"/>
  <c r="B222" i="11"/>
  <c r="C222" i="11"/>
  <c r="D222" i="11"/>
  <c r="E222" i="11"/>
  <c r="F222" i="11"/>
  <c r="G222" i="11"/>
  <c r="H222" i="11"/>
  <c r="B223" i="11"/>
  <c r="C223" i="11"/>
  <c r="D223" i="11"/>
  <c r="E223" i="11"/>
  <c r="F223" i="11"/>
  <c r="G223" i="11"/>
  <c r="H223" i="11"/>
  <c r="H185" i="11"/>
  <c r="G185" i="11"/>
  <c r="F185" i="11"/>
  <c r="C185" i="11"/>
  <c r="D185" i="11"/>
  <c r="E185" i="11"/>
  <c r="B185" i="11"/>
  <c r="B2232" i="11"/>
  <c r="C2232" i="11"/>
  <c r="D2232" i="11"/>
  <c r="E2232" i="11"/>
  <c r="F2232" i="11"/>
  <c r="G2232" i="11"/>
  <c r="H2232" i="11"/>
  <c r="B2233" i="11"/>
  <c r="C2233" i="11"/>
  <c r="D2233" i="11"/>
  <c r="E2233" i="11"/>
  <c r="F2233" i="11"/>
  <c r="G2233" i="11"/>
  <c r="H2233" i="11"/>
  <c r="B2234" i="11"/>
  <c r="C2234" i="11"/>
  <c r="D2234" i="11"/>
  <c r="E2234" i="11"/>
  <c r="F2234" i="11"/>
  <c r="G2234" i="11"/>
  <c r="H2234" i="11"/>
  <c r="B2235" i="11"/>
  <c r="C2235" i="11"/>
  <c r="D2235" i="11"/>
  <c r="E2235" i="11"/>
  <c r="F2235" i="11"/>
  <c r="G2235" i="11"/>
  <c r="H2235" i="11"/>
  <c r="B2236" i="11"/>
  <c r="C2236" i="11"/>
  <c r="D2236" i="11"/>
  <c r="E2236" i="11"/>
  <c r="F2236" i="11"/>
  <c r="G2236" i="11"/>
  <c r="H2236" i="11"/>
  <c r="B2237" i="11"/>
  <c r="C2237" i="11"/>
  <c r="D2237" i="11"/>
  <c r="E2237" i="11"/>
  <c r="F2237" i="11"/>
  <c r="G2237" i="11"/>
  <c r="H2237" i="11"/>
  <c r="B2238" i="11"/>
  <c r="C2238" i="11"/>
  <c r="D2238" i="11"/>
  <c r="E2238" i="11"/>
  <c r="F2238" i="11"/>
  <c r="G2238" i="11"/>
  <c r="H2238" i="11"/>
  <c r="B2239" i="11"/>
  <c r="C2239" i="11"/>
  <c r="D2239" i="11"/>
  <c r="E2239" i="11"/>
  <c r="F2239" i="11"/>
  <c r="G2239" i="11"/>
  <c r="H2239" i="11"/>
  <c r="B2240" i="11"/>
  <c r="C2240" i="11"/>
  <c r="D2240" i="11"/>
  <c r="E2240" i="11"/>
  <c r="F2240" i="11"/>
  <c r="G2240" i="11"/>
  <c r="H2240" i="11"/>
  <c r="B2241" i="11"/>
  <c r="C2241" i="11"/>
  <c r="D2241" i="11"/>
  <c r="E2241" i="11"/>
  <c r="F2241" i="11"/>
  <c r="G2241" i="11"/>
  <c r="H2241" i="11"/>
  <c r="B2242" i="11"/>
  <c r="C2242" i="11"/>
  <c r="D2242" i="11"/>
  <c r="E2242" i="11"/>
  <c r="F2242" i="11"/>
  <c r="G2242" i="11"/>
  <c r="H2242" i="11"/>
  <c r="B2243" i="11"/>
  <c r="C2243" i="11"/>
  <c r="D2243" i="11"/>
  <c r="E2243" i="11"/>
  <c r="F2243" i="11"/>
  <c r="G2243" i="11"/>
  <c r="H2243" i="11"/>
  <c r="B2199" i="11"/>
  <c r="C2199" i="11"/>
  <c r="D2199" i="11"/>
  <c r="E2199" i="11"/>
  <c r="F2199" i="11"/>
  <c r="G2199" i="11"/>
  <c r="H2199" i="11"/>
  <c r="B2200" i="11"/>
  <c r="C2200" i="11"/>
  <c r="D2200" i="11"/>
  <c r="E2200" i="11"/>
  <c r="F2200" i="11"/>
  <c r="G2200" i="11"/>
  <c r="H2200" i="11"/>
  <c r="B2201" i="11"/>
  <c r="C2201" i="11"/>
  <c r="D2201" i="11"/>
  <c r="E2201" i="11"/>
  <c r="F2201" i="11"/>
  <c r="G2201" i="11"/>
  <c r="H2201" i="11"/>
  <c r="B2202" i="11"/>
  <c r="C2202" i="11"/>
  <c r="D2202" i="11"/>
  <c r="E2202" i="11"/>
  <c r="F2202" i="11"/>
  <c r="G2202" i="11"/>
  <c r="H2202" i="11"/>
  <c r="B2203" i="11"/>
  <c r="C2203" i="11"/>
  <c r="D2203" i="11"/>
  <c r="E2203" i="11"/>
  <c r="F2203" i="11"/>
  <c r="G2203" i="11"/>
  <c r="H2203" i="11"/>
  <c r="B2204" i="11"/>
  <c r="C2204" i="11"/>
  <c r="D2204" i="11"/>
  <c r="E2204" i="11"/>
  <c r="F2204" i="11"/>
  <c r="G2204" i="11"/>
  <c r="H2204" i="11"/>
  <c r="B2205" i="11"/>
  <c r="C2205" i="11"/>
  <c r="D2205" i="11"/>
  <c r="E2205" i="11"/>
  <c r="F2205" i="11"/>
  <c r="G2205" i="11"/>
  <c r="H2205" i="11"/>
  <c r="B2210" i="11"/>
  <c r="C2210" i="11"/>
  <c r="D2210" i="11"/>
  <c r="E2210" i="11"/>
  <c r="F2210" i="11"/>
  <c r="G2210" i="11"/>
  <c r="H2210" i="11"/>
  <c r="B2211" i="11"/>
  <c r="C2211" i="11"/>
  <c r="D2211" i="11"/>
  <c r="E2211" i="11"/>
  <c r="F2211" i="11"/>
  <c r="G2211" i="11"/>
  <c r="H2211" i="11"/>
  <c r="B2212" i="11"/>
  <c r="C2212" i="11"/>
  <c r="D2212" i="11"/>
  <c r="E2212" i="11"/>
  <c r="F2212" i="11"/>
  <c r="G2212" i="11"/>
  <c r="H2212" i="11"/>
  <c r="B2213" i="11"/>
  <c r="C2213" i="11"/>
  <c r="D2213" i="11"/>
  <c r="E2213" i="11"/>
  <c r="F2213" i="11"/>
  <c r="G2213" i="11"/>
  <c r="H2213" i="11"/>
  <c r="B2214" i="11"/>
  <c r="C2214" i="11"/>
  <c r="D2214" i="11"/>
  <c r="D68" i="27"/>
  <c r="E2214" i="11"/>
  <c r="F2214" i="11"/>
  <c r="G2214" i="11"/>
  <c r="H2214" i="11"/>
  <c r="B2215" i="11"/>
  <c r="C2215" i="11"/>
  <c r="D2215" i="11"/>
  <c r="E2215" i="11"/>
  <c r="F2215" i="11"/>
  <c r="G2215" i="11"/>
  <c r="H2215" i="11"/>
  <c r="B2216" i="11"/>
  <c r="C2216" i="11"/>
  <c r="D2216" i="11"/>
  <c r="E2216" i="11"/>
  <c r="F2216" i="11"/>
  <c r="G2216" i="11"/>
  <c r="H2216" i="11"/>
  <c r="B2217" i="11"/>
  <c r="C2217" i="11"/>
  <c r="D2217" i="11"/>
  <c r="E2217" i="11"/>
  <c r="F2217" i="11"/>
  <c r="G2217" i="11"/>
  <c r="H2217" i="11"/>
  <c r="B2220" i="11"/>
  <c r="C2220" i="11"/>
  <c r="D2220" i="11"/>
  <c r="E2220" i="11"/>
  <c r="F2220" i="11"/>
  <c r="G2220" i="11"/>
  <c r="H2220" i="11"/>
  <c r="B2221" i="11"/>
  <c r="C2221" i="11"/>
  <c r="D2221" i="11"/>
  <c r="E2221" i="11"/>
  <c r="F2221" i="11"/>
  <c r="G2221" i="11"/>
  <c r="H2221" i="11"/>
  <c r="B2222" i="11"/>
  <c r="C2222" i="11"/>
  <c r="D2222" i="11"/>
  <c r="E2222" i="11"/>
  <c r="F2222" i="11"/>
  <c r="G2222" i="11"/>
  <c r="H2222" i="11"/>
  <c r="B2223" i="11"/>
  <c r="C2223" i="11"/>
  <c r="D2223" i="11"/>
  <c r="E2223" i="11"/>
  <c r="F2223" i="11"/>
  <c r="G2223" i="11"/>
  <c r="H2223" i="11"/>
  <c r="B2224" i="11"/>
  <c r="C2224" i="11"/>
  <c r="D2224" i="11"/>
  <c r="E2224" i="11"/>
  <c r="F2224" i="11"/>
  <c r="G2224" i="11"/>
  <c r="H2224" i="11"/>
  <c r="B2225" i="11"/>
  <c r="C2225" i="11"/>
  <c r="D2225" i="11"/>
  <c r="E2225" i="11"/>
  <c r="F2225" i="11"/>
  <c r="G2225" i="11"/>
  <c r="H2225" i="11"/>
  <c r="B2226" i="11"/>
  <c r="C2226" i="11"/>
  <c r="D2226" i="11"/>
  <c r="E2226" i="11"/>
  <c r="F2226" i="11"/>
  <c r="G2226" i="11"/>
  <c r="H2226" i="11"/>
  <c r="B2227" i="11"/>
  <c r="C2227" i="11"/>
  <c r="D2227" i="11"/>
  <c r="E2227" i="11"/>
  <c r="F2227" i="11"/>
  <c r="G2227" i="11"/>
  <c r="H2227" i="11"/>
  <c r="B2228" i="11"/>
  <c r="C2228" i="11"/>
  <c r="D2228" i="11"/>
  <c r="E2228" i="11"/>
  <c r="F2228" i="11"/>
  <c r="G2228" i="11"/>
  <c r="H2228" i="11"/>
  <c r="B2229" i="11"/>
  <c r="C2229" i="11"/>
  <c r="D2229" i="11"/>
  <c r="E2229" i="11"/>
  <c r="F2229" i="11"/>
  <c r="G2229" i="11"/>
  <c r="H2229" i="11"/>
  <c r="B2230" i="11"/>
  <c r="C2230" i="11"/>
  <c r="D2230" i="11"/>
  <c r="E2230" i="11"/>
  <c r="F2230" i="11"/>
  <c r="G2230" i="11"/>
  <c r="H2230" i="11"/>
  <c r="B2231" i="11"/>
  <c r="C2231" i="11"/>
  <c r="D2231" i="11"/>
  <c r="E2231" i="11"/>
  <c r="F2231" i="11"/>
  <c r="G2231" i="11"/>
  <c r="H2231" i="11"/>
  <c r="H2198" i="11"/>
  <c r="G2198" i="11"/>
  <c r="F2198" i="11"/>
  <c r="C2198" i="11"/>
  <c r="D2198" i="11"/>
  <c r="E2198" i="11"/>
  <c r="B2198" i="11"/>
  <c r="B1415" i="11"/>
  <c r="C1415" i="11"/>
  <c r="D1415" i="11"/>
  <c r="E1415" i="11"/>
  <c r="B1416" i="11"/>
  <c r="C1416" i="11"/>
  <c r="D1416" i="11"/>
  <c r="E1416" i="11"/>
  <c r="B1417" i="11"/>
  <c r="C1417" i="11"/>
  <c r="D1417" i="11"/>
  <c r="E1417" i="11"/>
  <c r="B1418" i="11"/>
  <c r="C1418" i="11"/>
  <c r="D1418" i="11"/>
  <c r="E1418" i="11"/>
  <c r="B1419" i="11"/>
  <c r="C1419" i="11"/>
  <c r="D1419" i="11"/>
  <c r="E1419" i="11"/>
  <c r="B2064" i="11"/>
  <c r="C2064" i="11"/>
  <c r="D2064" i="11"/>
  <c r="E2064" i="11"/>
  <c r="B2065" i="11"/>
  <c r="C2065" i="11"/>
  <c r="D2065" i="11"/>
  <c r="E2065" i="11"/>
  <c r="B2066" i="11"/>
  <c r="C2066" i="11"/>
  <c r="D2066" i="11"/>
  <c r="E2066" i="11"/>
  <c r="B2067" i="11"/>
  <c r="C2067" i="11"/>
  <c r="D2067" i="11"/>
  <c r="E2067" i="11"/>
  <c r="B2068" i="11"/>
  <c r="C2068" i="11"/>
  <c r="D2068" i="11"/>
  <c r="E2068" i="11"/>
  <c r="B2069" i="11"/>
  <c r="C2069" i="11"/>
  <c r="D2069" i="11"/>
  <c r="E2069" i="11"/>
  <c r="B2070" i="11"/>
  <c r="C2070" i="11"/>
  <c r="D2070" i="11"/>
  <c r="E2070" i="11"/>
  <c r="B2071" i="11"/>
  <c r="C2071" i="11"/>
  <c r="D2071" i="11"/>
  <c r="E2071" i="11"/>
  <c r="B2072" i="11"/>
  <c r="C2072" i="11"/>
  <c r="D2072" i="11"/>
  <c r="E2072" i="11"/>
  <c r="B2073" i="11"/>
  <c r="C2073" i="11"/>
  <c r="D2073" i="11"/>
  <c r="E2073" i="11"/>
  <c r="B2074" i="11"/>
  <c r="C2074" i="11"/>
  <c r="D2074" i="11"/>
  <c r="E2074" i="11"/>
  <c r="B2075" i="11"/>
  <c r="C2075" i="11"/>
  <c r="D2075" i="11"/>
  <c r="E2075" i="11"/>
  <c r="B2076" i="11"/>
  <c r="C2076" i="11"/>
  <c r="D2076" i="11"/>
  <c r="E2076" i="11"/>
  <c r="B2077" i="11"/>
  <c r="C2077" i="11"/>
  <c r="D2077" i="11"/>
  <c r="E2077" i="11"/>
  <c r="B2078" i="11"/>
  <c r="C2078" i="11"/>
  <c r="D2078" i="11"/>
  <c r="E2078" i="11"/>
  <c r="B1404" i="11"/>
  <c r="C1404" i="11"/>
  <c r="D1404" i="11"/>
  <c r="E1404" i="11"/>
  <c r="B1405" i="11"/>
  <c r="C1405" i="11"/>
  <c r="D1405" i="11"/>
  <c r="E1405" i="11"/>
  <c r="B1406" i="11"/>
  <c r="C1406" i="11"/>
  <c r="D1406" i="11"/>
  <c r="E1406" i="11"/>
  <c r="B1407" i="11"/>
  <c r="C1407" i="11"/>
  <c r="D1407" i="11"/>
  <c r="E1407" i="11"/>
  <c r="B1408" i="11"/>
  <c r="C1408" i="11"/>
  <c r="D1408" i="11"/>
  <c r="E1408" i="11"/>
  <c r="B1409" i="11"/>
  <c r="C1409" i="11"/>
  <c r="D1409" i="11"/>
  <c r="E1409" i="11"/>
  <c r="B1410" i="11"/>
  <c r="C1410" i="11"/>
  <c r="D1410" i="11"/>
  <c r="E1410" i="11"/>
  <c r="B1411" i="11"/>
  <c r="C1411" i="11"/>
  <c r="D1411" i="11"/>
  <c r="E1411" i="11"/>
  <c r="B1412" i="11"/>
  <c r="C1412" i="11"/>
  <c r="D1412" i="11"/>
  <c r="E1412" i="11"/>
  <c r="B1413" i="11"/>
  <c r="C1413" i="11"/>
  <c r="D1413" i="11"/>
  <c r="E1413" i="11"/>
  <c r="B1414" i="11"/>
  <c r="C1414" i="11"/>
  <c r="D1414" i="11"/>
  <c r="E1414" i="11"/>
  <c r="C2063" i="11"/>
  <c r="D2063" i="11"/>
  <c r="E2063" i="11"/>
  <c r="B2063" i="11"/>
  <c r="B2044" i="11"/>
  <c r="C2044" i="11"/>
  <c r="D2044" i="11"/>
  <c r="E2044" i="11"/>
  <c r="B2045" i="11"/>
  <c r="C2045" i="11"/>
  <c r="D2045" i="11"/>
  <c r="E2045" i="11"/>
  <c r="B2046" i="11"/>
  <c r="C2046" i="11"/>
  <c r="D2046" i="11"/>
  <c r="E2046" i="11"/>
  <c r="B2047" i="11"/>
  <c r="C2047" i="11"/>
  <c r="D2047" i="11"/>
  <c r="E2047" i="11"/>
  <c r="B2048" i="11"/>
  <c r="C2048" i="11"/>
  <c r="D2048" i="11"/>
  <c r="E2048" i="11"/>
  <c r="B2049" i="11"/>
  <c r="C2049" i="11"/>
  <c r="D2049" i="11"/>
  <c r="E2049" i="11"/>
  <c r="B2050" i="11"/>
  <c r="C2050" i="11"/>
  <c r="D2050" i="11"/>
  <c r="E2050" i="11"/>
  <c r="B2051" i="11"/>
  <c r="C2051" i="11"/>
  <c r="D2051" i="11"/>
  <c r="E2051" i="11"/>
  <c r="B2052" i="11"/>
  <c r="C2052" i="11"/>
  <c r="D2052" i="11"/>
  <c r="E2052" i="11"/>
  <c r="B2053" i="11"/>
  <c r="C2053" i="11"/>
  <c r="D2053" i="11"/>
  <c r="E2053" i="11"/>
  <c r="B2054" i="11"/>
  <c r="C2054" i="11"/>
  <c r="D2054" i="11"/>
  <c r="E2054" i="11"/>
  <c r="B2055" i="11"/>
  <c r="C2055" i="11"/>
  <c r="D2055" i="11"/>
  <c r="E2055" i="11"/>
  <c r="B2056" i="11"/>
  <c r="C2056" i="11"/>
  <c r="D2056" i="11"/>
  <c r="E2056" i="11"/>
  <c r="B2057" i="11"/>
  <c r="C2057" i="11"/>
  <c r="D2057" i="11"/>
  <c r="E2057" i="11"/>
  <c r="B2058" i="11"/>
  <c r="C2058" i="11"/>
  <c r="D2058" i="11"/>
  <c r="E2058" i="11"/>
  <c r="B1384" i="11"/>
  <c r="C1384" i="11"/>
  <c r="D1384" i="11"/>
  <c r="E1384" i="11"/>
  <c r="B1385" i="11"/>
  <c r="C1385" i="11"/>
  <c r="D1385" i="11"/>
  <c r="E1385" i="11"/>
  <c r="B1386" i="11"/>
  <c r="C1386" i="11"/>
  <c r="D1386" i="11"/>
  <c r="E1386" i="11"/>
  <c r="B1387" i="11"/>
  <c r="C1387" i="11"/>
  <c r="D1387" i="11"/>
  <c r="E1387" i="11"/>
  <c r="B1388" i="11"/>
  <c r="C1388" i="11"/>
  <c r="D1388" i="11"/>
  <c r="E1388" i="11"/>
  <c r="B1389" i="11"/>
  <c r="C1389" i="11"/>
  <c r="D1389" i="11"/>
  <c r="E1389" i="11"/>
  <c r="B1390" i="11"/>
  <c r="C1390" i="11"/>
  <c r="D1390" i="11"/>
  <c r="E1390" i="11"/>
  <c r="B1391" i="11"/>
  <c r="C1391" i="11"/>
  <c r="D1391" i="11"/>
  <c r="E1391" i="11"/>
  <c r="B1392" i="11"/>
  <c r="C1392" i="11"/>
  <c r="D1392" i="11"/>
  <c r="E1392" i="11"/>
  <c r="B1393" i="11"/>
  <c r="C1393" i="11"/>
  <c r="D1393" i="11"/>
  <c r="E1393" i="11"/>
  <c r="B1394" i="11"/>
  <c r="C1394" i="11"/>
  <c r="C66" i="27"/>
  <c r="D1394" i="11"/>
  <c r="E1394" i="11"/>
  <c r="B1395" i="11"/>
  <c r="C1395" i="11"/>
  <c r="D1395" i="11"/>
  <c r="E1395" i="11"/>
  <c r="B1396" i="11"/>
  <c r="C1396" i="11"/>
  <c r="D1396" i="11"/>
  <c r="E1396" i="11"/>
  <c r="B1397" i="11"/>
  <c r="C1397" i="11"/>
  <c r="D1397" i="11"/>
  <c r="E1397" i="11"/>
  <c r="B1398" i="11"/>
  <c r="C1398" i="11"/>
  <c r="D1398" i="11"/>
  <c r="E1398" i="11"/>
  <c r="B1399" i="11"/>
  <c r="C1399" i="11"/>
  <c r="D1399" i="11"/>
  <c r="E1399" i="11"/>
  <c r="C2043" i="11"/>
  <c r="D2043" i="11"/>
  <c r="E2043" i="11"/>
  <c r="B2043" i="11"/>
  <c r="B64" i="27"/>
  <c r="B1828" i="11"/>
  <c r="C1828" i="11"/>
  <c r="D1828" i="11"/>
  <c r="E1828" i="11"/>
  <c r="B1829" i="11"/>
  <c r="C1829" i="11"/>
  <c r="D1829" i="11"/>
  <c r="E1829" i="11"/>
  <c r="B1830" i="11"/>
  <c r="C1830" i="11"/>
  <c r="D1830" i="11"/>
  <c r="E1830" i="11"/>
  <c r="B1831" i="11"/>
  <c r="C1831" i="11"/>
  <c r="D1831" i="11"/>
  <c r="E1831" i="11"/>
  <c r="B1832" i="11"/>
  <c r="C1832" i="11"/>
  <c r="D1832" i="11"/>
  <c r="E1832" i="11"/>
  <c r="B1833" i="11"/>
  <c r="C1833" i="11"/>
  <c r="D1833" i="11"/>
  <c r="E1833" i="11"/>
  <c r="B1834" i="11"/>
  <c r="C1834" i="11"/>
  <c r="D1834" i="11"/>
  <c r="E1834" i="11"/>
  <c r="B1867" i="11"/>
  <c r="C1867" i="11"/>
  <c r="D1867" i="11"/>
  <c r="E1867" i="11"/>
  <c r="E61" i="27"/>
  <c r="B1868" i="11"/>
  <c r="C1868" i="11"/>
  <c r="D1868" i="11"/>
  <c r="E1868" i="11"/>
  <c r="B1869" i="11"/>
  <c r="C1869" i="11"/>
  <c r="D1869" i="11"/>
  <c r="E1869" i="11"/>
  <c r="B1870" i="11"/>
  <c r="C1870" i="11"/>
  <c r="D1870" i="11"/>
  <c r="E1870" i="11"/>
  <c r="B1871" i="11"/>
  <c r="C1871" i="11"/>
  <c r="D1871" i="11"/>
  <c r="E1871" i="11"/>
  <c r="B1872" i="11"/>
  <c r="C1872" i="11"/>
  <c r="D1872" i="11"/>
  <c r="E1872" i="11"/>
  <c r="B1873" i="11"/>
  <c r="C1873" i="11"/>
  <c r="D1873" i="11"/>
  <c r="E1873" i="11"/>
  <c r="B1874" i="11"/>
  <c r="C1874" i="11"/>
  <c r="D1874" i="11"/>
  <c r="E1874" i="11"/>
  <c r="B1897" i="11"/>
  <c r="C1897" i="11"/>
  <c r="D1897" i="11"/>
  <c r="E1897" i="11"/>
  <c r="B1898" i="11"/>
  <c r="C1898" i="11"/>
  <c r="D1898" i="11"/>
  <c r="E1898" i="11"/>
  <c r="B1899" i="11"/>
  <c r="C1899" i="11"/>
  <c r="D1899" i="11"/>
  <c r="E1899" i="11"/>
  <c r="B1900" i="11"/>
  <c r="C1900" i="11"/>
  <c r="D1900" i="11"/>
  <c r="E1900" i="11"/>
  <c r="B1901" i="11"/>
  <c r="C1901" i="11"/>
  <c r="D1901" i="11"/>
  <c r="E1901" i="11"/>
  <c r="B1902" i="11"/>
  <c r="C1902" i="11"/>
  <c r="D1902" i="11"/>
  <c r="E1902" i="11"/>
  <c r="B1903" i="11"/>
  <c r="C1903" i="11"/>
  <c r="D1903" i="11"/>
  <c r="E1903" i="11"/>
  <c r="B1906" i="11"/>
  <c r="C1906" i="11"/>
  <c r="D1906" i="11"/>
  <c r="E1906" i="11"/>
  <c r="B1917" i="11"/>
  <c r="C1917" i="11"/>
  <c r="D1917" i="11"/>
  <c r="E1917" i="11"/>
  <c r="B1918" i="11"/>
  <c r="C1918" i="11"/>
  <c r="D1918" i="11"/>
  <c r="E1918" i="11"/>
  <c r="B1919" i="11"/>
  <c r="C1919" i="11"/>
  <c r="D1919" i="11"/>
  <c r="E1919" i="11"/>
  <c r="B1920" i="11"/>
  <c r="C1920" i="11"/>
  <c r="D1920" i="11"/>
  <c r="E1920" i="11"/>
  <c r="B1921" i="11"/>
  <c r="C1921" i="11"/>
  <c r="D1921" i="11"/>
  <c r="E1921" i="11"/>
  <c r="C1827" i="11"/>
  <c r="D1827" i="11"/>
  <c r="E1827" i="11"/>
  <c r="B1827" i="11"/>
  <c r="B1808" i="11"/>
  <c r="C1808" i="11"/>
  <c r="D1808" i="11"/>
  <c r="E1808" i="11"/>
  <c r="B1809" i="11"/>
  <c r="C1809" i="11"/>
  <c r="D1809" i="11"/>
  <c r="E1809" i="11"/>
  <c r="B1810" i="11"/>
  <c r="C1810" i="11"/>
  <c r="D1810" i="11"/>
  <c r="E1810" i="11"/>
  <c r="B1811" i="11"/>
  <c r="C1811" i="11"/>
  <c r="D1811" i="11"/>
  <c r="E1811" i="11"/>
  <c r="B1812" i="11"/>
  <c r="C1812" i="11"/>
  <c r="D1812" i="11"/>
  <c r="E1812" i="11"/>
  <c r="B1813" i="11"/>
  <c r="C1813" i="11"/>
  <c r="D1813" i="11"/>
  <c r="E1813" i="11"/>
  <c r="B1814" i="11"/>
  <c r="C1814" i="11"/>
  <c r="D1814" i="11"/>
  <c r="E1814" i="11"/>
  <c r="B1847" i="11"/>
  <c r="C1847" i="11"/>
  <c r="D1847" i="11"/>
  <c r="E1847" i="11"/>
  <c r="B1848" i="11"/>
  <c r="C1848" i="11"/>
  <c r="D1848" i="11"/>
  <c r="E1848" i="11"/>
  <c r="B1849" i="11"/>
  <c r="C1849" i="11"/>
  <c r="D1849" i="11"/>
  <c r="E1849" i="11"/>
  <c r="B1850" i="11"/>
  <c r="C1850" i="11"/>
  <c r="D1850" i="11"/>
  <c r="E1850" i="11"/>
  <c r="B1851" i="11"/>
  <c r="C1851" i="11"/>
  <c r="D1851" i="11"/>
  <c r="E1851" i="11"/>
  <c r="B1852" i="11"/>
  <c r="C1852" i="11"/>
  <c r="D1852" i="11"/>
  <c r="E1852" i="11"/>
  <c r="B1853" i="11"/>
  <c r="C1853" i="11"/>
  <c r="D1853" i="11"/>
  <c r="E1853" i="11"/>
  <c r="B1854" i="11"/>
  <c r="C1854" i="11"/>
  <c r="D1854" i="11"/>
  <c r="E1854" i="11"/>
  <c r="B1887" i="11"/>
  <c r="C1887" i="11"/>
  <c r="D1887" i="11"/>
  <c r="E1887" i="11"/>
  <c r="B1888" i="11"/>
  <c r="C1888" i="11"/>
  <c r="D1888" i="11"/>
  <c r="E1888" i="11"/>
  <c r="B1889" i="11"/>
  <c r="C1889" i="11"/>
  <c r="D1889" i="11"/>
  <c r="E1889" i="11"/>
  <c r="B1890" i="11"/>
  <c r="C1890" i="11"/>
  <c r="D1890" i="11"/>
  <c r="E1890" i="11"/>
  <c r="B1891" i="11"/>
  <c r="C1891" i="11"/>
  <c r="D1891" i="11"/>
  <c r="E1891" i="11"/>
  <c r="B1892" i="11"/>
  <c r="C1892" i="11"/>
  <c r="D1892" i="11"/>
  <c r="E1892" i="11"/>
  <c r="B1893" i="11"/>
  <c r="C1893" i="11"/>
  <c r="D1893" i="11"/>
  <c r="E1893" i="11"/>
  <c r="B1896" i="11"/>
  <c r="C1896" i="11"/>
  <c r="D1896" i="11"/>
  <c r="E1896" i="11"/>
  <c r="B1912" i="11"/>
  <c r="C1912" i="11"/>
  <c r="D1912" i="11"/>
  <c r="E1912" i="11"/>
  <c r="B1913" i="11"/>
  <c r="C1913" i="11"/>
  <c r="D1913" i="11"/>
  <c r="E1913" i="11"/>
  <c r="B1914" i="11"/>
  <c r="C1914" i="11"/>
  <c r="D1914" i="11"/>
  <c r="E1914" i="11"/>
  <c r="B1915" i="11"/>
  <c r="C1915" i="11"/>
  <c r="D1915" i="11"/>
  <c r="E1915" i="11"/>
  <c r="B1916" i="11"/>
  <c r="C1916" i="11"/>
  <c r="D1916" i="11"/>
  <c r="E1916" i="11"/>
  <c r="C1807" i="11"/>
  <c r="D1807" i="11"/>
  <c r="D59" i="27"/>
  <c r="E1807" i="11"/>
  <c r="B1807" i="11"/>
  <c r="C57" i="27"/>
  <c r="B55" i="27"/>
  <c r="B1589" i="11"/>
  <c r="C1589" i="11"/>
  <c r="D1589" i="11"/>
  <c r="E1589" i="11"/>
  <c r="B1590" i="11"/>
  <c r="C1590" i="11"/>
  <c r="D1590" i="11"/>
  <c r="E1590" i="11"/>
  <c r="B1591" i="11"/>
  <c r="C1591" i="11"/>
  <c r="D1591" i="11"/>
  <c r="E1591" i="11"/>
  <c r="B1592" i="11"/>
  <c r="C1592" i="11"/>
  <c r="D1592" i="11"/>
  <c r="E1592" i="11"/>
  <c r="B1593" i="11"/>
  <c r="C1593" i="11"/>
  <c r="D1593" i="11"/>
  <c r="E1593" i="11"/>
  <c r="B1594" i="11"/>
  <c r="C1594" i="11"/>
  <c r="D1594" i="11"/>
  <c r="E1594" i="11"/>
  <c r="B1595" i="11"/>
  <c r="C1595" i="11"/>
  <c r="D1595" i="11"/>
  <c r="E1595" i="11"/>
  <c r="B1596" i="11"/>
  <c r="C1596" i="11"/>
  <c r="D1596" i="11"/>
  <c r="E1596" i="11"/>
  <c r="B1597" i="11"/>
  <c r="C1597" i="11"/>
  <c r="D1597" i="11"/>
  <c r="E1597" i="11"/>
  <c r="B1598" i="11"/>
  <c r="C1598" i="11"/>
  <c r="D1598" i="11"/>
  <c r="E1598" i="11"/>
  <c r="B1619" i="11"/>
  <c r="C1619" i="11"/>
  <c r="D1619" i="11"/>
  <c r="E1619" i="11"/>
  <c r="B1620" i="11"/>
  <c r="C1620" i="11"/>
  <c r="D1620" i="11"/>
  <c r="E1620" i="11"/>
  <c r="B1621" i="11"/>
  <c r="C1621" i="11"/>
  <c r="D1621" i="11"/>
  <c r="E1621" i="11"/>
  <c r="B1622" i="11"/>
  <c r="C1622" i="11"/>
  <c r="D1622" i="11"/>
  <c r="E1622" i="11"/>
  <c r="B1623" i="11"/>
  <c r="C1623" i="11"/>
  <c r="D1623" i="11"/>
  <c r="E1623" i="11"/>
  <c r="B1624" i="11"/>
  <c r="C1624" i="11"/>
  <c r="D1624" i="11"/>
  <c r="E1624" i="11"/>
  <c r="B1625" i="11"/>
  <c r="C1625" i="11"/>
  <c r="D1625" i="11"/>
  <c r="E1625" i="11"/>
  <c r="B1626" i="11"/>
  <c r="C1626" i="11"/>
  <c r="D1626" i="11"/>
  <c r="E1626" i="11"/>
  <c r="B1627" i="11"/>
  <c r="C1627" i="11"/>
  <c r="D1627" i="11"/>
  <c r="E1627" i="11"/>
  <c r="B1628" i="11"/>
  <c r="C1628" i="11"/>
  <c r="D1628" i="11"/>
  <c r="E1628" i="11"/>
  <c r="B1629" i="11"/>
  <c r="C1629" i="11"/>
  <c r="D1629" i="11"/>
  <c r="E1629" i="11"/>
  <c r="B1630" i="11"/>
  <c r="C1630" i="11"/>
  <c r="D1630" i="11"/>
  <c r="E1630" i="11"/>
  <c r="B1631" i="11"/>
  <c r="C1631" i="11"/>
  <c r="D1631" i="11"/>
  <c r="E1631" i="11"/>
  <c r="B1632" i="11"/>
  <c r="C1632" i="11"/>
  <c r="D1632" i="11"/>
  <c r="E1632" i="11"/>
  <c r="B1633" i="11"/>
  <c r="C1633" i="11"/>
  <c r="D1633" i="11"/>
  <c r="E1633" i="11"/>
  <c r="B1634" i="11"/>
  <c r="C1634" i="11"/>
  <c r="D1634" i="11"/>
  <c r="E1634" i="11"/>
  <c r="B1635" i="11"/>
  <c r="C1635" i="11"/>
  <c r="D1635" i="11"/>
  <c r="E1635" i="11"/>
  <c r="B1636" i="11"/>
  <c r="C1636" i="11"/>
  <c r="D1636" i="11"/>
  <c r="E1636" i="11"/>
  <c r="B1637" i="11"/>
  <c r="C1637" i="11"/>
  <c r="D1637" i="11"/>
  <c r="E1637" i="11"/>
  <c r="B1638" i="11"/>
  <c r="C1638" i="11"/>
  <c r="D1638" i="11"/>
  <c r="E1638" i="11"/>
  <c r="B1649" i="11"/>
  <c r="C1649" i="11"/>
  <c r="D1649" i="11"/>
  <c r="E1649" i="11"/>
  <c r="B1650" i="11"/>
  <c r="C1650" i="11"/>
  <c r="D1650" i="11"/>
  <c r="E1650" i="11"/>
  <c r="B1651" i="11"/>
  <c r="C1651" i="11"/>
  <c r="D1651" i="11"/>
  <c r="E1651" i="11"/>
  <c r="B1652" i="11"/>
  <c r="C1652" i="11"/>
  <c r="D1652" i="11"/>
  <c r="E1652" i="11"/>
  <c r="B1653" i="11"/>
  <c r="C1653" i="11"/>
  <c r="D1653" i="11"/>
  <c r="E1653" i="11"/>
  <c r="B1654" i="11"/>
  <c r="C1654" i="11"/>
  <c r="D1654" i="11"/>
  <c r="E1654" i="11"/>
  <c r="B1655" i="11"/>
  <c r="C1655" i="11"/>
  <c r="D1655" i="11"/>
  <c r="E1655" i="11"/>
  <c r="B1658" i="11"/>
  <c r="C1658" i="11"/>
  <c r="D1658" i="11"/>
  <c r="E1658" i="11"/>
  <c r="B1669" i="11"/>
  <c r="C1669" i="11"/>
  <c r="D1669" i="11"/>
  <c r="E1669" i="11"/>
  <c r="B1670" i="11"/>
  <c r="C1670" i="11"/>
  <c r="D1670" i="11"/>
  <c r="E1670" i="11"/>
  <c r="B1671" i="11"/>
  <c r="C1671" i="11"/>
  <c r="D1671" i="11"/>
  <c r="E1671" i="11"/>
  <c r="B1672" i="11"/>
  <c r="C1672" i="11"/>
  <c r="D1672" i="11"/>
  <c r="E1672" i="11"/>
  <c r="B1673" i="11"/>
  <c r="C1673" i="11"/>
  <c r="D1673" i="11"/>
  <c r="E1673" i="11"/>
  <c r="B1580" i="11"/>
  <c r="C1580" i="11"/>
  <c r="D1580" i="11"/>
  <c r="E1580" i="11"/>
  <c r="B1581" i="11"/>
  <c r="C1581" i="11"/>
  <c r="D1581" i="11"/>
  <c r="E1581" i="11"/>
  <c r="B1582" i="11"/>
  <c r="C1582" i="11"/>
  <c r="D1582" i="11"/>
  <c r="E1582" i="11"/>
  <c r="B1583" i="11"/>
  <c r="C1583" i="11"/>
  <c r="D1583" i="11"/>
  <c r="E1583" i="11"/>
  <c r="B1584" i="11"/>
  <c r="C1584" i="11"/>
  <c r="D1584" i="11"/>
  <c r="E1584" i="11"/>
  <c r="B1585" i="11"/>
  <c r="C1585" i="11"/>
  <c r="D1585" i="11"/>
  <c r="E1585" i="11"/>
  <c r="B1586" i="11"/>
  <c r="C1586" i="11"/>
  <c r="D1586" i="11"/>
  <c r="E1586" i="11"/>
  <c r="B1587" i="11"/>
  <c r="C1587" i="11"/>
  <c r="D1587" i="11"/>
  <c r="E1587" i="11"/>
  <c r="B1588" i="11"/>
  <c r="C1588" i="11"/>
  <c r="D1588" i="11"/>
  <c r="E1588" i="11"/>
  <c r="C1579" i="11"/>
  <c r="D1579" i="11"/>
  <c r="E1579" i="11"/>
  <c r="B1579" i="11"/>
  <c r="B1668" i="11"/>
  <c r="C1668" i="11"/>
  <c r="D1668" i="11"/>
  <c r="E1668" i="11"/>
  <c r="B1612" i="11"/>
  <c r="C1612" i="11"/>
  <c r="D1612" i="11"/>
  <c r="E1612" i="11"/>
  <c r="B1613" i="11"/>
  <c r="B1642" i="11"/>
  <c r="C1613" i="11"/>
  <c r="D1613" i="11"/>
  <c r="D1642" i="11"/>
  <c r="E1613" i="11"/>
  <c r="E1642" i="11"/>
  <c r="B1614" i="11"/>
  <c r="C1614" i="11"/>
  <c r="D1614" i="11"/>
  <c r="E1614" i="11"/>
  <c r="B1615" i="11"/>
  <c r="C1615" i="11"/>
  <c r="D1615" i="11"/>
  <c r="E1615" i="11"/>
  <c r="B1616" i="11"/>
  <c r="C1616" i="11"/>
  <c r="D1616" i="11"/>
  <c r="E1616" i="11"/>
  <c r="B1617" i="11"/>
  <c r="C1617" i="11"/>
  <c r="D1617" i="11"/>
  <c r="E1617" i="11"/>
  <c r="B1618" i="11"/>
  <c r="C1618" i="11"/>
  <c r="D1618" i="11"/>
  <c r="E1618" i="11"/>
  <c r="B1639" i="11"/>
  <c r="C1639" i="11"/>
  <c r="D1639" i="11"/>
  <c r="E1639" i="11"/>
  <c r="B1640" i="11"/>
  <c r="C1640" i="11"/>
  <c r="D1640" i="11"/>
  <c r="E1640" i="11"/>
  <c r="B1641" i="11"/>
  <c r="C1641" i="11"/>
  <c r="D1641" i="11"/>
  <c r="E1641" i="11"/>
  <c r="C1642" i="11"/>
  <c r="B1643" i="11"/>
  <c r="C1643" i="11"/>
  <c r="D1643" i="11"/>
  <c r="E1643" i="11"/>
  <c r="B1644" i="11"/>
  <c r="C1644" i="11"/>
  <c r="D1644" i="11"/>
  <c r="E1644" i="11"/>
  <c r="B1645" i="11"/>
  <c r="C1645" i="11"/>
  <c r="D1645" i="11"/>
  <c r="E1645" i="11"/>
  <c r="B1648" i="11"/>
  <c r="C1648" i="11"/>
  <c r="D1648" i="11"/>
  <c r="E1648" i="11"/>
  <c r="B1664" i="11"/>
  <c r="C1664" i="11"/>
  <c r="D1664" i="11"/>
  <c r="E1664" i="11"/>
  <c r="B1665" i="11"/>
  <c r="C1665" i="11"/>
  <c r="D1665" i="11"/>
  <c r="E1665" i="11"/>
  <c r="B1666" i="11"/>
  <c r="C1666" i="11"/>
  <c r="D1666" i="11"/>
  <c r="E1666" i="11"/>
  <c r="B1667" i="11"/>
  <c r="C1667" i="11"/>
  <c r="D1667" i="11"/>
  <c r="E1667" i="11"/>
  <c r="E52" i="27"/>
  <c r="B1568" i="11"/>
  <c r="C1568" i="11"/>
  <c r="D1568" i="11"/>
  <c r="E1568" i="11"/>
  <c r="B1569" i="11"/>
  <c r="C1569" i="11"/>
  <c r="D1569" i="11"/>
  <c r="E1569" i="11"/>
  <c r="B1570" i="11"/>
  <c r="C1570" i="11"/>
  <c r="D1570" i="11"/>
  <c r="E1570" i="11"/>
  <c r="B1571" i="11"/>
  <c r="C1571" i="11"/>
  <c r="D1571" i="11"/>
  <c r="E1571" i="11"/>
  <c r="B1572" i="11"/>
  <c r="C1572" i="11"/>
  <c r="D1572" i="11"/>
  <c r="E1572" i="11"/>
  <c r="B1573" i="11"/>
  <c r="C1573" i="11"/>
  <c r="D1573" i="11"/>
  <c r="E1573" i="11"/>
  <c r="B1574" i="11"/>
  <c r="C1574" i="11"/>
  <c r="D1574" i="11"/>
  <c r="E1574" i="11"/>
  <c r="B1575" i="11"/>
  <c r="C1575" i="11"/>
  <c r="D1575" i="11"/>
  <c r="E1575" i="11"/>
  <c r="B1576" i="11"/>
  <c r="C1576" i="11"/>
  <c r="D1576" i="11"/>
  <c r="E1576" i="11"/>
  <c r="B1577" i="11"/>
  <c r="C1577" i="11"/>
  <c r="D1577" i="11"/>
  <c r="E1577" i="11"/>
  <c r="B1578" i="11"/>
  <c r="C1578" i="11"/>
  <c r="D1578" i="11"/>
  <c r="E1578" i="11"/>
  <c r="B1599" i="11"/>
  <c r="C1599" i="11"/>
  <c r="D1599" i="11"/>
  <c r="E1599" i="11"/>
  <c r="B1600" i="11"/>
  <c r="C1600" i="11"/>
  <c r="D1600" i="11"/>
  <c r="E1600" i="11"/>
  <c r="B1601" i="11"/>
  <c r="C1601" i="11"/>
  <c r="D1601" i="11"/>
  <c r="E1601" i="11"/>
  <c r="B1602" i="11"/>
  <c r="C1602" i="11"/>
  <c r="D1602" i="11"/>
  <c r="E1602" i="11"/>
  <c r="B1603" i="11"/>
  <c r="C1603" i="11"/>
  <c r="D1603" i="11"/>
  <c r="E1603" i="11"/>
  <c r="B1604" i="11"/>
  <c r="C1604" i="11"/>
  <c r="D1604" i="11"/>
  <c r="E1604" i="11"/>
  <c r="B1605" i="11"/>
  <c r="C1605" i="11"/>
  <c r="D1605" i="11"/>
  <c r="E1605" i="11"/>
  <c r="B1606" i="11"/>
  <c r="C1606" i="11"/>
  <c r="D1606" i="11"/>
  <c r="E1606" i="11"/>
  <c r="B1607" i="11"/>
  <c r="C1607" i="11"/>
  <c r="D1607" i="11"/>
  <c r="E1607" i="11"/>
  <c r="B1608" i="11"/>
  <c r="C1608" i="11"/>
  <c r="D1608" i="11"/>
  <c r="E1608" i="11"/>
  <c r="B1609" i="11"/>
  <c r="C1609" i="11"/>
  <c r="D1609" i="11"/>
  <c r="E1609" i="11"/>
  <c r="B1610" i="11"/>
  <c r="C1610" i="11"/>
  <c r="D1610" i="11"/>
  <c r="E1610" i="11"/>
  <c r="B1611" i="11"/>
  <c r="C1611" i="11"/>
  <c r="D1611" i="11"/>
  <c r="E1611" i="11"/>
  <c r="B1560" i="11"/>
  <c r="C1560" i="11"/>
  <c r="D1560" i="11"/>
  <c r="E1560" i="11"/>
  <c r="B1561" i="11"/>
  <c r="C1561" i="11"/>
  <c r="D1561" i="11"/>
  <c r="E1561" i="11"/>
  <c r="B1562" i="11"/>
  <c r="C1562" i="11"/>
  <c r="D1562" i="11"/>
  <c r="E1562" i="11"/>
  <c r="B1563" i="11"/>
  <c r="C1563" i="11"/>
  <c r="D1563" i="11"/>
  <c r="E1563" i="11"/>
  <c r="B1564" i="11"/>
  <c r="C1564" i="11"/>
  <c r="D1564" i="11"/>
  <c r="E1564" i="11"/>
  <c r="B1565" i="11"/>
  <c r="C1565" i="11"/>
  <c r="D1565" i="11"/>
  <c r="E1565" i="11"/>
  <c r="B1566" i="11"/>
  <c r="C1566" i="11"/>
  <c r="D1566" i="11"/>
  <c r="E1566" i="11"/>
  <c r="B1567" i="11"/>
  <c r="C1567" i="11"/>
  <c r="D1567" i="11"/>
  <c r="E1567" i="11"/>
  <c r="C1559" i="11"/>
  <c r="D1559" i="11"/>
  <c r="D50" i="27"/>
  <c r="E1559" i="11"/>
  <c r="B1559" i="11"/>
  <c r="BE7" i="27"/>
  <c r="A82" i="27"/>
  <c r="C82" i="27"/>
  <c r="D82" i="27"/>
  <c r="E82" i="27"/>
  <c r="F82" i="27"/>
  <c r="G82" i="27"/>
  <c r="H82" i="27"/>
  <c r="I82" i="27"/>
  <c r="J82" i="27"/>
  <c r="K82" i="27"/>
  <c r="L82" i="27"/>
  <c r="M82" i="27"/>
  <c r="S82" i="27"/>
  <c r="T82" i="27"/>
  <c r="U82" i="27"/>
  <c r="Y82" i="27"/>
  <c r="Z82" i="27"/>
  <c r="AA82" i="27"/>
  <c r="AB82" i="27"/>
  <c r="AC82" i="27"/>
  <c r="AD82" i="27"/>
  <c r="AE82" i="27"/>
  <c r="AF82" i="27"/>
  <c r="AG82" i="27"/>
  <c r="A81" i="27"/>
  <c r="B81" i="27"/>
  <c r="C81" i="27"/>
  <c r="D81" i="27"/>
  <c r="E81" i="27"/>
  <c r="G81" i="27"/>
  <c r="H81" i="27"/>
  <c r="I81" i="27"/>
  <c r="J81" i="27"/>
  <c r="K81" i="27"/>
  <c r="L81" i="27"/>
  <c r="M81" i="27"/>
  <c r="N81" i="27"/>
  <c r="O81" i="27"/>
  <c r="P81" i="27"/>
  <c r="Q81" i="27"/>
  <c r="R81" i="27"/>
  <c r="S81" i="27"/>
  <c r="T81" i="27"/>
  <c r="U81" i="27"/>
  <c r="V81" i="27"/>
  <c r="W81" i="27"/>
  <c r="X81" i="27"/>
  <c r="Y81" i="27"/>
  <c r="Z81" i="27"/>
  <c r="AA81" i="27"/>
  <c r="AB81" i="27"/>
  <c r="AC81" i="27"/>
  <c r="AD81" i="27"/>
  <c r="AE81" i="27"/>
  <c r="AF81" i="27"/>
  <c r="AG81" i="27"/>
  <c r="AH81" i="27"/>
  <c r="AI81" i="27"/>
  <c r="AJ81" i="27"/>
  <c r="AK81" i="27"/>
  <c r="AL81" i="27"/>
  <c r="AM81" i="27"/>
  <c r="AN81" i="27"/>
  <c r="AO81" i="27"/>
  <c r="AP81" i="27"/>
  <c r="AQ81" i="27"/>
  <c r="AR81" i="27"/>
  <c r="AS81" i="27"/>
  <c r="AT81" i="27"/>
  <c r="AU81" i="27"/>
  <c r="AV81" i="27"/>
  <c r="AW81" i="27"/>
  <c r="AX81" i="27"/>
  <c r="AY81" i="27"/>
  <c r="AZ81" i="27"/>
  <c r="BA81" i="27"/>
  <c r="BB81" i="27"/>
  <c r="BC81" i="27"/>
  <c r="BD81" i="27"/>
  <c r="BE81" i="27"/>
  <c r="BF81" i="27"/>
  <c r="BG81" i="27"/>
  <c r="BH81" i="27"/>
  <c r="BI81" i="27"/>
  <c r="BJ81" i="27"/>
  <c r="BK81" i="27"/>
  <c r="BL81" i="27"/>
  <c r="BM81" i="27"/>
  <c r="BN81" i="27"/>
  <c r="BO81" i="27"/>
  <c r="BP81" i="27"/>
  <c r="BQ81" i="27"/>
  <c r="BR81" i="27"/>
  <c r="BS81" i="27"/>
  <c r="BT81" i="27"/>
  <c r="BU81" i="27"/>
  <c r="BV81" i="27"/>
  <c r="BW81" i="27"/>
  <c r="BX81" i="27"/>
  <c r="BY81" i="27"/>
  <c r="BZ81" i="27"/>
  <c r="CA81" i="27"/>
  <c r="CB81" i="27"/>
  <c r="CC81" i="27"/>
  <c r="CD81" i="27"/>
  <c r="CE81" i="27"/>
  <c r="CF81" i="27"/>
  <c r="CG81" i="27"/>
  <c r="CH81" i="27"/>
  <c r="CI81" i="27"/>
  <c r="CJ81" i="27"/>
  <c r="CK81" i="27"/>
  <c r="CL81" i="27"/>
  <c r="CM81" i="27"/>
  <c r="CN81" i="27"/>
  <c r="CO81" i="27"/>
  <c r="CP81" i="27"/>
  <c r="CQ81" i="27"/>
  <c r="CR81" i="27"/>
  <c r="CS81" i="27"/>
  <c r="CT81" i="27"/>
  <c r="CU81" i="27"/>
  <c r="CV81" i="27"/>
  <c r="CW81" i="27"/>
  <c r="CX81" i="27"/>
  <c r="CY81" i="27"/>
  <c r="CZ81" i="27"/>
  <c r="DA81" i="27"/>
  <c r="DB81" i="27"/>
  <c r="DC81" i="27"/>
  <c r="DD81" i="27"/>
  <c r="DE81" i="27"/>
  <c r="DF81" i="27"/>
  <c r="DG81" i="27"/>
  <c r="DH81" i="27"/>
  <c r="DI81" i="27"/>
  <c r="DJ81" i="27"/>
  <c r="DK81" i="27"/>
  <c r="DL81" i="27"/>
  <c r="DM81" i="27"/>
  <c r="DN81" i="27"/>
  <c r="DO81" i="27"/>
  <c r="DP81" i="27"/>
  <c r="DQ81" i="27"/>
  <c r="DR81" i="27"/>
  <c r="DS81" i="27"/>
  <c r="DT81" i="27"/>
  <c r="DU81" i="27"/>
  <c r="DV81" i="27"/>
  <c r="DW81" i="27"/>
  <c r="DX81" i="27"/>
  <c r="DY81" i="27"/>
  <c r="DZ81" i="27"/>
  <c r="EA81" i="27"/>
  <c r="EB81" i="27"/>
  <c r="EC81" i="27"/>
  <c r="ED81" i="27"/>
  <c r="EE81" i="27"/>
  <c r="EF81" i="27"/>
  <c r="EG81" i="27"/>
  <c r="EH81" i="27"/>
  <c r="EI81" i="27"/>
  <c r="EJ81" i="27"/>
  <c r="EK81" i="27"/>
  <c r="EL81" i="27"/>
  <c r="EM81" i="27"/>
  <c r="EN81" i="27"/>
  <c r="EO81" i="27"/>
  <c r="EP81" i="27"/>
  <c r="EQ81" i="27"/>
  <c r="ER81" i="27"/>
  <c r="ES81" i="27"/>
  <c r="ET81" i="27"/>
  <c r="EU81" i="27"/>
  <c r="EV81" i="27"/>
  <c r="EW81" i="27"/>
  <c r="EX81" i="27"/>
  <c r="EY81" i="27"/>
  <c r="EZ81" i="27"/>
  <c r="FA81" i="27"/>
  <c r="FB81" i="27"/>
  <c r="FC81" i="27"/>
  <c r="FD81" i="27"/>
  <c r="FE81" i="27"/>
  <c r="FF81" i="27"/>
  <c r="FG81" i="27"/>
  <c r="FH81" i="27"/>
  <c r="FI81" i="27"/>
  <c r="FJ81" i="27"/>
  <c r="FK81" i="27"/>
  <c r="FL81" i="27"/>
  <c r="FM81" i="27"/>
  <c r="FN81" i="27"/>
  <c r="FO81" i="27"/>
  <c r="FP81" i="27"/>
  <c r="FQ81" i="27"/>
  <c r="FR81" i="27"/>
  <c r="FS81" i="27"/>
  <c r="FT81" i="27"/>
  <c r="FU81" i="27"/>
  <c r="FV81" i="27"/>
  <c r="FW81" i="27"/>
  <c r="FX81" i="27"/>
  <c r="FY81" i="27"/>
  <c r="FZ81" i="27"/>
  <c r="GA81" i="27"/>
  <c r="GB81" i="27"/>
  <c r="GC81" i="27"/>
  <c r="GD81" i="27"/>
  <c r="GE81" i="27"/>
  <c r="GF81" i="27"/>
  <c r="GG81" i="27"/>
  <c r="GH81" i="27"/>
  <c r="GI81" i="27"/>
  <c r="GJ81" i="27"/>
  <c r="GK81" i="27"/>
  <c r="GL81" i="27"/>
  <c r="GM81" i="27"/>
  <c r="GN81" i="27"/>
  <c r="GO81" i="27"/>
  <c r="GP81" i="27"/>
  <c r="GQ81" i="27"/>
  <c r="GR81" i="27"/>
  <c r="GS81" i="27"/>
  <c r="GT81" i="27"/>
  <c r="GU81" i="27"/>
  <c r="GV81" i="27"/>
  <c r="GW81" i="27"/>
  <c r="GX81" i="27"/>
  <c r="GY81" i="27"/>
  <c r="GZ81" i="27"/>
  <c r="HA81" i="27"/>
  <c r="HB81" i="27"/>
  <c r="HC81" i="27"/>
  <c r="HD81" i="27"/>
  <c r="HE81" i="27"/>
  <c r="HF81" i="27"/>
  <c r="HG81" i="27"/>
  <c r="HH81" i="27"/>
  <c r="HI81" i="27"/>
  <c r="HJ81" i="27"/>
  <c r="HK81" i="27"/>
  <c r="HL81" i="27"/>
  <c r="HM81" i="27"/>
  <c r="HN81" i="27"/>
  <c r="HO81" i="27"/>
  <c r="HP81" i="27"/>
  <c r="HQ81" i="27"/>
  <c r="HR81" i="27"/>
  <c r="HS81" i="27"/>
  <c r="HT81" i="27"/>
  <c r="HU81" i="27"/>
  <c r="HV81" i="27"/>
  <c r="HW81" i="27"/>
  <c r="HX81" i="27"/>
  <c r="HY81" i="27"/>
  <c r="HZ81" i="27"/>
  <c r="IA81" i="27"/>
  <c r="IB81" i="27"/>
  <c r="IC81" i="27"/>
  <c r="ID81" i="27"/>
  <c r="IE81" i="27"/>
  <c r="IF81" i="27"/>
  <c r="IG81" i="27"/>
  <c r="IH81" i="27"/>
  <c r="II81" i="27"/>
  <c r="IJ81" i="27"/>
  <c r="IK81" i="27"/>
  <c r="IL81" i="27"/>
  <c r="IM81" i="27"/>
  <c r="IN81" i="27"/>
  <c r="IO81" i="27"/>
  <c r="IP81" i="27"/>
  <c r="IQ81" i="27"/>
  <c r="IR81" i="27"/>
  <c r="IS81" i="27"/>
  <c r="IT81" i="27"/>
  <c r="IU81" i="27"/>
  <c r="IV81" i="27"/>
  <c r="B80" i="27"/>
  <c r="C80" i="27"/>
  <c r="D80" i="27"/>
  <c r="E80" i="27"/>
  <c r="F80" i="27"/>
  <c r="G80" i="27"/>
  <c r="H80" i="27"/>
  <c r="I80" i="27"/>
  <c r="J80" i="27"/>
  <c r="K80" i="27"/>
  <c r="L80" i="27"/>
  <c r="M80" i="27"/>
  <c r="N80" i="27"/>
  <c r="O80" i="27"/>
  <c r="P80" i="27"/>
  <c r="Q80" i="27"/>
  <c r="R80" i="27"/>
  <c r="S80" i="27"/>
  <c r="T80" i="27"/>
  <c r="U80" i="27"/>
  <c r="V80" i="27"/>
  <c r="W80" i="27"/>
  <c r="X80" i="27"/>
  <c r="Y80" i="27"/>
  <c r="Z80" i="27"/>
  <c r="AA80" i="27"/>
  <c r="AB80" i="27"/>
  <c r="AC80" i="27"/>
  <c r="AD80" i="27"/>
  <c r="AE80" i="27"/>
  <c r="AF80" i="27"/>
  <c r="AG80" i="27"/>
  <c r="AH80" i="27"/>
  <c r="AI80" i="27"/>
  <c r="AJ80" i="27"/>
  <c r="AK80" i="27"/>
  <c r="AL80" i="27"/>
  <c r="AM80" i="27"/>
  <c r="AN80" i="27"/>
  <c r="AO80" i="27"/>
  <c r="AP80" i="27"/>
  <c r="AQ80" i="27"/>
  <c r="AR80" i="27"/>
  <c r="AS80" i="27"/>
  <c r="AT80" i="27"/>
  <c r="AU80" i="27"/>
  <c r="AV80" i="27"/>
  <c r="AW80" i="27"/>
  <c r="AX80" i="27"/>
  <c r="AY80" i="27"/>
  <c r="AZ80" i="27"/>
  <c r="BA80" i="27"/>
  <c r="BB80" i="27"/>
  <c r="BC80" i="27"/>
  <c r="BD80" i="27"/>
  <c r="BE80" i="27"/>
  <c r="BF80" i="27"/>
  <c r="BG80" i="27"/>
  <c r="BH80" i="27"/>
  <c r="BI80" i="27"/>
  <c r="BJ80" i="27"/>
  <c r="BK80" i="27"/>
  <c r="BL80" i="27"/>
  <c r="BM80" i="27"/>
  <c r="BN80" i="27"/>
  <c r="BO80" i="27"/>
  <c r="BP80" i="27"/>
  <c r="BQ80" i="27"/>
  <c r="BR80" i="27"/>
  <c r="BS80" i="27"/>
  <c r="BT80" i="27"/>
  <c r="BU80" i="27"/>
  <c r="BV80" i="27"/>
  <c r="BW80" i="27"/>
  <c r="BX80" i="27"/>
  <c r="BY80" i="27"/>
  <c r="BZ80" i="27"/>
  <c r="CA80" i="27"/>
  <c r="CB80" i="27"/>
  <c r="CC80" i="27"/>
  <c r="CD80" i="27"/>
  <c r="CE80" i="27"/>
  <c r="CF80" i="27"/>
  <c r="CG80" i="27"/>
  <c r="CH80" i="27"/>
  <c r="CI80" i="27"/>
  <c r="CJ80" i="27"/>
  <c r="CK80" i="27"/>
  <c r="CL80" i="27"/>
  <c r="CM80" i="27"/>
  <c r="CN80" i="27"/>
  <c r="CO80" i="27"/>
  <c r="CP80" i="27"/>
  <c r="CQ80" i="27"/>
  <c r="CR80" i="27"/>
  <c r="CS80" i="27"/>
  <c r="CT80" i="27"/>
  <c r="CU80" i="27"/>
  <c r="CV80" i="27"/>
  <c r="CW80" i="27"/>
  <c r="CX80" i="27"/>
  <c r="CY80" i="27"/>
  <c r="CZ80" i="27"/>
  <c r="DA80" i="27"/>
  <c r="DB80" i="27"/>
  <c r="DC80" i="27"/>
  <c r="DD80" i="27"/>
  <c r="DE80" i="27"/>
  <c r="DF80" i="27"/>
  <c r="DG80" i="27"/>
  <c r="DH80" i="27"/>
  <c r="DI80" i="27"/>
  <c r="DJ80" i="27"/>
  <c r="DK80" i="27"/>
  <c r="DL80" i="27"/>
  <c r="DM80" i="27"/>
  <c r="DN80" i="27"/>
  <c r="DO80" i="27"/>
  <c r="DP80" i="27"/>
  <c r="DQ80" i="27"/>
  <c r="DR80" i="27"/>
  <c r="DS80" i="27"/>
  <c r="DT80" i="27"/>
  <c r="DU80" i="27"/>
  <c r="DV80" i="27"/>
  <c r="DW80" i="27"/>
  <c r="DX80" i="27"/>
  <c r="DY80" i="27"/>
  <c r="DZ80" i="27"/>
  <c r="EA80" i="27"/>
  <c r="EB80" i="27"/>
  <c r="EC80" i="27"/>
  <c r="ED80" i="27"/>
  <c r="EE80" i="27"/>
  <c r="EF80" i="27"/>
  <c r="EG80" i="27"/>
  <c r="EH80" i="27"/>
  <c r="EI80" i="27"/>
  <c r="EJ80" i="27"/>
  <c r="EK80" i="27"/>
  <c r="EL80" i="27"/>
  <c r="EM80" i="27"/>
  <c r="EN80" i="27"/>
  <c r="EO80" i="27"/>
  <c r="EP80" i="27"/>
  <c r="EQ80" i="27"/>
  <c r="ER80" i="27"/>
  <c r="ES80" i="27"/>
  <c r="ET80" i="27"/>
  <c r="EU80" i="27"/>
  <c r="EV80" i="27"/>
  <c r="EW80" i="27"/>
  <c r="EX80" i="27"/>
  <c r="EY80" i="27"/>
  <c r="EZ80" i="27"/>
  <c r="FA80" i="27"/>
  <c r="FB80" i="27"/>
  <c r="FC80" i="27"/>
  <c r="FD80" i="27"/>
  <c r="FE80" i="27"/>
  <c r="FF80" i="27"/>
  <c r="FG80" i="27"/>
  <c r="FH80" i="27"/>
  <c r="FI80" i="27"/>
  <c r="FJ80" i="27"/>
  <c r="FK80" i="27"/>
  <c r="FL80" i="27"/>
  <c r="FM80" i="27"/>
  <c r="FN80" i="27"/>
  <c r="FO80" i="27"/>
  <c r="FP80" i="27"/>
  <c r="FQ80" i="27"/>
  <c r="FR80" i="27"/>
  <c r="FS80" i="27"/>
  <c r="FT80" i="27"/>
  <c r="FU80" i="27"/>
  <c r="FV80" i="27"/>
  <c r="FW80" i="27"/>
  <c r="FX80" i="27"/>
  <c r="FY80" i="27"/>
  <c r="FZ80" i="27"/>
  <c r="GA80" i="27"/>
  <c r="GB80" i="27"/>
  <c r="GC80" i="27"/>
  <c r="GD80" i="27"/>
  <c r="GE80" i="27"/>
  <c r="GF80" i="27"/>
  <c r="GG80" i="27"/>
  <c r="GH80" i="27"/>
  <c r="GI80" i="27"/>
  <c r="GJ80" i="27"/>
  <c r="GK80" i="27"/>
  <c r="GL80" i="27"/>
  <c r="GM80" i="27"/>
  <c r="GN80" i="27"/>
  <c r="GO80" i="27"/>
  <c r="GP80" i="27"/>
  <c r="GQ80" i="27"/>
  <c r="GR80" i="27"/>
  <c r="GS80" i="27"/>
  <c r="GT80" i="27"/>
  <c r="GU80" i="27"/>
  <c r="GV80" i="27"/>
  <c r="GW80" i="27"/>
  <c r="GX80" i="27"/>
  <c r="GY80" i="27"/>
  <c r="GZ80" i="27"/>
  <c r="HA80" i="27"/>
  <c r="HB80" i="27"/>
  <c r="HC80" i="27"/>
  <c r="HD80" i="27"/>
  <c r="HE80" i="27"/>
  <c r="HF80" i="27"/>
  <c r="HG80" i="27"/>
  <c r="HH80" i="27"/>
  <c r="HI80" i="27"/>
  <c r="HJ80" i="27"/>
  <c r="HK80" i="27"/>
  <c r="HL80" i="27"/>
  <c r="HM80" i="27"/>
  <c r="HN80" i="27"/>
  <c r="HO80" i="27"/>
  <c r="HP80" i="27"/>
  <c r="HQ80" i="27"/>
  <c r="HR80" i="27"/>
  <c r="HS80" i="27"/>
  <c r="HT80" i="27"/>
  <c r="HU80" i="27"/>
  <c r="HV80" i="27"/>
  <c r="HW80" i="27"/>
  <c r="HX80" i="27"/>
  <c r="HY80" i="27"/>
  <c r="HZ80" i="27"/>
  <c r="IA80" i="27"/>
  <c r="IB80" i="27"/>
  <c r="IC80" i="27"/>
  <c r="ID80" i="27"/>
  <c r="IE80" i="27"/>
  <c r="IF80" i="27"/>
  <c r="IG80" i="27"/>
  <c r="IH80" i="27"/>
  <c r="II80" i="27"/>
  <c r="IJ80" i="27"/>
  <c r="IK80" i="27"/>
  <c r="IL80" i="27"/>
  <c r="IM80" i="27"/>
  <c r="IN80" i="27"/>
  <c r="IO80" i="27"/>
  <c r="IP80" i="27"/>
  <c r="IQ80" i="27"/>
  <c r="IR80" i="27"/>
  <c r="IS80" i="27"/>
  <c r="IT80" i="27"/>
  <c r="IU80" i="27"/>
  <c r="IV80" i="27"/>
  <c r="A79" i="27"/>
  <c r="B79" i="27"/>
  <c r="C79" i="27"/>
  <c r="D79" i="27"/>
  <c r="F79" i="27"/>
  <c r="G79" i="27"/>
  <c r="H79" i="27"/>
  <c r="I79" i="27"/>
  <c r="J79" i="27"/>
  <c r="K79" i="27"/>
  <c r="L79" i="27"/>
  <c r="M79" i="27"/>
  <c r="N79" i="27"/>
  <c r="O79" i="27"/>
  <c r="P79" i="27"/>
  <c r="Q79" i="27"/>
  <c r="R79" i="27"/>
  <c r="S79" i="27"/>
  <c r="T79" i="27"/>
  <c r="U79" i="27"/>
  <c r="V79" i="27"/>
  <c r="W79" i="27"/>
  <c r="X79" i="27"/>
  <c r="Y79" i="27"/>
  <c r="Z79" i="27"/>
  <c r="AA79" i="27"/>
  <c r="AB79" i="27"/>
  <c r="AC79" i="27"/>
  <c r="AD79" i="27"/>
  <c r="AE79" i="27"/>
  <c r="AF79" i="27"/>
  <c r="AG79" i="27"/>
  <c r="AH79" i="27"/>
  <c r="AI79" i="27"/>
  <c r="AJ79" i="27"/>
  <c r="AK79" i="27"/>
  <c r="AL79" i="27"/>
  <c r="AM79" i="27"/>
  <c r="AN79" i="27"/>
  <c r="AO79" i="27"/>
  <c r="AP79" i="27"/>
  <c r="AQ79" i="27"/>
  <c r="AR79" i="27"/>
  <c r="AS79" i="27"/>
  <c r="AT79" i="27"/>
  <c r="AU79" i="27"/>
  <c r="AV79" i="27"/>
  <c r="AW79" i="27"/>
  <c r="AX79" i="27"/>
  <c r="AY79" i="27"/>
  <c r="AZ79" i="27"/>
  <c r="BA79" i="27"/>
  <c r="BB79" i="27"/>
  <c r="BC79" i="27"/>
  <c r="BD79" i="27"/>
  <c r="BE79" i="27"/>
  <c r="BF79" i="27"/>
  <c r="BG79" i="27"/>
  <c r="BH79" i="27"/>
  <c r="BI79" i="27"/>
  <c r="BJ79" i="27"/>
  <c r="BK79" i="27"/>
  <c r="BL79" i="27"/>
  <c r="BM79" i="27"/>
  <c r="BN79" i="27"/>
  <c r="BO79" i="27"/>
  <c r="BP79" i="27"/>
  <c r="BQ79" i="27"/>
  <c r="BR79" i="27"/>
  <c r="BS79" i="27"/>
  <c r="BT79" i="27"/>
  <c r="BU79" i="27"/>
  <c r="BV79" i="27"/>
  <c r="BW79" i="27"/>
  <c r="BX79" i="27"/>
  <c r="BY79" i="27"/>
  <c r="BZ79" i="27"/>
  <c r="CA79" i="27"/>
  <c r="CB79" i="27"/>
  <c r="CC79" i="27"/>
  <c r="CD79" i="27"/>
  <c r="CE79" i="27"/>
  <c r="CF79" i="27"/>
  <c r="CG79" i="27"/>
  <c r="CH79" i="27"/>
  <c r="CI79" i="27"/>
  <c r="CJ79" i="27"/>
  <c r="CK79" i="27"/>
  <c r="CL79" i="27"/>
  <c r="CM79" i="27"/>
  <c r="CN79" i="27"/>
  <c r="CO79" i="27"/>
  <c r="CP79" i="27"/>
  <c r="CQ79" i="27"/>
  <c r="CR79" i="27"/>
  <c r="CS79" i="27"/>
  <c r="CT79" i="27"/>
  <c r="CU79" i="27"/>
  <c r="CV79" i="27"/>
  <c r="CW79" i="27"/>
  <c r="CX79" i="27"/>
  <c r="CY79" i="27"/>
  <c r="CZ79" i="27"/>
  <c r="DA79" i="27"/>
  <c r="DB79" i="27"/>
  <c r="DC79" i="27"/>
  <c r="DD79" i="27"/>
  <c r="DE79" i="27"/>
  <c r="DF79" i="27"/>
  <c r="DG79" i="27"/>
  <c r="DH79" i="27"/>
  <c r="DI79" i="27"/>
  <c r="DJ79" i="27"/>
  <c r="DK79" i="27"/>
  <c r="DL79" i="27"/>
  <c r="DM79" i="27"/>
  <c r="DN79" i="27"/>
  <c r="DO79" i="27"/>
  <c r="DP79" i="27"/>
  <c r="DQ79" i="27"/>
  <c r="DR79" i="27"/>
  <c r="DS79" i="27"/>
  <c r="DT79" i="27"/>
  <c r="DU79" i="27"/>
  <c r="DV79" i="27"/>
  <c r="DW79" i="27"/>
  <c r="DX79" i="27"/>
  <c r="DY79" i="27"/>
  <c r="DZ79" i="27"/>
  <c r="EA79" i="27"/>
  <c r="EB79" i="27"/>
  <c r="EC79" i="27"/>
  <c r="ED79" i="27"/>
  <c r="EE79" i="27"/>
  <c r="EF79" i="27"/>
  <c r="EG79" i="27"/>
  <c r="EH79" i="27"/>
  <c r="EI79" i="27"/>
  <c r="EJ79" i="27"/>
  <c r="EK79" i="27"/>
  <c r="EL79" i="27"/>
  <c r="EM79" i="27"/>
  <c r="EN79" i="27"/>
  <c r="EO79" i="27"/>
  <c r="EP79" i="27"/>
  <c r="EQ79" i="27"/>
  <c r="ER79" i="27"/>
  <c r="ES79" i="27"/>
  <c r="ET79" i="27"/>
  <c r="EU79" i="27"/>
  <c r="EV79" i="27"/>
  <c r="EW79" i="27"/>
  <c r="EX79" i="27"/>
  <c r="EY79" i="27"/>
  <c r="EZ79" i="27"/>
  <c r="FA79" i="27"/>
  <c r="FB79" i="27"/>
  <c r="FC79" i="27"/>
  <c r="FD79" i="27"/>
  <c r="FE79" i="27"/>
  <c r="FF79" i="27"/>
  <c r="FG79" i="27"/>
  <c r="FH79" i="27"/>
  <c r="FI79" i="27"/>
  <c r="FJ79" i="27"/>
  <c r="FK79" i="27"/>
  <c r="FL79" i="27"/>
  <c r="FM79" i="27"/>
  <c r="FN79" i="27"/>
  <c r="FO79" i="27"/>
  <c r="FP79" i="27"/>
  <c r="FQ79" i="27"/>
  <c r="FR79" i="27"/>
  <c r="FS79" i="27"/>
  <c r="FT79" i="27"/>
  <c r="FU79" i="27"/>
  <c r="FV79" i="27"/>
  <c r="FW79" i="27"/>
  <c r="FX79" i="27"/>
  <c r="FY79" i="27"/>
  <c r="FZ79" i="27"/>
  <c r="GA79" i="27"/>
  <c r="GB79" i="27"/>
  <c r="GC79" i="27"/>
  <c r="GD79" i="27"/>
  <c r="GE79" i="27"/>
  <c r="GF79" i="27"/>
  <c r="GG79" i="27"/>
  <c r="GH79" i="27"/>
  <c r="GI79" i="27"/>
  <c r="GJ79" i="27"/>
  <c r="GK79" i="27"/>
  <c r="GL79" i="27"/>
  <c r="GM79" i="27"/>
  <c r="GN79" i="27"/>
  <c r="GO79" i="27"/>
  <c r="GP79" i="27"/>
  <c r="GQ79" i="27"/>
  <c r="GR79" i="27"/>
  <c r="GS79" i="27"/>
  <c r="GT79" i="27"/>
  <c r="GU79" i="27"/>
  <c r="GV79" i="27"/>
  <c r="GW79" i="27"/>
  <c r="GX79" i="27"/>
  <c r="GY79" i="27"/>
  <c r="GZ79" i="27"/>
  <c r="HA79" i="27"/>
  <c r="HB79" i="27"/>
  <c r="HC79" i="27"/>
  <c r="HD79" i="27"/>
  <c r="HE79" i="27"/>
  <c r="HF79" i="27"/>
  <c r="HG79" i="27"/>
  <c r="HH79" i="27"/>
  <c r="HI79" i="27"/>
  <c r="HJ79" i="27"/>
  <c r="HK79" i="27"/>
  <c r="HL79" i="27"/>
  <c r="HM79" i="27"/>
  <c r="HN79" i="27"/>
  <c r="HO79" i="27"/>
  <c r="HP79" i="27"/>
  <c r="HQ79" i="27"/>
  <c r="HR79" i="27"/>
  <c r="HS79" i="27"/>
  <c r="HT79" i="27"/>
  <c r="HU79" i="27"/>
  <c r="HV79" i="27"/>
  <c r="HW79" i="27"/>
  <c r="HX79" i="27"/>
  <c r="HY79" i="27"/>
  <c r="HZ79" i="27"/>
  <c r="IA79" i="27"/>
  <c r="IB79" i="27"/>
  <c r="IC79" i="27"/>
  <c r="ID79" i="27"/>
  <c r="IE79" i="27"/>
  <c r="IF79" i="27"/>
  <c r="IG79" i="27"/>
  <c r="IH79" i="27"/>
  <c r="II79" i="27"/>
  <c r="IJ79" i="27"/>
  <c r="IK79" i="27"/>
  <c r="IL79" i="27"/>
  <c r="IM79" i="27"/>
  <c r="IN79" i="27"/>
  <c r="IO79" i="27"/>
  <c r="IP79" i="27"/>
  <c r="IQ79" i="27"/>
  <c r="IR79" i="27"/>
  <c r="IS79" i="27"/>
  <c r="IT79" i="27"/>
  <c r="IU79" i="27"/>
  <c r="IV79" i="27"/>
  <c r="A78" i="27"/>
  <c r="B78" i="27"/>
  <c r="C78" i="27"/>
  <c r="D78" i="27"/>
  <c r="E78" i="27"/>
  <c r="F78" i="27"/>
  <c r="G78" i="27"/>
  <c r="H78" i="27"/>
  <c r="J78" i="27"/>
  <c r="K78" i="27"/>
  <c r="L78" i="27"/>
  <c r="M78" i="27"/>
  <c r="N78" i="27"/>
  <c r="O78" i="27"/>
  <c r="P78" i="27"/>
  <c r="Q78" i="27"/>
  <c r="R78" i="27"/>
  <c r="S78" i="27"/>
  <c r="T78" i="27"/>
  <c r="U78" i="27"/>
  <c r="V78" i="27"/>
  <c r="W78" i="27"/>
  <c r="X78" i="27"/>
  <c r="Y78" i="27"/>
  <c r="Z78" i="27"/>
  <c r="AA78" i="27"/>
  <c r="AB78" i="27"/>
  <c r="AC78" i="27"/>
  <c r="AD78" i="27"/>
  <c r="AE78" i="27"/>
  <c r="AF78" i="27"/>
  <c r="AG78" i="27"/>
  <c r="AH78" i="27"/>
  <c r="AI78" i="27"/>
  <c r="AJ78" i="27"/>
  <c r="AK78" i="27"/>
  <c r="AL78" i="27"/>
  <c r="AM78" i="27"/>
  <c r="AN78" i="27"/>
  <c r="AO78" i="27"/>
  <c r="AP78" i="27"/>
  <c r="AQ78" i="27"/>
  <c r="AR78" i="27"/>
  <c r="AS78" i="27"/>
  <c r="AT78" i="27"/>
  <c r="AU78" i="27"/>
  <c r="AV78" i="27"/>
  <c r="AW78" i="27"/>
  <c r="AX78" i="27"/>
  <c r="AY78" i="27"/>
  <c r="AZ78" i="27"/>
  <c r="BA78" i="27"/>
  <c r="BB78" i="27"/>
  <c r="BC78" i="27"/>
  <c r="BD78" i="27"/>
  <c r="BE78" i="27"/>
  <c r="BF78" i="27"/>
  <c r="BG78" i="27"/>
  <c r="BH78" i="27"/>
  <c r="BI78" i="27"/>
  <c r="BJ78" i="27"/>
  <c r="BK78" i="27"/>
  <c r="BL78" i="27"/>
  <c r="BM78" i="27"/>
  <c r="BN78" i="27"/>
  <c r="BO78" i="27"/>
  <c r="BP78" i="27"/>
  <c r="BQ78" i="27"/>
  <c r="BR78" i="27"/>
  <c r="BS78" i="27"/>
  <c r="BT78" i="27"/>
  <c r="BU78" i="27"/>
  <c r="BV78" i="27"/>
  <c r="BW78" i="27"/>
  <c r="BX78" i="27"/>
  <c r="BY78" i="27"/>
  <c r="BZ78" i="27"/>
  <c r="CA78" i="27"/>
  <c r="CB78" i="27"/>
  <c r="CC78" i="27"/>
  <c r="CD78" i="27"/>
  <c r="CE78" i="27"/>
  <c r="CF78" i="27"/>
  <c r="CG78" i="27"/>
  <c r="CH78" i="27"/>
  <c r="CI78" i="27"/>
  <c r="CJ78" i="27"/>
  <c r="CK78" i="27"/>
  <c r="CL78" i="27"/>
  <c r="CM78" i="27"/>
  <c r="CN78" i="27"/>
  <c r="CO78" i="27"/>
  <c r="CP78" i="27"/>
  <c r="CQ78" i="27"/>
  <c r="CR78" i="27"/>
  <c r="CS78" i="27"/>
  <c r="CT78" i="27"/>
  <c r="CU78" i="27"/>
  <c r="CV78" i="27"/>
  <c r="CW78" i="27"/>
  <c r="CX78" i="27"/>
  <c r="CY78" i="27"/>
  <c r="CZ78" i="27"/>
  <c r="DA78" i="27"/>
  <c r="DB78" i="27"/>
  <c r="DC78" i="27"/>
  <c r="DD78" i="27"/>
  <c r="DE78" i="27"/>
  <c r="DF78" i="27"/>
  <c r="DG78" i="27"/>
  <c r="DH78" i="27"/>
  <c r="DI78" i="27"/>
  <c r="DJ78" i="27"/>
  <c r="DK78" i="27"/>
  <c r="DL78" i="27"/>
  <c r="DM78" i="27"/>
  <c r="DN78" i="27"/>
  <c r="DO78" i="27"/>
  <c r="DP78" i="27"/>
  <c r="DQ78" i="27"/>
  <c r="DR78" i="27"/>
  <c r="DS78" i="27"/>
  <c r="DT78" i="27"/>
  <c r="DU78" i="27"/>
  <c r="DV78" i="27"/>
  <c r="DW78" i="27"/>
  <c r="DX78" i="27"/>
  <c r="DY78" i="27"/>
  <c r="DZ78" i="27"/>
  <c r="EA78" i="27"/>
  <c r="EB78" i="27"/>
  <c r="EC78" i="27"/>
  <c r="ED78" i="27"/>
  <c r="EE78" i="27"/>
  <c r="EF78" i="27"/>
  <c r="EG78" i="27"/>
  <c r="EH78" i="27"/>
  <c r="EI78" i="27"/>
  <c r="EJ78" i="27"/>
  <c r="EK78" i="27"/>
  <c r="EL78" i="27"/>
  <c r="EM78" i="27"/>
  <c r="EN78" i="27"/>
  <c r="EO78" i="27"/>
  <c r="EP78" i="27"/>
  <c r="EQ78" i="27"/>
  <c r="ER78" i="27"/>
  <c r="ES78" i="27"/>
  <c r="ET78" i="27"/>
  <c r="EU78" i="27"/>
  <c r="EV78" i="27"/>
  <c r="EW78" i="27"/>
  <c r="EX78" i="27"/>
  <c r="EY78" i="27"/>
  <c r="EZ78" i="27"/>
  <c r="FA78" i="27"/>
  <c r="FB78" i="27"/>
  <c r="FC78" i="27"/>
  <c r="FD78" i="27"/>
  <c r="FE78" i="27"/>
  <c r="FF78" i="27"/>
  <c r="FG78" i="27"/>
  <c r="FH78" i="27"/>
  <c r="FI78" i="27"/>
  <c r="FJ78" i="27"/>
  <c r="FK78" i="27"/>
  <c r="FL78" i="27"/>
  <c r="FM78" i="27"/>
  <c r="FN78" i="27"/>
  <c r="FO78" i="27"/>
  <c r="FP78" i="27"/>
  <c r="FQ78" i="27"/>
  <c r="FR78" i="27"/>
  <c r="FS78" i="27"/>
  <c r="FT78" i="27"/>
  <c r="FU78" i="27"/>
  <c r="FV78" i="27"/>
  <c r="FW78" i="27"/>
  <c r="FX78" i="27"/>
  <c r="FY78" i="27"/>
  <c r="FZ78" i="27"/>
  <c r="GA78" i="27"/>
  <c r="GB78" i="27"/>
  <c r="GC78" i="27"/>
  <c r="GD78" i="27"/>
  <c r="GE78" i="27"/>
  <c r="GF78" i="27"/>
  <c r="GG78" i="27"/>
  <c r="GH78" i="27"/>
  <c r="GI78" i="27"/>
  <c r="GJ78" i="27"/>
  <c r="GK78" i="27"/>
  <c r="GL78" i="27"/>
  <c r="GM78" i="27"/>
  <c r="GN78" i="27"/>
  <c r="GO78" i="27"/>
  <c r="GP78" i="27"/>
  <c r="GQ78" i="27"/>
  <c r="GR78" i="27"/>
  <c r="GS78" i="27"/>
  <c r="GT78" i="27"/>
  <c r="GU78" i="27"/>
  <c r="GV78" i="27"/>
  <c r="GW78" i="27"/>
  <c r="GX78" i="27"/>
  <c r="GY78" i="27"/>
  <c r="GZ78" i="27"/>
  <c r="HA78" i="27"/>
  <c r="HB78" i="27"/>
  <c r="HC78" i="27"/>
  <c r="HD78" i="27"/>
  <c r="HE78" i="27"/>
  <c r="HF78" i="27"/>
  <c r="HG78" i="27"/>
  <c r="HH78" i="27"/>
  <c r="HI78" i="27"/>
  <c r="HJ78" i="27"/>
  <c r="HK78" i="27"/>
  <c r="HL78" i="27"/>
  <c r="HM78" i="27"/>
  <c r="HN78" i="27"/>
  <c r="HO78" i="27"/>
  <c r="HP78" i="27"/>
  <c r="HQ78" i="27"/>
  <c r="HR78" i="27"/>
  <c r="HS78" i="27"/>
  <c r="HT78" i="27"/>
  <c r="HU78" i="27"/>
  <c r="HV78" i="27"/>
  <c r="HW78" i="27"/>
  <c r="HX78" i="27"/>
  <c r="HY78" i="27"/>
  <c r="HZ78" i="27"/>
  <c r="IA78" i="27"/>
  <c r="IB78" i="27"/>
  <c r="IC78" i="27"/>
  <c r="ID78" i="27"/>
  <c r="IE78" i="27"/>
  <c r="IF78" i="27"/>
  <c r="IG78" i="27"/>
  <c r="IH78" i="27"/>
  <c r="II78" i="27"/>
  <c r="IJ78" i="27"/>
  <c r="IK78" i="27"/>
  <c r="IL78" i="27"/>
  <c r="IM78" i="27"/>
  <c r="IN78" i="27"/>
  <c r="IO78" i="27"/>
  <c r="IP78" i="27"/>
  <c r="IQ78" i="27"/>
  <c r="IR78" i="27"/>
  <c r="IS78" i="27"/>
  <c r="IT78" i="27"/>
  <c r="IU78" i="27"/>
  <c r="IV78" i="27"/>
  <c r="A77" i="27"/>
  <c r="B77" i="27"/>
  <c r="C77" i="27"/>
  <c r="E77" i="27"/>
  <c r="F77" i="27"/>
  <c r="G77" i="27"/>
  <c r="H77" i="27"/>
  <c r="I77" i="27"/>
  <c r="J77" i="27"/>
  <c r="K77" i="27"/>
  <c r="L77" i="27"/>
  <c r="M77" i="27"/>
  <c r="N77" i="27"/>
  <c r="O77" i="27"/>
  <c r="P77" i="27"/>
  <c r="Q77" i="27"/>
  <c r="R77" i="27"/>
  <c r="S77" i="27"/>
  <c r="T77" i="27"/>
  <c r="U77" i="27"/>
  <c r="V77" i="27"/>
  <c r="W77" i="27"/>
  <c r="X77" i="27"/>
  <c r="Y77" i="27"/>
  <c r="Z77" i="27"/>
  <c r="AA77" i="27"/>
  <c r="AB77" i="27"/>
  <c r="AC77" i="27"/>
  <c r="AD77" i="27"/>
  <c r="AE77" i="27"/>
  <c r="AF77" i="27"/>
  <c r="AG77" i="27"/>
  <c r="AH77" i="27"/>
  <c r="AI77" i="27"/>
  <c r="AJ77" i="27"/>
  <c r="AK77" i="27"/>
  <c r="AL77" i="27"/>
  <c r="AM77" i="27"/>
  <c r="AN77" i="27"/>
  <c r="AO77" i="27"/>
  <c r="AP77" i="27"/>
  <c r="AQ77" i="27"/>
  <c r="AR77" i="27"/>
  <c r="AS77" i="27"/>
  <c r="AT77" i="27"/>
  <c r="AU77" i="27"/>
  <c r="AV77" i="27"/>
  <c r="AW77" i="27"/>
  <c r="AX77" i="27"/>
  <c r="AY77" i="27"/>
  <c r="AZ77" i="27"/>
  <c r="BA77" i="27"/>
  <c r="BB77" i="27"/>
  <c r="BC77" i="27"/>
  <c r="BD77" i="27"/>
  <c r="BE77" i="27"/>
  <c r="BF77" i="27"/>
  <c r="BG77" i="27"/>
  <c r="BH77" i="27"/>
  <c r="BI77" i="27"/>
  <c r="BJ77" i="27"/>
  <c r="BK77" i="27"/>
  <c r="BL77" i="27"/>
  <c r="BM77" i="27"/>
  <c r="BN77" i="27"/>
  <c r="BO77" i="27"/>
  <c r="BP77" i="27"/>
  <c r="BQ77" i="27"/>
  <c r="BR77" i="27"/>
  <c r="BS77" i="27"/>
  <c r="BT77" i="27"/>
  <c r="BU77" i="27"/>
  <c r="BV77" i="27"/>
  <c r="BW77" i="27"/>
  <c r="BX77" i="27"/>
  <c r="BY77" i="27"/>
  <c r="BZ77" i="27"/>
  <c r="CA77" i="27"/>
  <c r="CB77" i="27"/>
  <c r="CC77" i="27"/>
  <c r="CD77" i="27"/>
  <c r="CE77" i="27"/>
  <c r="CF77" i="27"/>
  <c r="CG77" i="27"/>
  <c r="CH77" i="27"/>
  <c r="CI77" i="27"/>
  <c r="CJ77" i="27"/>
  <c r="CK77" i="27"/>
  <c r="CL77" i="27"/>
  <c r="CM77" i="27"/>
  <c r="CN77" i="27"/>
  <c r="CO77" i="27"/>
  <c r="CP77" i="27"/>
  <c r="CQ77" i="27"/>
  <c r="CR77" i="27"/>
  <c r="CS77" i="27"/>
  <c r="CT77" i="27"/>
  <c r="CU77" i="27"/>
  <c r="CV77" i="27"/>
  <c r="CW77" i="27"/>
  <c r="CX77" i="27"/>
  <c r="CY77" i="27"/>
  <c r="CZ77" i="27"/>
  <c r="DA77" i="27"/>
  <c r="DB77" i="27"/>
  <c r="DC77" i="27"/>
  <c r="DD77" i="27"/>
  <c r="DE77" i="27"/>
  <c r="DF77" i="27"/>
  <c r="DG77" i="27"/>
  <c r="DH77" i="27"/>
  <c r="DI77" i="27"/>
  <c r="DJ77" i="27"/>
  <c r="DK77" i="27"/>
  <c r="DL77" i="27"/>
  <c r="DM77" i="27"/>
  <c r="DN77" i="27"/>
  <c r="DO77" i="27"/>
  <c r="DP77" i="27"/>
  <c r="DQ77" i="27"/>
  <c r="DR77" i="27"/>
  <c r="DS77" i="27"/>
  <c r="DT77" i="27"/>
  <c r="DU77" i="27"/>
  <c r="DV77" i="27"/>
  <c r="DW77" i="27"/>
  <c r="DX77" i="27"/>
  <c r="DY77" i="27"/>
  <c r="DZ77" i="27"/>
  <c r="EA77" i="27"/>
  <c r="EB77" i="27"/>
  <c r="EC77" i="27"/>
  <c r="ED77" i="27"/>
  <c r="EE77" i="27"/>
  <c r="EF77" i="27"/>
  <c r="EG77" i="27"/>
  <c r="EH77" i="27"/>
  <c r="EI77" i="27"/>
  <c r="EJ77" i="27"/>
  <c r="EK77" i="27"/>
  <c r="EL77" i="27"/>
  <c r="EM77" i="27"/>
  <c r="EN77" i="27"/>
  <c r="EO77" i="27"/>
  <c r="EP77" i="27"/>
  <c r="EQ77" i="27"/>
  <c r="ER77" i="27"/>
  <c r="ES77" i="27"/>
  <c r="ET77" i="27"/>
  <c r="EU77" i="27"/>
  <c r="EV77" i="27"/>
  <c r="EW77" i="27"/>
  <c r="EX77" i="27"/>
  <c r="EY77" i="27"/>
  <c r="EZ77" i="27"/>
  <c r="FA77" i="27"/>
  <c r="FB77" i="27"/>
  <c r="FC77" i="27"/>
  <c r="FD77" i="27"/>
  <c r="FE77" i="27"/>
  <c r="FF77" i="27"/>
  <c r="FG77" i="27"/>
  <c r="FH77" i="27"/>
  <c r="FI77" i="27"/>
  <c r="FJ77" i="27"/>
  <c r="FK77" i="27"/>
  <c r="FL77" i="27"/>
  <c r="FM77" i="27"/>
  <c r="FN77" i="27"/>
  <c r="FO77" i="27"/>
  <c r="FP77" i="27"/>
  <c r="FQ77" i="27"/>
  <c r="FR77" i="27"/>
  <c r="FS77" i="27"/>
  <c r="FT77" i="27"/>
  <c r="FU77" i="27"/>
  <c r="FV77" i="27"/>
  <c r="FW77" i="27"/>
  <c r="FX77" i="27"/>
  <c r="FY77" i="27"/>
  <c r="FZ77" i="27"/>
  <c r="GA77" i="27"/>
  <c r="GB77" i="27"/>
  <c r="GC77" i="27"/>
  <c r="GD77" i="27"/>
  <c r="GE77" i="27"/>
  <c r="GF77" i="27"/>
  <c r="GG77" i="27"/>
  <c r="GH77" i="27"/>
  <c r="GI77" i="27"/>
  <c r="GJ77" i="27"/>
  <c r="GK77" i="27"/>
  <c r="GL77" i="27"/>
  <c r="GM77" i="27"/>
  <c r="GN77" i="27"/>
  <c r="GO77" i="27"/>
  <c r="GP77" i="27"/>
  <c r="GQ77" i="27"/>
  <c r="GR77" i="27"/>
  <c r="GS77" i="27"/>
  <c r="GT77" i="27"/>
  <c r="GU77" i="27"/>
  <c r="GV77" i="27"/>
  <c r="GW77" i="27"/>
  <c r="GX77" i="27"/>
  <c r="GY77" i="27"/>
  <c r="GZ77" i="27"/>
  <c r="HA77" i="27"/>
  <c r="HB77" i="27"/>
  <c r="HC77" i="27"/>
  <c r="HD77" i="27"/>
  <c r="HE77" i="27"/>
  <c r="HF77" i="27"/>
  <c r="HG77" i="27"/>
  <c r="HH77" i="27"/>
  <c r="HI77" i="27"/>
  <c r="HJ77" i="27"/>
  <c r="HK77" i="27"/>
  <c r="HL77" i="27"/>
  <c r="HM77" i="27"/>
  <c r="HN77" i="27"/>
  <c r="HO77" i="27"/>
  <c r="HP77" i="27"/>
  <c r="HQ77" i="27"/>
  <c r="HR77" i="27"/>
  <c r="HS77" i="27"/>
  <c r="HT77" i="27"/>
  <c r="HU77" i="27"/>
  <c r="HV77" i="27"/>
  <c r="HW77" i="27"/>
  <c r="HX77" i="27"/>
  <c r="HY77" i="27"/>
  <c r="HZ77" i="27"/>
  <c r="IA77" i="27"/>
  <c r="IB77" i="27"/>
  <c r="IC77" i="27"/>
  <c r="ID77" i="27"/>
  <c r="IE77" i="27"/>
  <c r="IF77" i="27"/>
  <c r="IG77" i="27"/>
  <c r="IH77" i="27"/>
  <c r="II77" i="27"/>
  <c r="IJ77" i="27"/>
  <c r="IK77" i="27"/>
  <c r="IL77" i="27"/>
  <c r="IM77" i="27"/>
  <c r="IN77" i="27"/>
  <c r="IO77" i="27"/>
  <c r="IP77" i="27"/>
  <c r="IQ77" i="27"/>
  <c r="IR77" i="27"/>
  <c r="IS77" i="27"/>
  <c r="IT77" i="27"/>
  <c r="IU77" i="27"/>
  <c r="IV77" i="27"/>
  <c r="A76" i="27"/>
  <c r="B76" i="27"/>
  <c r="C76" i="27"/>
  <c r="D76" i="27"/>
  <c r="E76" i="27"/>
  <c r="F76" i="27"/>
  <c r="G76" i="27"/>
  <c r="H76" i="27"/>
  <c r="I76" i="27"/>
  <c r="J76" i="27"/>
  <c r="K76" i="27"/>
  <c r="L76" i="27"/>
  <c r="M76" i="27"/>
  <c r="N76" i="27"/>
  <c r="O76" i="27"/>
  <c r="P76" i="27"/>
  <c r="Q76" i="27"/>
  <c r="R76" i="27"/>
  <c r="S76" i="27"/>
  <c r="T76" i="27"/>
  <c r="U76" i="27"/>
  <c r="V76" i="27"/>
  <c r="W76" i="27"/>
  <c r="X76" i="27"/>
  <c r="Y76" i="27"/>
  <c r="Z76" i="27"/>
  <c r="AA76" i="27"/>
  <c r="AB76" i="27"/>
  <c r="AC76" i="27"/>
  <c r="AD76" i="27"/>
  <c r="AE76" i="27"/>
  <c r="AF76" i="27"/>
  <c r="AG76" i="27"/>
  <c r="AH76" i="27"/>
  <c r="AI76" i="27"/>
  <c r="AJ76" i="27"/>
  <c r="AK76" i="27"/>
  <c r="AL76" i="27"/>
  <c r="AM76" i="27"/>
  <c r="AN76" i="27"/>
  <c r="AO76" i="27"/>
  <c r="AP76" i="27"/>
  <c r="AQ76" i="27"/>
  <c r="AR76" i="27"/>
  <c r="AS76" i="27"/>
  <c r="AT76" i="27"/>
  <c r="AU76" i="27"/>
  <c r="AV76" i="27"/>
  <c r="AW76" i="27"/>
  <c r="AX76" i="27"/>
  <c r="AY76" i="27"/>
  <c r="AZ76" i="27"/>
  <c r="BA76" i="27"/>
  <c r="BB76" i="27"/>
  <c r="BC76" i="27"/>
  <c r="BD76" i="27"/>
  <c r="BE76" i="27"/>
  <c r="BF76" i="27"/>
  <c r="BG76" i="27"/>
  <c r="BH76" i="27"/>
  <c r="BI76" i="27"/>
  <c r="BJ76" i="27"/>
  <c r="BK76" i="27"/>
  <c r="BL76" i="27"/>
  <c r="BM76" i="27"/>
  <c r="BN76" i="27"/>
  <c r="BO76" i="27"/>
  <c r="BP76" i="27"/>
  <c r="BQ76" i="27"/>
  <c r="BR76" i="27"/>
  <c r="BS76" i="27"/>
  <c r="BT76" i="27"/>
  <c r="BU76" i="27"/>
  <c r="BV76" i="27"/>
  <c r="BW76" i="27"/>
  <c r="BX76" i="27"/>
  <c r="BY76" i="27"/>
  <c r="BZ76" i="27"/>
  <c r="CA76" i="27"/>
  <c r="CB76" i="27"/>
  <c r="CC76" i="27"/>
  <c r="CD76" i="27"/>
  <c r="CE76" i="27"/>
  <c r="CF76" i="27"/>
  <c r="CG76" i="27"/>
  <c r="CH76" i="27"/>
  <c r="CI76" i="27"/>
  <c r="CJ76" i="27"/>
  <c r="CK76" i="27"/>
  <c r="CL76" i="27"/>
  <c r="CM76" i="27"/>
  <c r="CN76" i="27"/>
  <c r="CO76" i="27"/>
  <c r="CP76" i="27"/>
  <c r="CQ76" i="27"/>
  <c r="CR76" i="27"/>
  <c r="CS76" i="27"/>
  <c r="CT76" i="27"/>
  <c r="CU76" i="27"/>
  <c r="CV76" i="27"/>
  <c r="CW76" i="27"/>
  <c r="CX76" i="27"/>
  <c r="CY76" i="27"/>
  <c r="CZ76" i="27"/>
  <c r="DA76" i="27"/>
  <c r="DB76" i="27"/>
  <c r="DC76" i="27"/>
  <c r="DD76" i="27"/>
  <c r="DE76" i="27"/>
  <c r="DF76" i="27"/>
  <c r="DG76" i="27"/>
  <c r="DH76" i="27"/>
  <c r="DI76" i="27"/>
  <c r="DJ76" i="27"/>
  <c r="DK76" i="27"/>
  <c r="DL76" i="27"/>
  <c r="DM76" i="27"/>
  <c r="DN76" i="27"/>
  <c r="DO76" i="27"/>
  <c r="DP76" i="27"/>
  <c r="DQ76" i="27"/>
  <c r="DR76" i="27"/>
  <c r="DS76" i="27"/>
  <c r="DT76" i="27"/>
  <c r="DU76" i="27"/>
  <c r="DV76" i="27"/>
  <c r="DW76" i="27"/>
  <c r="DX76" i="27"/>
  <c r="DY76" i="27"/>
  <c r="DZ76" i="27"/>
  <c r="EA76" i="27"/>
  <c r="EB76" i="27"/>
  <c r="EC76" i="27"/>
  <c r="ED76" i="27"/>
  <c r="EE76" i="27"/>
  <c r="EF76" i="27"/>
  <c r="EG76" i="27"/>
  <c r="EH76" i="27"/>
  <c r="EI76" i="27"/>
  <c r="EJ76" i="27"/>
  <c r="EK76" i="27"/>
  <c r="EL76" i="27"/>
  <c r="EM76" i="27"/>
  <c r="EN76" i="27"/>
  <c r="EO76" i="27"/>
  <c r="EP76" i="27"/>
  <c r="EQ76" i="27"/>
  <c r="ER76" i="27"/>
  <c r="ES76" i="27"/>
  <c r="ET76" i="27"/>
  <c r="EU76" i="27"/>
  <c r="EV76" i="27"/>
  <c r="EW76" i="27"/>
  <c r="EX76" i="27"/>
  <c r="EY76" i="27"/>
  <c r="EZ76" i="27"/>
  <c r="FA76" i="27"/>
  <c r="FB76" i="27"/>
  <c r="FC76" i="27"/>
  <c r="FD76" i="27"/>
  <c r="FE76" i="27"/>
  <c r="FF76" i="27"/>
  <c r="FG76" i="27"/>
  <c r="FH76" i="27"/>
  <c r="FI76" i="27"/>
  <c r="FJ76" i="27"/>
  <c r="FK76" i="27"/>
  <c r="FL76" i="27"/>
  <c r="FM76" i="27"/>
  <c r="FN76" i="27"/>
  <c r="FO76" i="27"/>
  <c r="FP76" i="27"/>
  <c r="FQ76" i="27"/>
  <c r="FR76" i="27"/>
  <c r="FS76" i="27"/>
  <c r="FT76" i="27"/>
  <c r="FU76" i="27"/>
  <c r="FV76" i="27"/>
  <c r="FW76" i="27"/>
  <c r="FX76" i="27"/>
  <c r="FY76" i="27"/>
  <c r="FZ76" i="27"/>
  <c r="GA76" i="27"/>
  <c r="GB76" i="27"/>
  <c r="GC76" i="27"/>
  <c r="GD76" i="27"/>
  <c r="GE76" i="27"/>
  <c r="GF76" i="27"/>
  <c r="GG76" i="27"/>
  <c r="GH76" i="27"/>
  <c r="GI76" i="27"/>
  <c r="GJ76" i="27"/>
  <c r="GK76" i="27"/>
  <c r="GL76" i="27"/>
  <c r="GM76" i="27"/>
  <c r="GN76" i="27"/>
  <c r="GO76" i="27"/>
  <c r="GP76" i="27"/>
  <c r="GQ76" i="27"/>
  <c r="GR76" i="27"/>
  <c r="GS76" i="27"/>
  <c r="GT76" i="27"/>
  <c r="GU76" i="27"/>
  <c r="GV76" i="27"/>
  <c r="GW76" i="27"/>
  <c r="GX76" i="27"/>
  <c r="GY76" i="27"/>
  <c r="GZ76" i="27"/>
  <c r="HA76" i="27"/>
  <c r="HB76" i="27"/>
  <c r="HC76" i="27"/>
  <c r="HD76" i="27"/>
  <c r="HE76" i="27"/>
  <c r="HF76" i="27"/>
  <c r="HG76" i="27"/>
  <c r="HH76" i="27"/>
  <c r="HI76" i="27"/>
  <c r="HJ76" i="27"/>
  <c r="HK76" i="27"/>
  <c r="HL76" i="27"/>
  <c r="HM76" i="27"/>
  <c r="HN76" i="27"/>
  <c r="HO76" i="27"/>
  <c r="HP76" i="27"/>
  <c r="HQ76" i="27"/>
  <c r="HR76" i="27"/>
  <c r="HS76" i="27"/>
  <c r="HT76" i="27"/>
  <c r="HU76" i="27"/>
  <c r="HV76" i="27"/>
  <c r="HW76" i="27"/>
  <c r="HX76" i="27"/>
  <c r="HY76" i="27"/>
  <c r="HZ76" i="27"/>
  <c r="IA76" i="27"/>
  <c r="IB76" i="27"/>
  <c r="IC76" i="27"/>
  <c r="ID76" i="27"/>
  <c r="IE76" i="27"/>
  <c r="IF76" i="27"/>
  <c r="IG76" i="27"/>
  <c r="IH76" i="27"/>
  <c r="II76" i="27"/>
  <c r="IJ76" i="27"/>
  <c r="IK76" i="27"/>
  <c r="IL76" i="27"/>
  <c r="IM76" i="27"/>
  <c r="IN76" i="27"/>
  <c r="IO76" i="27"/>
  <c r="IP76" i="27"/>
  <c r="IQ76" i="27"/>
  <c r="IR76" i="27"/>
  <c r="IS76" i="27"/>
  <c r="IT76" i="27"/>
  <c r="IU76" i="27"/>
  <c r="IV76" i="27"/>
  <c r="A75" i="27"/>
  <c r="B75" i="27"/>
  <c r="D75" i="27"/>
  <c r="E75" i="27"/>
  <c r="F75" i="27"/>
  <c r="G75" i="27"/>
  <c r="H75" i="27"/>
  <c r="I75" i="27"/>
  <c r="J75" i="27"/>
  <c r="K75" i="27"/>
  <c r="L75" i="27"/>
  <c r="M75" i="27"/>
  <c r="N75" i="27"/>
  <c r="O75" i="27"/>
  <c r="P75" i="27"/>
  <c r="Q75" i="27"/>
  <c r="R75" i="27"/>
  <c r="S75" i="27"/>
  <c r="T75" i="27"/>
  <c r="U75" i="27"/>
  <c r="V75" i="27"/>
  <c r="W75" i="27"/>
  <c r="X75" i="27"/>
  <c r="Y75" i="27"/>
  <c r="Z75" i="27"/>
  <c r="AA75" i="27"/>
  <c r="AB75" i="27"/>
  <c r="AC75" i="27"/>
  <c r="AD75" i="27"/>
  <c r="AE75" i="27"/>
  <c r="AF75" i="27"/>
  <c r="AG75" i="27"/>
  <c r="AH75" i="27"/>
  <c r="AI75" i="27"/>
  <c r="AJ75" i="27"/>
  <c r="AK75" i="27"/>
  <c r="AL75" i="27"/>
  <c r="AM75" i="27"/>
  <c r="AN75" i="27"/>
  <c r="AO75" i="27"/>
  <c r="AP75" i="27"/>
  <c r="AQ75" i="27"/>
  <c r="AR75" i="27"/>
  <c r="AS75" i="27"/>
  <c r="AT75" i="27"/>
  <c r="AU75" i="27"/>
  <c r="AV75" i="27"/>
  <c r="AW75" i="27"/>
  <c r="AX75" i="27"/>
  <c r="AY75" i="27"/>
  <c r="AZ75" i="27"/>
  <c r="BA75" i="27"/>
  <c r="BB75" i="27"/>
  <c r="BC75" i="27"/>
  <c r="BD75" i="27"/>
  <c r="BE75" i="27"/>
  <c r="BF75" i="27"/>
  <c r="BG75" i="27"/>
  <c r="BH75" i="27"/>
  <c r="BI75" i="27"/>
  <c r="BJ75" i="27"/>
  <c r="BK75" i="27"/>
  <c r="BL75" i="27"/>
  <c r="BM75" i="27"/>
  <c r="BN75" i="27"/>
  <c r="BO75" i="27"/>
  <c r="BP75" i="27"/>
  <c r="BQ75" i="27"/>
  <c r="BR75" i="27"/>
  <c r="BS75" i="27"/>
  <c r="BT75" i="27"/>
  <c r="BU75" i="27"/>
  <c r="BV75" i="27"/>
  <c r="BW75" i="27"/>
  <c r="BX75" i="27"/>
  <c r="BY75" i="27"/>
  <c r="BZ75" i="27"/>
  <c r="CA75" i="27"/>
  <c r="CB75" i="27"/>
  <c r="CC75" i="27"/>
  <c r="CD75" i="27"/>
  <c r="CE75" i="27"/>
  <c r="CF75" i="27"/>
  <c r="CG75" i="27"/>
  <c r="CH75" i="27"/>
  <c r="CI75" i="27"/>
  <c r="CJ75" i="27"/>
  <c r="CK75" i="27"/>
  <c r="CL75" i="27"/>
  <c r="CM75" i="27"/>
  <c r="CN75" i="27"/>
  <c r="CO75" i="27"/>
  <c r="CP75" i="27"/>
  <c r="CQ75" i="27"/>
  <c r="CR75" i="27"/>
  <c r="CS75" i="27"/>
  <c r="CT75" i="27"/>
  <c r="CU75" i="27"/>
  <c r="CV75" i="27"/>
  <c r="CW75" i="27"/>
  <c r="CX75" i="27"/>
  <c r="CY75" i="27"/>
  <c r="CZ75" i="27"/>
  <c r="DA75" i="27"/>
  <c r="DB75" i="27"/>
  <c r="DC75" i="27"/>
  <c r="DD75" i="27"/>
  <c r="DE75" i="27"/>
  <c r="DF75" i="27"/>
  <c r="DG75" i="27"/>
  <c r="DH75" i="27"/>
  <c r="DI75" i="27"/>
  <c r="DJ75" i="27"/>
  <c r="DK75" i="27"/>
  <c r="DL75" i="27"/>
  <c r="DM75" i="27"/>
  <c r="DN75" i="27"/>
  <c r="DO75" i="27"/>
  <c r="DP75" i="27"/>
  <c r="DQ75" i="27"/>
  <c r="DR75" i="27"/>
  <c r="DS75" i="27"/>
  <c r="DT75" i="27"/>
  <c r="DU75" i="27"/>
  <c r="DV75" i="27"/>
  <c r="DW75" i="27"/>
  <c r="DX75" i="27"/>
  <c r="DY75" i="27"/>
  <c r="DZ75" i="27"/>
  <c r="EA75" i="27"/>
  <c r="EB75" i="27"/>
  <c r="EC75" i="27"/>
  <c r="ED75" i="27"/>
  <c r="EE75" i="27"/>
  <c r="EF75" i="27"/>
  <c r="EG75" i="27"/>
  <c r="EH75" i="27"/>
  <c r="EI75" i="27"/>
  <c r="EJ75" i="27"/>
  <c r="EK75" i="27"/>
  <c r="EL75" i="27"/>
  <c r="EM75" i="27"/>
  <c r="EN75" i="27"/>
  <c r="EO75" i="27"/>
  <c r="EP75" i="27"/>
  <c r="EQ75" i="27"/>
  <c r="ER75" i="27"/>
  <c r="ES75" i="27"/>
  <c r="ET75" i="27"/>
  <c r="EU75" i="27"/>
  <c r="EV75" i="27"/>
  <c r="EW75" i="27"/>
  <c r="EX75" i="27"/>
  <c r="EY75" i="27"/>
  <c r="EZ75" i="27"/>
  <c r="FA75" i="27"/>
  <c r="FB75" i="27"/>
  <c r="FC75" i="27"/>
  <c r="FD75" i="27"/>
  <c r="FE75" i="27"/>
  <c r="FF75" i="27"/>
  <c r="FG75" i="27"/>
  <c r="FH75" i="27"/>
  <c r="FI75" i="27"/>
  <c r="FJ75" i="27"/>
  <c r="FK75" i="27"/>
  <c r="FL75" i="27"/>
  <c r="FM75" i="27"/>
  <c r="FN75" i="27"/>
  <c r="FO75" i="27"/>
  <c r="FP75" i="27"/>
  <c r="FQ75" i="27"/>
  <c r="FR75" i="27"/>
  <c r="FS75" i="27"/>
  <c r="FT75" i="27"/>
  <c r="FU75" i="27"/>
  <c r="FV75" i="27"/>
  <c r="FW75" i="27"/>
  <c r="FX75" i="27"/>
  <c r="FY75" i="27"/>
  <c r="FZ75" i="27"/>
  <c r="GA75" i="27"/>
  <c r="GB75" i="27"/>
  <c r="GC75" i="27"/>
  <c r="GD75" i="27"/>
  <c r="GE75" i="27"/>
  <c r="GF75" i="27"/>
  <c r="GG75" i="27"/>
  <c r="GH75" i="27"/>
  <c r="GI75" i="27"/>
  <c r="GJ75" i="27"/>
  <c r="GK75" i="27"/>
  <c r="GL75" i="27"/>
  <c r="GM75" i="27"/>
  <c r="GN75" i="27"/>
  <c r="GO75" i="27"/>
  <c r="GP75" i="27"/>
  <c r="GQ75" i="27"/>
  <c r="GR75" i="27"/>
  <c r="GS75" i="27"/>
  <c r="GT75" i="27"/>
  <c r="GU75" i="27"/>
  <c r="GV75" i="27"/>
  <c r="GW75" i="27"/>
  <c r="GX75" i="27"/>
  <c r="GY75" i="27"/>
  <c r="GZ75" i="27"/>
  <c r="HA75" i="27"/>
  <c r="HB75" i="27"/>
  <c r="HC75" i="27"/>
  <c r="HD75" i="27"/>
  <c r="HE75" i="27"/>
  <c r="HF75" i="27"/>
  <c r="HG75" i="27"/>
  <c r="HH75" i="27"/>
  <c r="HI75" i="27"/>
  <c r="HJ75" i="27"/>
  <c r="HK75" i="27"/>
  <c r="HL75" i="27"/>
  <c r="HM75" i="27"/>
  <c r="HN75" i="27"/>
  <c r="HO75" i="27"/>
  <c r="HP75" i="27"/>
  <c r="HQ75" i="27"/>
  <c r="HR75" i="27"/>
  <c r="HS75" i="27"/>
  <c r="HT75" i="27"/>
  <c r="HU75" i="27"/>
  <c r="HV75" i="27"/>
  <c r="HW75" i="27"/>
  <c r="HX75" i="27"/>
  <c r="HY75" i="27"/>
  <c r="HZ75" i="27"/>
  <c r="IA75" i="27"/>
  <c r="IB75" i="27"/>
  <c r="IC75" i="27"/>
  <c r="ID75" i="27"/>
  <c r="IE75" i="27"/>
  <c r="IF75" i="27"/>
  <c r="IG75" i="27"/>
  <c r="IH75" i="27"/>
  <c r="II75" i="27"/>
  <c r="IJ75" i="27"/>
  <c r="IK75" i="27"/>
  <c r="IL75" i="27"/>
  <c r="IM75" i="27"/>
  <c r="IN75" i="27"/>
  <c r="IO75" i="27"/>
  <c r="IP75" i="27"/>
  <c r="IQ75" i="27"/>
  <c r="IR75" i="27"/>
  <c r="IS75" i="27"/>
  <c r="IT75" i="27"/>
  <c r="IU75" i="27"/>
  <c r="IV75" i="27"/>
  <c r="A74" i="27"/>
  <c r="B74" i="27"/>
  <c r="C74" i="27"/>
  <c r="D74" i="27"/>
  <c r="E74" i="27"/>
  <c r="F74" i="27"/>
  <c r="G74" i="27"/>
  <c r="H74" i="27"/>
  <c r="I74" i="27"/>
  <c r="J74" i="27"/>
  <c r="K74" i="27"/>
  <c r="L74" i="27"/>
  <c r="M74" i="27"/>
  <c r="N74" i="27"/>
  <c r="O74" i="27"/>
  <c r="P74" i="27"/>
  <c r="Q74" i="27"/>
  <c r="R74" i="27"/>
  <c r="S74" i="27"/>
  <c r="T74" i="27"/>
  <c r="U74" i="27"/>
  <c r="V74" i="27"/>
  <c r="W74" i="27"/>
  <c r="X74" i="27"/>
  <c r="Y74" i="27"/>
  <c r="Z74" i="27"/>
  <c r="AA74" i="27"/>
  <c r="AB74" i="27"/>
  <c r="AC74" i="27"/>
  <c r="AD74" i="27"/>
  <c r="AE74" i="27"/>
  <c r="AF74" i="27"/>
  <c r="AG74" i="27"/>
  <c r="AH74" i="27"/>
  <c r="AI74" i="27"/>
  <c r="AJ74" i="27"/>
  <c r="AK74" i="27"/>
  <c r="AL74" i="27"/>
  <c r="AM74" i="27"/>
  <c r="AN74" i="27"/>
  <c r="AO74" i="27"/>
  <c r="AP74" i="27"/>
  <c r="AQ74" i="27"/>
  <c r="AR74" i="27"/>
  <c r="AS74" i="27"/>
  <c r="AT74" i="27"/>
  <c r="AU74" i="27"/>
  <c r="AV74" i="27"/>
  <c r="AW74" i="27"/>
  <c r="AX74" i="27"/>
  <c r="AY74" i="27"/>
  <c r="AZ74" i="27"/>
  <c r="BA74" i="27"/>
  <c r="BB74" i="27"/>
  <c r="BC74" i="27"/>
  <c r="BD74" i="27"/>
  <c r="BE74" i="27"/>
  <c r="BF74" i="27"/>
  <c r="BG74" i="27"/>
  <c r="BH74" i="27"/>
  <c r="BI74" i="27"/>
  <c r="BJ74" i="27"/>
  <c r="BK74" i="27"/>
  <c r="BL74" i="27"/>
  <c r="BM74" i="27"/>
  <c r="BN74" i="27"/>
  <c r="BO74" i="27"/>
  <c r="BP74" i="27"/>
  <c r="BQ74" i="27"/>
  <c r="BR74" i="27"/>
  <c r="BS74" i="27"/>
  <c r="BT74" i="27"/>
  <c r="BU74" i="27"/>
  <c r="BV74" i="27"/>
  <c r="BW74" i="27"/>
  <c r="BX74" i="27"/>
  <c r="BY74" i="27"/>
  <c r="BZ74" i="27"/>
  <c r="CA74" i="27"/>
  <c r="CB74" i="27"/>
  <c r="CC74" i="27"/>
  <c r="CD74" i="27"/>
  <c r="CE74" i="27"/>
  <c r="CF74" i="27"/>
  <c r="CG74" i="27"/>
  <c r="CH74" i="27"/>
  <c r="CI74" i="27"/>
  <c r="CJ74" i="27"/>
  <c r="CK74" i="27"/>
  <c r="CL74" i="27"/>
  <c r="CM74" i="27"/>
  <c r="CN74" i="27"/>
  <c r="CO74" i="27"/>
  <c r="CP74" i="27"/>
  <c r="CQ74" i="27"/>
  <c r="CR74" i="27"/>
  <c r="CS74" i="27"/>
  <c r="CT74" i="27"/>
  <c r="CU74" i="27"/>
  <c r="CV74" i="27"/>
  <c r="CW74" i="27"/>
  <c r="CX74" i="27"/>
  <c r="CY74" i="27"/>
  <c r="CZ74" i="27"/>
  <c r="DA74" i="27"/>
  <c r="DB74" i="27"/>
  <c r="DC74" i="27"/>
  <c r="DD74" i="27"/>
  <c r="DE74" i="27"/>
  <c r="DF74" i="27"/>
  <c r="DG74" i="27"/>
  <c r="DH74" i="27"/>
  <c r="DI74" i="27"/>
  <c r="DJ74" i="27"/>
  <c r="DK74" i="27"/>
  <c r="DL74" i="27"/>
  <c r="DM74" i="27"/>
  <c r="DN74" i="27"/>
  <c r="DO74" i="27"/>
  <c r="DP74" i="27"/>
  <c r="DQ74" i="27"/>
  <c r="DR74" i="27"/>
  <c r="DS74" i="27"/>
  <c r="DT74" i="27"/>
  <c r="DU74" i="27"/>
  <c r="DV74" i="27"/>
  <c r="DW74" i="27"/>
  <c r="DX74" i="27"/>
  <c r="DY74" i="27"/>
  <c r="DZ74" i="27"/>
  <c r="EA74" i="27"/>
  <c r="EB74" i="27"/>
  <c r="EC74" i="27"/>
  <c r="ED74" i="27"/>
  <c r="EE74" i="27"/>
  <c r="EF74" i="27"/>
  <c r="EG74" i="27"/>
  <c r="EH74" i="27"/>
  <c r="EI74" i="27"/>
  <c r="EJ74" i="27"/>
  <c r="EK74" i="27"/>
  <c r="EL74" i="27"/>
  <c r="EM74" i="27"/>
  <c r="EN74" i="27"/>
  <c r="EO74" i="27"/>
  <c r="EP74" i="27"/>
  <c r="EQ74" i="27"/>
  <c r="ER74" i="27"/>
  <c r="ES74" i="27"/>
  <c r="ET74" i="27"/>
  <c r="EU74" i="27"/>
  <c r="EV74" i="27"/>
  <c r="EW74" i="27"/>
  <c r="EX74" i="27"/>
  <c r="EY74" i="27"/>
  <c r="EZ74" i="27"/>
  <c r="FA74" i="27"/>
  <c r="FB74" i="27"/>
  <c r="FC74" i="27"/>
  <c r="FD74" i="27"/>
  <c r="FE74" i="27"/>
  <c r="FF74" i="27"/>
  <c r="FG74" i="27"/>
  <c r="FH74" i="27"/>
  <c r="FI74" i="27"/>
  <c r="FJ74" i="27"/>
  <c r="FK74" i="27"/>
  <c r="FL74" i="27"/>
  <c r="FM74" i="27"/>
  <c r="FN74" i="27"/>
  <c r="FO74" i="27"/>
  <c r="FP74" i="27"/>
  <c r="FQ74" i="27"/>
  <c r="FR74" i="27"/>
  <c r="FS74" i="27"/>
  <c r="FT74" i="27"/>
  <c r="FU74" i="27"/>
  <c r="FV74" i="27"/>
  <c r="FW74" i="27"/>
  <c r="FX74" i="27"/>
  <c r="FY74" i="27"/>
  <c r="FZ74" i="27"/>
  <c r="GA74" i="27"/>
  <c r="GB74" i="27"/>
  <c r="GC74" i="27"/>
  <c r="GD74" i="27"/>
  <c r="GE74" i="27"/>
  <c r="GF74" i="27"/>
  <c r="GG74" i="27"/>
  <c r="GH74" i="27"/>
  <c r="GI74" i="27"/>
  <c r="GJ74" i="27"/>
  <c r="GK74" i="27"/>
  <c r="GL74" i="27"/>
  <c r="GM74" i="27"/>
  <c r="GN74" i="27"/>
  <c r="GO74" i="27"/>
  <c r="GP74" i="27"/>
  <c r="GQ74" i="27"/>
  <c r="GR74" i="27"/>
  <c r="GS74" i="27"/>
  <c r="GT74" i="27"/>
  <c r="GU74" i="27"/>
  <c r="GV74" i="27"/>
  <c r="GW74" i="27"/>
  <c r="GX74" i="27"/>
  <c r="GY74" i="27"/>
  <c r="GZ74" i="27"/>
  <c r="HA74" i="27"/>
  <c r="HB74" i="27"/>
  <c r="HC74" i="27"/>
  <c r="HD74" i="27"/>
  <c r="HE74" i="27"/>
  <c r="HF74" i="27"/>
  <c r="HG74" i="27"/>
  <c r="HH74" i="27"/>
  <c r="HI74" i="27"/>
  <c r="HJ74" i="27"/>
  <c r="HK74" i="27"/>
  <c r="HL74" i="27"/>
  <c r="HM74" i="27"/>
  <c r="HN74" i="27"/>
  <c r="HO74" i="27"/>
  <c r="HP74" i="27"/>
  <c r="HQ74" i="27"/>
  <c r="HR74" i="27"/>
  <c r="HS74" i="27"/>
  <c r="HT74" i="27"/>
  <c r="HU74" i="27"/>
  <c r="HV74" i="27"/>
  <c r="HW74" i="27"/>
  <c r="HX74" i="27"/>
  <c r="HY74" i="27"/>
  <c r="HZ74" i="27"/>
  <c r="IA74" i="27"/>
  <c r="IB74" i="27"/>
  <c r="IC74" i="27"/>
  <c r="ID74" i="27"/>
  <c r="IE74" i="27"/>
  <c r="IF74" i="27"/>
  <c r="IG74" i="27"/>
  <c r="IH74" i="27"/>
  <c r="II74" i="27"/>
  <c r="IJ74" i="27"/>
  <c r="IK74" i="27"/>
  <c r="IL74" i="27"/>
  <c r="IM74" i="27"/>
  <c r="IN74" i="27"/>
  <c r="IO74" i="27"/>
  <c r="IP74" i="27"/>
  <c r="IQ74" i="27"/>
  <c r="IR74" i="27"/>
  <c r="IS74" i="27"/>
  <c r="IT74" i="27"/>
  <c r="IU74" i="27"/>
  <c r="IV74" i="27"/>
  <c r="A73" i="27"/>
  <c r="C73" i="27"/>
  <c r="D73" i="27"/>
  <c r="E73" i="27"/>
  <c r="F73" i="27"/>
  <c r="G73" i="27"/>
  <c r="H73" i="27"/>
  <c r="I73" i="27"/>
  <c r="J73" i="27"/>
  <c r="K73" i="27"/>
  <c r="L73" i="27"/>
  <c r="M73" i="27"/>
  <c r="N73" i="27"/>
  <c r="O73" i="27"/>
  <c r="P73" i="27"/>
  <c r="Q73" i="27"/>
  <c r="R73" i="27"/>
  <c r="S73" i="27"/>
  <c r="T73" i="27"/>
  <c r="U73" i="27"/>
  <c r="V73" i="27"/>
  <c r="W73" i="27"/>
  <c r="X73" i="27"/>
  <c r="Y73" i="27"/>
  <c r="Z73" i="27"/>
  <c r="AA73" i="27"/>
  <c r="AB73" i="27"/>
  <c r="AC73" i="27"/>
  <c r="AD73" i="27"/>
  <c r="AE73" i="27"/>
  <c r="AF73" i="27"/>
  <c r="AG73" i="27"/>
  <c r="AH73" i="27"/>
  <c r="AI73" i="27"/>
  <c r="AJ73" i="27"/>
  <c r="AK73" i="27"/>
  <c r="AL73" i="27"/>
  <c r="AM73" i="27"/>
  <c r="AN73" i="27"/>
  <c r="AO73" i="27"/>
  <c r="AP73" i="27"/>
  <c r="AQ73" i="27"/>
  <c r="AR73" i="27"/>
  <c r="AS73" i="27"/>
  <c r="AT73" i="27"/>
  <c r="AU73" i="27"/>
  <c r="AV73" i="27"/>
  <c r="AW73" i="27"/>
  <c r="AX73" i="27"/>
  <c r="AY73" i="27"/>
  <c r="AZ73" i="27"/>
  <c r="BA73" i="27"/>
  <c r="BB73" i="27"/>
  <c r="BC73" i="27"/>
  <c r="BD73" i="27"/>
  <c r="BE73" i="27"/>
  <c r="BF73" i="27"/>
  <c r="BG73" i="27"/>
  <c r="BH73" i="27"/>
  <c r="BI73" i="27"/>
  <c r="BJ73" i="27"/>
  <c r="BK73" i="27"/>
  <c r="BL73" i="27"/>
  <c r="BM73" i="27"/>
  <c r="BN73" i="27"/>
  <c r="BO73" i="27"/>
  <c r="BP73" i="27"/>
  <c r="BQ73" i="27"/>
  <c r="BR73" i="27"/>
  <c r="BS73" i="27"/>
  <c r="BT73" i="27"/>
  <c r="BU73" i="27"/>
  <c r="BV73" i="27"/>
  <c r="BW73" i="27"/>
  <c r="BX73" i="27"/>
  <c r="BY73" i="27"/>
  <c r="BZ73" i="27"/>
  <c r="CA73" i="27"/>
  <c r="CB73" i="27"/>
  <c r="CC73" i="27"/>
  <c r="CD73" i="27"/>
  <c r="CE73" i="27"/>
  <c r="CF73" i="27"/>
  <c r="CG73" i="27"/>
  <c r="CH73" i="27"/>
  <c r="CI73" i="27"/>
  <c r="CJ73" i="27"/>
  <c r="CK73" i="27"/>
  <c r="CL73" i="27"/>
  <c r="CM73" i="27"/>
  <c r="CN73" i="27"/>
  <c r="CO73" i="27"/>
  <c r="CP73" i="27"/>
  <c r="CQ73" i="27"/>
  <c r="CR73" i="27"/>
  <c r="CS73" i="27"/>
  <c r="CT73" i="27"/>
  <c r="CU73" i="27"/>
  <c r="CV73" i="27"/>
  <c r="CW73" i="27"/>
  <c r="CX73" i="27"/>
  <c r="CY73" i="27"/>
  <c r="CZ73" i="27"/>
  <c r="DA73" i="27"/>
  <c r="DB73" i="27"/>
  <c r="DC73" i="27"/>
  <c r="DD73" i="27"/>
  <c r="DE73" i="27"/>
  <c r="DF73" i="27"/>
  <c r="DG73" i="27"/>
  <c r="DH73" i="27"/>
  <c r="DI73" i="27"/>
  <c r="DJ73" i="27"/>
  <c r="DK73" i="27"/>
  <c r="DL73" i="27"/>
  <c r="DM73" i="27"/>
  <c r="DN73" i="27"/>
  <c r="DO73" i="27"/>
  <c r="DP73" i="27"/>
  <c r="DQ73" i="27"/>
  <c r="DR73" i="27"/>
  <c r="DS73" i="27"/>
  <c r="DT73" i="27"/>
  <c r="DU73" i="27"/>
  <c r="DV73" i="27"/>
  <c r="DW73" i="27"/>
  <c r="DX73" i="27"/>
  <c r="DY73" i="27"/>
  <c r="DZ73" i="27"/>
  <c r="EA73" i="27"/>
  <c r="EB73" i="27"/>
  <c r="EC73" i="27"/>
  <c r="ED73" i="27"/>
  <c r="EE73" i="27"/>
  <c r="EF73" i="27"/>
  <c r="EG73" i="27"/>
  <c r="EH73" i="27"/>
  <c r="EI73" i="27"/>
  <c r="EJ73" i="27"/>
  <c r="EK73" i="27"/>
  <c r="EL73" i="27"/>
  <c r="EM73" i="27"/>
  <c r="EN73" i="27"/>
  <c r="EO73" i="27"/>
  <c r="EP73" i="27"/>
  <c r="EQ73" i="27"/>
  <c r="ER73" i="27"/>
  <c r="ES73" i="27"/>
  <c r="ET73" i="27"/>
  <c r="EU73" i="27"/>
  <c r="EV73" i="27"/>
  <c r="EW73" i="27"/>
  <c r="EX73" i="27"/>
  <c r="EY73" i="27"/>
  <c r="EZ73" i="27"/>
  <c r="FA73" i="27"/>
  <c r="FB73" i="27"/>
  <c r="FC73" i="27"/>
  <c r="FD73" i="27"/>
  <c r="FE73" i="27"/>
  <c r="FF73" i="27"/>
  <c r="FG73" i="27"/>
  <c r="FH73" i="27"/>
  <c r="FI73" i="27"/>
  <c r="FJ73" i="27"/>
  <c r="FK73" i="27"/>
  <c r="FL73" i="27"/>
  <c r="FM73" i="27"/>
  <c r="FN73" i="27"/>
  <c r="FO73" i="27"/>
  <c r="FP73" i="27"/>
  <c r="FQ73" i="27"/>
  <c r="FR73" i="27"/>
  <c r="FS73" i="27"/>
  <c r="FT73" i="27"/>
  <c r="FU73" i="27"/>
  <c r="FV73" i="27"/>
  <c r="FW73" i="27"/>
  <c r="FX73" i="27"/>
  <c r="FY73" i="27"/>
  <c r="FZ73" i="27"/>
  <c r="GA73" i="27"/>
  <c r="GB73" i="27"/>
  <c r="GC73" i="27"/>
  <c r="GD73" i="27"/>
  <c r="GE73" i="27"/>
  <c r="GF73" i="27"/>
  <c r="GG73" i="27"/>
  <c r="GH73" i="27"/>
  <c r="GI73" i="27"/>
  <c r="GJ73" i="27"/>
  <c r="GK73" i="27"/>
  <c r="GL73" i="27"/>
  <c r="GM73" i="27"/>
  <c r="GN73" i="27"/>
  <c r="GO73" i="27"/>
  <c r="GP73" i="27"/>
  <c r="GQ73" i="27"/>
  <c r="GR73" i="27"/>
  <c r="GS73" i="27"/>
  <c r="GT73" i="27"/>
  <c r="GU73" i="27"/>
  <c r="GV73" i="27"/>
  <c r="GW73" i="27"/>
  <c r="GX73" i="27"/>
  <c r="GY73" i="27"/>
  <c r="GZ73" i="27"/>
  <c r="HA73" i="27"/>
  <c r="HB73" i="27"/>
  <c r="HC73" i="27"/>
  <c r="HD73" i="27"/>
  <c r="HE73" i="27"/>
  <c r="HF73" i="27"/>
  <c r="HG73" i="27"/>
  <c r="HH73" i="27"/>
  <c r="HI73" i="27"/>
  <c r="HJ73" i="27"/>
  <c r="HK73" i="27"/>
  <c r="HL73" i="27"/>
  <c r="HM73" i="27"/>
  <c r="HN73" i="27"/>
  <c r="HO73" i="27"/>
  <c r="HP73" i="27"/>
  <c r="HQ73" i="27"/>
  <c r="HR73" i="27"/>
  <c r="HS73" i="27"/>
  <c r="HT73" i="27"/>
  <c r="HU73" i="27"/>
  <c r="HV73" i="27"/>
  <c r="HW73" i="27"/>
  <c r="HX73" i="27"/>
  <c r="HY73" i="27"/>
  <c r="HZ73" i="27"/>
  <c r="IA73" i="27"/>
  <c r="IB73" i="27"/>
  <c r="IC73" i="27"/>
  <c r="ID73" i="27"/>
  <c r="IE73" i="27"/>
  <c r="IF73" i="27"/>
  <c r="IG73" i="27"/>
  <c r="IH73" i="27"/>
  <c r="II73" i="27"/>
  <c r="IJ73" i="27"/>
  <c r="IK73" i="27"/>
  <c r="IL73" i="27"/>
  <c r="IM73" i="27"/>
  <c r="IN73" i="27"/>
  <c r="IO73" i="27"/>
  <c r="IP73" i="27"/>
  <c r="IQ73" i="27"/>
  <c r="IR73" i="27"/>
  <c r="IS73" i="27"/>
  <c r="IT73" i="27"/>
  <c r="IU73" i="27"/>
  <c r="IV73" i="27"/>
  <c r="A72" i="27"/>
  <c r="B72" i="27"/>
  <c r="C72" i="27"/>
  <c r="D72" i="27"/>
  <c r="E72" i="27"/>
  <c r="G72" i="27"/>
  <c r="H72" i="27"/>
  <c r="I72" i="27"/>
  <c r="J72" i="27"/>
  <c r="K72" i="27"/>
  <c r="L72" i="27"/>
  <c r="M72" i="27"/>
  <c r="N72" i="27"/>
  <c r="O72" i="27"/>
  <c r="P72" i="27"/>
  <c r="Q72" i="27"/>
  <c r="R72" i="27"/>
  <c r="S72" i="27"/>
  <c r="T72" i="27"/>
  <c r="U72" i="27"/>
  <c r="V72" i="27"/>
  <c r="W72" i="27"/>
  <c r="X72" i="27"/>
  <c r="Y72" i="27"/>
  <c r="Z72" i="27"/>
  <c r="AA72" i="27"/>
  <c r="AB72" i="27"/>
  <c r="AC72" i="27"/>
  <c r="AD72" i="27"/>
  <c r="AE72" i="27"/>
  <c r="AF72" i="27"/>
  <c r="AG72" i="27"/>
  <c r="AH72" i="27"/>
  <c r="AI72" i="27"/>
  <c r="AJ72" i="27"/>
  <c r="AK72" i="27"/>
  <c r="AL72" i="27"/>
  <c r="AM72" i="27"/>
  <c r="AN72" i="27"/>
  <c r="AO72" i="27"/>
  <c r="AP72" i="27"/>
  <c r="AQ72" i="27"/>
  <c r="AR72" i="27"/>
  <c r="AS72" i="27"/>
  <c r="AT72" i="27"/>
  <c r="AU72" i="27"/>
  <c r="AV72" i="27"/>
  <c r="AW72" i="27"/>
  <c r="AX72" i="27"/>
  <c r="AY72" i="27"/>
  <c r="AZ72" i="27"/>
  <c r="BA72" i="27"/>
  <c r="BB72" i="27"/>
  <c r="BC72" i="27"/>
  <c r="BD72" i="27"/>
  <c r="BE72" i="27"/>
  <c r="BF72" i="27"/>
  <c r="BG72" i="27"/>
  <c r="BH72" i="27"/>
  <c r="BI72" i="27"/>
  <c r="BJ72" i="27"/>
  <c r="BK72" i="27"/>
  <c r="BL72" i="27"/>
  <c r="BM72" i="27"/>
  <c r="BN72" i="27"/>
  <c r="BO72" i="27"/>
  <c r="BP72" i="27"/>
  <c r="BQ72" i="27"/>
  <c r="BR72" i="27"/>
  <c r="BS72" i="27"/>
  <c r="BT72" i="27"/>
  <c r="BU72" i="27"/>
  <c r="BV72" i="27"/>
  <c r="BW72" i="27"/>
  <c r="BX72" i="27"/>
  <c r="BY72" i="27"/>
  <c r="BZ72" i="27"/>
  <c r="CA72" i="27"/>
  <c r="CB72" i="27"/>
  <c r="CC72" i="27"/>
  <c r="CD72" i="27"/>
  <c r="CE72" i="27"/>
  <c r="CF72" i="27"/>
  <c r="CG72" i="27"/>
  <c r="CH72" i="27"/>
  <c r="CI72" i="27"/>
  <c r="CJ72" i="27"/>
  <c r="CK72" i="27"/>
  <c r="CL72" i="27"/>
  <c r="CM72" i="27"/>
  <c r="CN72" i="27"/>
  <c r="CO72" i="27"/>
  <c r="CP72" i="27"/>
  <c r="CQ72" i="27"/>
  <c r="CR72" i="27"/>
  <c r="CS72" i="27"/>
  <c r="CT72" i="27"/>
  <c r="CU72" i="27"/>
  <c r="CV72" i="27"/>
  <c r="CW72" i="27"/>
  <c r="CX72" i="27"/>
  <c r="CY72" i="27"/>
  <c r="CZ72" i="27"/>
  <c r="DA72" i="27"/>
  <c r="DB72" i="27"/>
  <c r="DC72" i="27"/>
  <c r="DD72" i="27"/>
  <c r="DE72" i="27"/>
  <c r="DF72" i="27"/>
  <c r="DG72" i="27"/>
  <c r="DH72" i="27"/>
  <c r="DI72" i="27"/>
  <c r="DJ72" i="27"/>
  <c r="DK72" i="27"/>
  <c r="DL72" i="27"/>
  <c r="DM72" i="27"/>
  <c r="DN72" i="27"/>
  <c r="DO72" i="27"/>
  <c r="DP72" i="27"/>
  <c r="DQ72" i="27"/>
  <c r="DR72" i="27"/>
  <c r="DS72" i="27"/>
  <c r="DT72" i="27"/>
  <c r="DU72" i="27"/>
  <c r="DV72" i="27"/>
  <c r="DW72" i="27"/>
  <c r="DX72" i="27"/>
  <c r="DY72" i="27"/>
  <c r="DZ72" i="27"/>
  <c r="EA72" i="27"/>
  <c r="EB72" i="27"/>
  <c r="EC72" i="27"/>
  <c r="ED72" i="27"/>
  <c r="EE72" i="27"/>
  <c r="EF72" i="27"/>
  <c r="EG72" i="27"/>
  <c r="EH72" i="27"/>
  <c r="EI72" i="27"/>
  <c r="EJ72" i="27"/>
  <c r="EK72" i="27"/>
  <c r="EL72" i="27"/>
  <c r="EM72" i="27"/>
  <c r="EN72" i="27"/>
  <c r="EO72" i="27"/>
  <c r="EP72" i="27"/>
  <c r="EQ72" i="27"/>
  <c r="ER72" i="27"/>
  <c r="ES72" i="27"/>
  <c r="ET72" i="27"/>
  <c r="EU72" i="27"/>
  <c r="EV72" i="27"/>
  <c r="EW72" i="27"/>
  <c r="EX72" i="27"/>
  <c r="EY72" i="27"/>
  <c r="EZ72" i="27"/>
  <c r="FA72" i="27"/>
  <c r="FB72" i="27"/>
  <c r="FC72" i="27"/>
  <c r="FD72" i="27"/>
  <c r="FE72" i="27"/>
  <c r="FF72" i="27"/>
  <c r="FG72" i="27"/>
  <c r="FH72" i="27"/>
  <c r="FI72" i="27"/>
  <c r="FJ72" i="27"/>
  <c r="FK72" i="27"/>
  <c r="FL72" i="27"/>
  <c r="FM72" i="27"/>
  <c r="FN72" i="27"/>
  <c r="FO72" i="27"/>
  <c r="FP72" i="27"/>
  <c r="FQ72" i="27"/>
  <c r="FR72" i="27"/>
  <c r="FS72" i="27"/>
  <c r="FT72" i="27"/>
  <c r="FU72" i="27"/>
  <c r="FV72" i="27"/>
  <c r="FW72" i="27"/>
  <c r="FX72" i="27"/>
  <c r="FY72" i="27"/>
  <c r="FZ72" i="27"/>
  <c r="GA72" i="27"/>
  <c r="GB72" i="27"/>
  <c r="GC72" i="27"/>
  <c r="GD72" i="27"/>
  <c r="GE72" i="27"/>
  <c r="GF72" i="27"/>
  <c r="GG72" i="27"/>
  <c r="GH72" i="27"/>
  <c r="GI72" i="27"/>
  <c r="GJ72" i="27"/>
  <c r="GK72" i="27"/>
  <c r="GL72" i="27"/>
  <c r="GM72" i="27"/>
  <c r="GN72" i="27"/>
  <c r="GO72" i="27"/>
  <c r="GP72" i="27"/>
  <c r="GQ72" i="27"/>
  <c r="GR72" i="27"/>
  <c r="GS72" i="27"/>
  <c r="GT72" i="27"/>
  <c r="GU72" i="27"/>
  <c r="GV72" i="27"/>
  <c r="GW72" i="27"/>
  <c r="GX72" i="27"/>
  <c r="GY72" i="27"/>
  <c r="GZ72" i="27"/>
  <c r="HA72" i="27"/>
  <c r="HB72" i="27"/>
  <c r="HC72" i="27"/>
  <c r="HD72" i="27"/>
  <c r="HE72" i="27"/>
  <c r="HF72" i="27"/>
  <c r="HG72" i="27"/>
  <c r="HH72" i="27"/>
  <c r="HI72" i="27"/>
  <c r="HJ72" i="27"/>
  <c r="HK72" i="27"/>
  <c r="HL72" i="27"/>
  <c r="HM72" i="27"/>
  <c r="HN72" i="27"/>
  <c r="HO72" i="27"/>
  <c r="HP72" i="27"/>
  <c r="HQ72" i="27"/>
  <c r="HR72" i="27"/>
  <c r="HS72" i="27"/>
  <c r="HT72" i="27"/>
  <c r="HU72" i="27"/>
  <c r="HV72" i="27"/>
  <c r="HW72" i="27"/>
  <c r="HX72" i="27"/>
  <c r="HY72" i="27"/>
  <c r="HZ72" i="27"/>
  <c r="IA72" i="27"/>
  <c r="IB72" i="27"/>
  <c r="IC72" i="27"/>
  <c r="ID72" i="27"/>
  <c r="IE72" i="27"/>
  <c r="IF72" i="27"/>
  <c r="IG72" i="27"/>
  <c r="IH72" i="27"/>
  <c r="II72" i="27"/>
  <c r="IJ72" i="27"/>
  <c r="IK72" i="27"/>
  <c r="IL72" i="27"/>
  <c r="IM72" i="27"/>
  <c r="IN72" i="27"/>
  <c r="IO72" i="27"/>
  <c r="IP72" i="27"/>
  <c r="IQ72" i="27"/>
  <c r="IR72" i="27"/>
  <c r="IS72" i="27"/>
  <c r="IT72" i="27"/>
  <c r="IU72" i="27"/>
  <c r="IV72" i="27"/>
  <c r="B71" i="27"/>
  <c r="C71" i="27"/>
  <c r="D71" i="27"/>
  <c r="E71" i="27"/>
  <c r="F71" i="27"/>
  <c r="G71" i="27"/>
  <c r="H71" i="27"/>
  <c r="I71" i="27"/>
  <c r="J71" i="27"/>
  <c r="K71" i="27"/>
  <c r="L71" i="27"/>
  <c r="M71" i="27"/>
  <c r="N71" i="27"/>
  <c r="O71" i="27"/>
  <c r="P71" i="27"/>
  <c r="Q71" i="27"/>
  <c r="R71" i="27"/>
  <c r="S71" i="27"/>
  <c r="T71" i="27"/>
  <c r="U71" i="27"/>
  <c r="V71" i="27"/>
  <c r="W71" i="27"/>
  <c r="X71" i="27"/>
  <c r="Y71" i="27"/>
  <c r="Z71" i="27"/>
  <c r="AA71" i="27"/>
  <c r="AB71" i="27"/>
  <c r="AC71" i="27"/>
  <c r="AD71" i="27"/>
  <c r="AE71" i="27"/>
  <c r="AF71" i="27"/>
  <c r="AG71" i="27"/>
  <c r="AH71" i="27"/>
  <c r="AI71" i="27"/>
  <c r="AJ71" i="27"/>
  <c r="AK71" i="27"/>
  <c r="AL71" i="27"/>
  <c r="AM71" i="27"/>
  <c r="AN71" i="27"/>
  <c r="AO71" i="27"/>
  <c r="AP71" i="27"/>
  <c r="AQ71" i="27"/>
  <c r="AR71" i="27"/>
  <c r="AS71" i="27"/>
  <c r="AT71" i="27"/>
  <c r="AU71" i="27"/>
  <c r="AV71" i="27"/>
  <c r="AW71" i="27"/>
  <c r="AX71" i="27"/>
  <c r="AY71" i="27"/>
  <c r="AZ71" i="27"/>
  <c r="BA71" i="27"/>
  <c r="BB71" i="27"/>
  <c r="BC71" i="27"/>
  <c r="BD71" i="27"/>
  <c r="BE71" i="27"/>
  <c r="BF71" i="27"/>
  <c r="BG71" i="27"/>
  <c r="BH71" i="27"/>
  <c r="BI71" i="27"/>
  <c r="BJ71" i="27"/>
  <c r="BK71" i="27"/>
  <c r="BL71" i="27"/>
  <c r="BM71" i="27"/>
  <c r="BN71" i="27"/>
  <c r="BO71" i="27"/>
  <c r="BP71" i="27"/>
  <c r="BQ71" i="27"/>
  <c r="BR71" i="27"/>
  <c r="BS71" i="27"/>
  <c r="BT71" i="27"/>
  <c r="BU71" i="27"/>
  <c r="BV71" i="27"/>
  <c r="BW71" i="27"/>
  <c r="BX71" i="27"/>
  <c r="BY71" i="27"/>
  <c r="BZ71" i="27"/>
  <c r="CA71" i="27"/>
  <c r="CB71" i="27"/>
  <c r="CC71" i="27"/>
  <c r="CD71" i="27"/>
  <c r="CE71" i="27"/>
  <c r="CF71" i="27"/>
  <c r="CG71" i="27"/>
  <c r="CH71" i="27"/>
  <c r="CI71" i="27"/>
  <c r="CJ71" i="27"/>
  <c r="CK71" i="27"/>
  <c r="CL71" i="27"/>
  <c r="CM71" i="27"/>
  <c r="CN71" i="27"/>
  <c r="CO71" i="27"/>
  <c r="CP71" i="27"/>
  <c r="CQ71" i="27"/>
  <c r="CR71" i="27"/>
  <c r="CS71" i="27"/>
  <c r="CT71" i="27"/>
  <c r="CU71" i="27"/>
  <c r="CV71" i="27"/>
  <c r="CW71" i="27"/>
  <c r="CX71" i="27"/>
  <c r="CY71" i="27"/>
  <c r="CZ71" i="27"/>
  <c r="DA71" i="27"/>
  <c r="DB71" i="27"/>
  <c r="DC71" i="27"/>
  <c r="DD71" i="27"/>
  <c r="DE71" i="27"/>
  <c r="DF71" i="27"/>
  <c r="DG71" i="27"/>
  <c r="DH71" i="27"/>
  <c r="DI71" i="27"/>
  <c r="DJ71" i="27"/>
  <c r="DK71" i="27"/>
  <c r="DL71" i="27"/>
  <c r="DM71" i="27"/>
  <c r="DN71" i="27"/>
  <c r="DO71" i="27"/>
  <c r="DP71" i="27"/>
  <c r="DQ71" i="27"/>
  <c r="DR71" i="27"/>
  <c r="DS71" i="27"/>
  <c r="DT71" i="27"/>
  <c r="DU71" i="27"/>
  <c r="DV71" i="27"/>
  <c r="DW71" i="27"/>
  <c r="DX71" i="27"/>
  <c r="DY71" i="27"/>
  <c r="DZ71" i="27"/>
  <c r="EA71" i="27"/>
  <c r="EB71" i="27"/>
  <c r="EC71" i="27"/>
  <c r="ED71" i="27"/>
  <c r="EE71" i="27"/>
  <c r="EF71" i="27"/>
  <c r="EG71" i="27"/>
  <c r="EH71" i="27"/>
  <c r="EI71" i="27"/>
  <c r="EJ71" i="27"/>
  <c r="EK71" i="27"/>
  <c r="EL71" i="27"/>
  <c r="EM71" i="27"/>
  <c r="EN71" i="27"/>
  <c r="EO71" i="27"/>
  <c r="EP71" i="27"/>
  <c r="EQ71" i="27"/>
  <c r="ER71" i="27"/>
  <c r="ES71" i="27"/>
  <c r="ET71" i="27"/>
  <c r="EU71" i="27"/>
  <c r="EV71" i="27"/>
  <c r="EW71" i="27"/>
  <c r="EX71" i="27"/>
  <c r="EY71" i="27"/>
  <c r="EZ71" i="27"/>
  <c r="FA71" i="27"/>
  <c r="FB71" i="27"/>
  <c r="FC71" i="27"/>
  <c r="FD71" i="27"/>
  <c r="FE71" i="27"/>
  <c r="FF71" i="27"/>
  <c r="FG71" i="27"/>
  <c r="FH71" i="27"/>
  <c r="FI71" i="27"/>
  <c r="FJ71" i="27"/>
  <c r="FK71" i="27"/>
  <c r="FL71" i="27"/>
  <c r="FM71" i="27"/>
  <c r="FN71" i="27"/>
  <c r="FO71" i="27"/>
  <c r="FP71" i="27"/>
  <c r="FQ71" i="27"/>
  <c r="FR71" i="27"/>
  <c r="FS71" i="27"/>
  <c r="FT71" i="27"/>
  <c r="FU71" i="27"/>
  <c r="FV71" i="27"/>
  <c r="FW71" i="27"/>
  <c r="FX71" i="27"/>
  <c r="FY71" i="27"/>
  <c r="FZ71" i="27"/>
  <c r="GA71" i="27"/>
  <c r="GB71" i="27"/>
  <c r="GC71" i="27"/>
  <c r="GD71" i="27"/>
  <c r="GE71" i="27"/>
  <c r="GF71" i="27"/>
  <c r="GG71" i="27"/>
  <c r="GH71" i="27"/>
  <c r="GI71" i="27"/>
  <c r="GJ71" i="27"/>
  <c r="GK71" i="27"/>
  <c r="GL71" i="27"/>
  <c r="GM71" i="27"/>
  <c r="GN71" i="27"/>
  <c r="GO71" i="27"/>
  <c r="GP71" i="27"/>
  <c r="GQ71" i="27"/>
  <c r="GR71" i="27"/>
  <c r="GS71" i="27"/>
  <c r="GT71" i="27"/>
  <c r="GU71" i="27"/>
  <c r="GV71" i="27"/>
  <c r="GW71" i="27"/>
  <c r="GX71" i="27"/>
  <c r="GY71" i="27"/>
  <c r="GZ71" i="27"/>
  <c r="HA71" i="27"/>
  <c r="HB71" i="27"/>
  <c r="HC71" i="27"/>
  <c r="HD71" i="27"/>
  <c r="HE71" i="27"/>
  <c r="HF71" i="27"/>
  <c r="HG71" i="27"/>
  <c r="HH71" i="27"/>
  <c r="HI71" i="27"/>
  <c r="HJ71" i="27"/>
  <c r="HK71" i="27"/>
  <c r="HL71" i="27"/>
  <c r="HM71" i="27"/>
  <c r="HN71" i="27"/>
  <c r="HO71" i="27"/>
  <c r="HP71" i="27"/>
  <c r="HQ71" i="27"/>
  <c r="HR71" i="27"/>
  <c r="HS71" i="27"/>
  <c r="HT71" i="27"/>
  <c r="HU71" i="27"/>
  <c r="HV71" i="27"/>
  <c r="HW71" i="27"/>
  <c r="HX71" i="27"/>
  <c r="HY71" i="27"/>
  <c r="HZ71" i="27"/>
  <c r="IA71" i="27"/>
  <c r="IB71" i="27"/>
  <c r="IC71" i="27"/>
  <c r="ID71" i="27"/>
  <c r="IE71" i="27"/>
  <c r="IF71" i="27"/>
  <c r="IG71" i="27"/>
  <c r="IH71" i="27"/>
  <c r="II71" i="27"/>
  <c r="IJ71" i="27"/>
  <c r="IK71" i="27"/>
  <c r="IL71" i="27"/>
  <c r="IM71" i="27"/>
  <c r="IN71" i="27"/>
  <c r="IO71" i="27"/>
  <c r="IP71" i="27"/>
  <c r="IQ71" i="27"/>
  <c r="IR71" i="27"/>
  <c r="IS71" i="27"/>
  <c r="IT71" i="27"/>
  <c r="IU71" i="27"/>
  <c r="IV71" i="27"/>
  <c r="A70" i="27"/>
  <c r="B70" i="27"/>
  <c r="C70" i="27"/>
  <c r="D70" i="27"/>
  <c r="F70" i="27"/>
  <c r="G70" i="27"/>
  <c r="H70" i="27"/>
  <c r="I70" i="27"/>
  <c r="J70" i="27"/>
  <c r="K70" i="27"/>
  <c r="L70" i="27"/>
  <c r="M70" i="27"/>
  <c r="N70" i="27"/>
  <c r="O70" i="27"/>
  <c r="P70" i="27"/>
  <c r="Q70" i="27"/>
  <c r="R70" i="27"/>
  <c r="S70" i="27"/>
  <c r="T70" i="27"/>
  <c r="U70" i="27"/>
  <c r="V70" i="27"/>
  <c r="W70" i="27"/>
  <c r="X70" i="27"/>
  <c r="Y70" i="27"/>
  <c r="Z70" i="27"/>
  <c r="AA70" i="27"/>
  <c r="AB70" i="27"/>
  <c r="AC70" i="27"/>
  <c r="AD70" i="27"/>
  <c r="AE70" i="27"/>
  <c r="AF70" i="27"/>
  <c r="AG70" i="27"/>
  <c r="AH70" i="27"/>
  <c r="AI70" i="27"/>
  <c r="AJ70" i="27"/>
  <c r="AK70" i="27"/>
  <c r="AL70" i="27"/>
  <c r="AM70" i="27"/>
  <c r="AN70" i="27"/>
  <c r="AO70" i="27"/>
  <c r="AP70" i="27"/>
  <c r="AQ70" i="27"/>
  <c r="AR70" i="27"/>
  <c r="AS70" i="27"/>
  <c r="AT70" i="27"/>
  <c r="AU70" i="27"/>
  <c r="AV70" i="27"/>
  <c r="AW70" i="27"/>
  <c r="AX70" i="27"/>
  <c r="AY70" i="27"/>
  <c r="AZ70" i="27"/>
  <c r="BA70" i="27"/>
  <c r="BB70" i="27"/>
  <c r="BC70" i="27"/>
  <c r="BD70" i="27"/>
  <c r="BE70" i="27"/>
  <c r="BF70" i="27"/>
  <c r="BG70" i="27"/>
  <c r="BH70" i="27"/>
  <c r="BI70" i="27"/>
  <c r="BJ70" i="27"/>
  <c r="BK70" i="27"/>
  <c r="BL70" i="27"/>
  <c r="BM70" i="27"/>
  <c r="BN70" i="27"/>
  <c r="BO70" i="27"/>
  <c r="BP70" i="27"/>
  <c r="BQ70" i="27"/>
  <c r="BR70" i="27"/>
  <c r="BS70" i="27"/>
  <c r="BT70" i="27"/>
  <c r="BU70" i="27"/>
  <c r="BV70" i="27"/>
  <c r="BW70" i="27"/>
  <c r="BX70" i="27"/>
  <c r="BY70" i="27"/>
  <c r="BZ70" i="27"/>
  <c r="CA70" i="27"/>
  <c r="CB70" i="27"/>
  <c r="CC70" i="27"/>
  <c r="CD70" i="27"/>
  <c r="CE70" i="27"/>
  <c r="CF70" i="27"/>
  <c r="CG70" i="27"/>
  <c r="CH70" i="27"/>
  <c r="CI70" i="27"/>
  <c r="CJ70" i="27"/>
  <c r="CK70" i="27"/>
  <c r="CL70" i="27"/>
  <c r="CM70" i="27"/>
  <c r="CN70" i="27"/>
  <c r="CO70" i="27"/>
  <c r="CP70" i="27"/>
  <c r="CQ70" i="27"/>
  <c r="CR70" i="27"/>
  <c r="CS70" i="27"/>
  <c r="CT70" i="27"/>
  <c r="CU70" i="27"/>
  <c r="CV70" i="27"/>
  <c r="CW70" i="27"/>
  <c r="CX70" i="27"/>
  <c r="CY70" i="27"/>
  <c r="CZ70" i="27"/>
  <c r="DA70" i="27"/>
  <c r="DB70" i="27"/>
  <c r="DC70" i="27"/>
  <c r="DD70" i="27"/>
  <c r="DE70" i="27"/>
  <c r="DF70" i="27"/>
  <c r="DG70" i="27"/>
  <c r="DH70" i="27"/>
  <c r="DI70" i="27"/>
  <c r="DJ70" i="27"/>
  <c r="DK70" i="27"/>
  <c r="DL70" i="27"/>
  <c r="DM70" i="27"/>
  <c r="DN70" i="27"/>
  <c r="DO70" i="27"/>
  <c r="DP70" i="27"/>
  <c r="DQ70" i="27"/>
  <c r="DR70" i="27"/>
  <c r="DS70" i="27"/>
  <c r="DT70" i="27"/>
  <c r="DU70" i="27"/>
  <c r="DV70" i="27"/>
  <c r="DW70" i="27"/>
  <c r="DX70" i="27"/>
  <c r="DY70" i="27"/>
  <c r="DZ70" i="27"/>
  <c r="EA70" i="27"/>
  <c r="EB70" i="27"/>
  <c r="EC70" i="27"/>
  <c r="ED70" i="27"/>
  <c r="EE70" i="27"/>
  <c r="EF70" i="27"/>
  <c r="EG70" i="27"/>
  <c r="EH70" i="27"/>
  <c r="EI70" i="27"/>
  <c r="EJ70" i="27"/>
  <c r="EK70" i="27"/>
  <c r="EL70" i="27"/>
  <c r="EM70" i="27"/>
  <c r="EN70" i="27"/>
  <c r="EO70" i="27"/>
  <c r="EP70" i="27"/>
  <c r="EQ70" i="27"/>
  <c r="ER70" i="27"/>
  <c r="ES70" i="27"/>
  <c r="ET70" i="27"/>
  <c r="EU70" i="27"/>
  <c r="EV70" i="27"/>
  <c r="EW70" i="27"/>
  <c r="EX70" i="27"/>
  <c r="EY70" i="27"/>
  <c r="EZ70" i="27"/>
  <c r="FA70" i="27"/>
  <c r="FB70" i="27"/>
  <c r="FC70" i="27"/>
  <c r="FD70" i="27"/>
  <c r="FE70" i="27"/>
  <c r="FF70" i="27"/>
  <c r="FG70" i="27"/>
  <c r="FH70" i="27"/>
  <c r="FI70" i="27"/>
  <c r="FJ70" i="27"/>
  <c r="FK70" i="27"/>
  <c r="FL70" i="27"/>
  <c r="FM70" i="27"/>
  <c r="FN70" i="27"/>
  <c r="FO70" i="27"/>
  <c r="FP70" i="27"/>
  <c r="FQ70" i="27"/>
  <c r="FR70" i="27"/>
  <c r="FS70" i="27"/>
  <c r="FT70" i="27"/>
  <c r="FU70" i="27"/>
  <c r="FV70" i="27"/>
  <c r="FW70" i="27"/>
  <c r="FX70" i="27"/>
  <c r="FY70" i="27"/>
  <c r="FZ70" i="27"/>
  <c r="GA70" i="27"/>
  <c r="GB70" i="27"/>
  <c r="GC70" i="27"/>
  <c r="GD70" i="27"/>
  <c r="GE70" i="27"/>
  <c r="GF70" i="27"/>
  <c r="GG70" i="27"/>
  <c r="GH70" i="27"/>
  <c r="GI70" i="27"/>
  <c r="GJ70" i="27"/>
  <c r="GK70" i="27"/>
  <c r="GL70" i="27"/>
  <c r="GM70" i="27"/>
  <c r="GN70" i="27"/>
  <c r="GO70" i="27"/>
  <c r="GP70" i="27"/>
  <c r="GQ70" i="27"/>
  <c r="GR70" i="27"/>
  <c r="GS70" i="27"/>
  <c r="GT70" i="27"/>
  <c r="GU70" i="27"/>
  <c r="GV70" i="27"/>
  <c r="GW70" i="27"/>
  <c r="GX70" i="27"/>
  <c r="GY70" i="27"/>
  <c r="GZ70" i="27"/>
  <c r="HA70" i="27"/>
  <c r="HB70" i="27"/>
  <c r="HC70" i="27"/>
  <c r="HD70" i="27"/>
  <c r="HE70" i="27"/>
  <c r="HF70" i="27"/>
  <c r="HG70" i="27"/>
  <c r="HH70" i="27"/>
  <c r="HI70" i="27"/>
  <c r="HJ70" i="27"/>
  <c r="HK70" i="27"/>
  <c r="HL70" i="27"/>
  <c r="HM70" i="27"/>
  <c r="HN70" i="27"/>
  <c r="HO70" i="27"/>
  <c r="HP70" i="27"/>
  <c r="HQ70" i="27"/>
  <c r="HR70" i="27"/>
  <c r="HS70" i="27"/>
  <c r="HT70" i="27"/>
  <c r="HU70" i="27"/>
  <c r="HV70" i="27"/>
  <c r="HW70" i="27"/>
  <c r="HX70" i="27"/>
  <c r="HY70" i="27"/>
  <c r="HZ70" i="27"/>
  <c r="IA70" i="27"/>
  <c r="IB70" i="27"/>
  <c r="IC70" i="27"/>
  <c r="ID70" i="27"/>
  <c r="IE70" i="27"/>
  <c r="IF70" i="27"/>
  <c r="IG70" i="27"/>
  <c r="IH70" i="27"/>
  <c r="II70" i="27"/>
  <c r="IJ70" i="27"/>
  <c r="IK70" i="27"/>
  <c r="IL70" i="27"/>
  <c r="IM70" i="27"/>
  <c r="IN70" i="27"/>
  <c r="IO70" i="27"/>
  <c r="IP70" i="27"/>
  <c r="IQ70" i="27"/>
  <c r="IR70" i="27"/>
  <c r="IS70" i="27"/>
  <c r="IT70" i="27"/>
  <c r="IU70" i="27"/>
  <c r="IV70" i="27"/>
  <c r="A69" i="27"/>
  <c r="B69" i="27"/>
  <c r="C69" i="27"/>
  <c r="D69" i="27"/>
  <c r="E69" i="27"/>
  <c r="F69" i="27"/>
  <c r="G69" i="27"/>
  <c r="H69" i="27"/>
  <c r="J69" i="27"/>
  <c r="K69" i="27"/>
  <c r="L69" i="27"/>
  <c r="M69" i="27"/>
  <c r="N69" i="27"/>
  <c r="O69" i="27"/>
  <c r="P69" i="27"/>
  <c r="Q69" i="27"/>
  <c r="R69" i="27"/>
  <c r="S69" i="27"/>
  <c r="T69" i="27"/>
  <c r="U69" i="27"/>
  <c r="V69" i="27"/>
  <c r="W69" i="27"/>
  <c r="X69" i="27"/>
  <c r="Y69" i="27"/>
  <c r="Z69" i="27"/>
  <c r="AA69" i="27"/>
  <c r="AB69" i="27"/>
  <c r="AC69" i="27"/>
  <c r="AD69" i="27"/>
  <c r="AE69" i="27"/>
  <c r="AF69" i="27"/>
  <c r="AG69" i="27"/>
  <c r="AH69" i="27"/>
  <c r="AI69" i="27"/>
  <c r="AJ69" i="27"/>
  <c r="AK69" i="27"/>
  <c r="AL69" i="27"/>
  <c r="AM69" i="27"/>
  <c r="AN69" i="27"/>
  <c r="AO69" i="27"/>
  <c r="AP69" i="27"/>
  <c r="AQ69" i="27"/>
  <c r="AR69" i="27"/>
  <c r="AS69" i="27"/>
  <c r="AT69" i="27"/>
  <c r="AU69" i="27"/>
  <c r="AV69" i="27"/>
  <c r="AW69" i="27"/>
  <c r="AX69" i="27"/>
  <c r="AY69" i="27"/>
  <c r="AZ69" i="27"/>
  <c r="BA69" i="27"/>
  <c r="BB69" i="27"/>
  <c r="BC69" i="27"/>
  <c r="BD69" i="27"/>
  <c r="BE69" i="27"/>
  <c r="BF69" i="27"/>
  <c r="BG69" i="27"/>
  <c r="BH69" i="27"/>
  <c r="BI69" i="27"/>
  <c r="BJ69" i="27"/>
  <c r="BK69" i="27"/>
  <c r="BL69" i="27"/>
  <c r="BM69" i="27"/>
  <c r="BN69" i="27"/>
  <c r="BO69" i="27"/>
  <c r="BP69" i="27"/>
  <c r="BQ69" i="27"/>
  <c r="BR69" i="27"/>
  <c r="BS69" i="27"/>
  <c r="BT69" i="27"/>
  <c r="BU69" i="27"/>
  <c r="BV69" i="27"/>
  <c r="BW69" i="27"/>
  <c r="BX69" i="27"/>
  <c r="BY69" i="27"/>
  <c r="BZ69" i="27"/>
  <c r="CA69" i="27"/>
  <c r="CB69" i="27"/>
  <c r="CC69" i="27"/>
  <c r="CD69" i="27"/>
  <c r="CE69" i="27"/>
  <c r="CF69" i="27"/>
  <c r="CG69" i="27"/>
  <c r="CH69" i="27"/>
  <c r="CI69" i="27"/>
  <c r="CJ69" i="27"/>
  <c r="CK69" i="27"/>
  <c r="CL69" i="27"/>
  <c r="CM69" i="27"/>
  <c r="CN69" i="27"/>
  <c r="CO69" i="27"/>
  <c r="CP69" i="27"/>
  <c r="CQ69" i="27"/>
  <c r="CR69" i="27"/>
  <c r="CS69" i="27"/>
  <c r="CT69" i="27"/>
  <c r="CU69" i="27"/>
  <c r="CV69" i="27"/>
  <c r="CW69" i="27"/>
  <c r="CX69" i="27"/>
  <c r="CY69" i="27"/>
  <c r="CZ69" i="27"/>
  <c r="DA69" i="27"/>
  <c r="DB69" i="27"/>
  <c r="DC69" i="27"/>
  <c r="DD69" i="27"/>
  <c r="DE69" i="27"/>
  <c r="DF69" i="27"/>
  <c r="DG69" i="27"/>
  <c r="DH69" i="27"/>
  <c r="DI69" i="27"/>
  <c r="DJ69" i="27"/>
  <c r="DK69" i="27"/>
  <c r="DL69" i="27"/>
  <c r="DM69" i="27"/>
  <c r="DN69" i="27"/>
  <c r="DO69" i="27"/>
  <c r="DP69" i="27"/>
  <c r="DQ69" i="27"/>
  <c r="DR69" i="27"/>
  <c r="DS69" i="27"/>
  <c r="DT69" i="27"/>
  <c r="DU69" i="27"/>
  <c r="DV69" i="27"/>
  <c r="DW69" i="27"/>
  <c r="DX69" i="27"/>
  <c r="DY69" i="27"/>
  <c r="DZ69" i="27"/>
  <c r="EA69" i="27"/>
  <c r="EB69" i="27"/>
  <c r="EC69" i="27"/>
  <c r="ED69" i="27"/>
  <c r="EE69" i="27"/>
  <c r="EF69" i="27"/>
  <c r="EG69" i="27"/>
  <c r="EH69" i="27"/>
  <c r="EI69" i="27"/>
  <c r="EJ69" i="27"/>
  <c r="EK69" i="27"/>
  <c r="EL69" i="27"/>
  <c r="EM69" i="27"/>
  <c r="EN69" i="27"/>
  <c r="EO69" i="27"/>
  <c r="EP69" i="27"/>
  <c r="EQ69" i="27"/>
  <c r="ER69" i="27"/>
  <c r="ES69" i="27"/>
  <c r="ET69" i="27"/>
  <c r="EU69" i="27"/>
  <c r="EV69" i="27"/>
  <c r="EW69" i="27"/>
  <c r="EX69" i="27"/>
  <c r="EY69" i="27"/>
  <c r="EZ69" i="27"/>
  <c r="FA69" i="27"/>
  <c r="FB69" i="27"/>
  <c r="FC69" i="27"/>
  <c r="FD69" i="27"/>
  <c r="FE69" i="27"/>
  <c r="FF69" i="27"/>
  <c r="FG69" i="27"/>
  <c r="FH69" i="27"/>
  <c r="FI69" i="27"/>
  <c r="FJ69" i="27"/>
  <c r="FK69" i="27"/>
  <c r="FL69" i="27"/>
  <c r="FM69" i="27"/>
  <c r="FN69" i="27"/>
  <c r="FO69" i="27"/>
  <c r="FP69" i="27"/>
  <c r="FQ69" i="27"/>
  <c r="FR69" i="27"/>
  <c r="FS69" i="27"/>
  <c r="FT69" i="27"/>
  <c r="FU69" i="27"/>
  <c r="FV69" i="27"/>
  <c r="FW69" i="27"/>
  <c r="FX69" i="27"/>
  <c r="FY69" i="27"/>
  <c r="FZ69" i="27"/>
  <c r="GA69" i="27"/>
  <c r="GB69" i="27"/>
  <c r="GC69" i="27"/>
  <c r="GD69" i="27"/>
  <c r="GE69" i="27"/>
  <c r="GF69" i="27"/>
  <c r="GG69" i="27"/>
  <c r="GH69" i="27"/>
  <c r="GI69" i="27"/>
  <c r="GJ69" i="27"/>
  <c r="GK69" i="27"/>
  <c r="GL69" i="27"/>
  <c r="GM69" i="27"/>
  <c r="GN69" i="27"/>
  <c r="GO69" i="27"/>
  <c r="GP69" i="27"/>
  <c r="GQ69" i="27"/>
  <c r="GR69" i="27"/>
  <c r="GS69" i="27"/>
  <c r="GT69" i="27"/>
  <c r="GU69" i="27"/>
  <c r="GV69" i="27"/>
  <c r="GW69" i="27"/>
  <c r="GX69" i="27"/>
  <c r="GY69" i="27"/>
  <c r="GZ69" i="27"/>
  <c r="HA69" i="27"/>
  <c r="HB69" i="27"/>
  <c r="HC69" i="27"/>
  <c r="HD69" i="27"/>
  <c r="HE69" i="27"/>
  <c r="HF69" i="27"/>
  <c r="HG69" i="27"/>
  <c r="HH69" i="27"/>
  <c r="HI69" i="27"/>
  <c r="HJ69" i="27"/>
  <c r="HK69" i="27"/>
  <c r="HL69" i="27"/>
  <c r="HM69" i="27"/>
  <c r="HN69" i="27"/>
  <c r="HO69" i="27"/>
  <c r="HP69" i="27"/>
  <c r="HQ69" i="27"/>
  <c r="HR69" i="27"/>
  <c r="HS69" i="27"/>
  <c r="HT69" i="27"/>
  <c r="HU69" i="27"/>
  <c r="HV69" i="27"/>
  <c r="HW69" i="27"/>
  <c r="HX69" i="27"/>
  <c r="HY69" i="27"/>
  <c r="HZ69" i="27"/>
  <c r="IA69" i="27"/>
  <c r="IB69" i="27"/>
  <c r="IC69" i="27"/>
  <c r="ID69" i="27"/>
  <c r="IE69" i="27"/>
  <c r="IF69" i="27"/>
  <c r="IG69" i="27"/>
  <c r="IH69" i="27"/>
  <c r="II69" i="27"/>
  <c r="IJ69" i="27"/>
  <c r="IK69" i="27"/>
  <c r="IL69" i="27"/>
  <c r="IM69" i="27"/>
  <c r="IN69" i="27"/>
  <c r="IO69" i="27"/>
  <c r="IP69" i="27"/>
  <c r="IQ69" i="27"/>
  <c r="IR69" i="27"/>
  <c r="IS69" i="27"/>
  <c r="IT69" i="27"/>
  <c r="IU69" i="27"/>
  <c r="IV69" i="27"/>
  <c r="A68" i="27"/>
  <c r="B68" i="27"/>
  <c r="C68" i="27"/>
  <c r="E68" i="27"/>
  <c r="F68" i="27"/>
  <c r="G68" i="27"/>
  <c r="H68" i="27"/>
  <c r="I68" i="27"/>
  <c r="J68" i="27"/>
  <c r="K68" i="27"/>
  <c r="L68" i="27"/>
  <c r="M68" i="27"/>
  <c r="N68" i="27"/>
  <c r="O68" i="27"/>
  <c r="P68" i="27"/>
  <c r="Q68" i="27"/>
  <c r="R68" i="27"/>
  <c r="S68" i="27"/>
  <c r="T68" i="27"/>
  <c r="U68" i="27"/>
  <c r="V68" i="27"/>
  <c r="W68" i="27"/>
  <c r="X68" i="27"/>
  <c r="Y68" i="27"/>
  <c r="Z68" i="27"/>
  <c r="AA68" i="27"/>
  <c r="AB68" i="27"/>
  <c r="AC68" i="27"/>
  <c r="AD68" i="27"/>
  <c r="AE68" i="27"/>
  <c r="AF68" i="27"/>
  <c r="AG68" i="27"/>
  <c r="AH68" i="27"/>
  <c r="AI68" i="27"/>
  <c r="AJ68" i="27"/>
  <c r="AK68" i="27"/>
  <c r="AL68" i="27"/>
  <c r="AM68" i="27"/>
  <c r="AN68" i="27"/>
  <c r="AO68" i="27"/>
  <c r="AP68" i="27"/>
  <c r="AQ68" i="27"/>
  <c r="AR68" i="27"/>
  <c r="AS68" i="27"/>
  <c r="AT68" i="27"/>
  <c r="AU68" i="27"/>
  <c r="AV68" i="27"/>
  <c r="AW68" i="27"/>
  <c r="AX68" i="27"/>
  <c r="AY68" i="27"/>
  <c r="AZ68" i="27"/>
  <c r="BA68" i="27"/>
  <c r="BB68" i="27"/>
  <c r="BC68" i="27"/>
  <c r="BD68" i="27"/>
  <c r="BE68" i="27"/>
  <c r="BF68" i="27"/>
  <c r="BG68" i="27"/>
  <c r="BH68" i="27"/>
  <c r="BI68" i="27"/>
  <c r="BJ68" i="27"/>
  <c r="BK68" i="27"/>
  <c r="BL68" i="27"/>
  <c r="BM68" i="27"/>
  <c r="BN68" i="27"/>
  <c r="BO68" i="27"/>
  <c r="BP68" i="27"/>
  <c r="BQ68" i="27"/>
  <c r="BR68" i="27"/>
  <c r="BS68" i="27"/>
  <c r="BT68" i="27"/>
  <c r="BU68" i="27"/>
  <c r="BV68" i="27"/>
  <c r="BW68" i="27"/>
  <c r="BX68" i="27"/>
  <c r="BY68" i="27"/>
  <c r="BZ68" i="27"/>
  <c r="CA68" i="27"/>
  <c r="CB68" i="27"/>
  <c r="CC68" i="27"/>
  <c r="CD68" i="27"/>
  <c r="CE68" i="27"/>
  <c r="CF68" i="27"/>
  <c r="CG68" i="27"/>
  <c r="CH68" i="27"/>
  <c r="CI68" i="27"/>
  <c r="CJ68" i="27"/>
  <c r="CK68" i="27"/>
  <c r="CL68" i="27"/>
  <c r="CM68" i="27"/>
  <c r="CN68" i="27"/>
  <c r="CO68" i="27"/>
  <c r="CP68" i="27"/>
  <c r="CQ68" i="27"/>
  <c r="CR68" i="27"/>
  <c r="CS68" i="27"/>
  <c r="CT68" i="27"/>
  <c r="CU68" i="27"/>
  <c r="CV68" i="27"/>
  <c r="CW68" i="27"/>
  <c r="CX68" i="27"/>
  <c r="CY68" i="27"/>
  <c r="CZ68" i="27"/>
  <c r="DA68" i="27"/>
  <c r="DB68" i="27"/>
  <c r="DC68" i="27"/>
  <c r="DD68" i="27"/>
  <c r="DE68" i="27"/>
  <c r="DF68" i="27"/>
  <c r="DG68" i="27"/>
  <c r="DH68" i="27"/>
  <c r="DI68" i="27"/>
  <c r="DJ68" i="27"/>
  <c r="DK68" i="27"/>
  <c r="DL68" i="27"/>
  <c r="DM68" i="27"/>
  <c r="DN68" i="27"/>
  <c r="DO68" i="27"/>
  <c r="DP68" i="27"/>
  <c r="DQ68" i="27"/>
  <c r="DR68" i="27"/>
  <c r="DS68" i="27"/>
  <c r="DT68" i="27"/>
  <c r="DU68" i="27"/>
  <c r="DV68" i="27"/>
  <c r="DW68" i="27"/>
  <c r="DX68" i="27"/>
  <c r="DY68" i="27"/>
  <c r="DZ68" i="27"/>
  <c r="EA68" i="27"/>
  <c r="EB68" i="27"/>
  <c r="EC68" i="27"/>
  <c r="ED68" i="27"/>
  <c r="EE68" i="27"/>
  <c r="EF68" i="27"/>
  <c r="EG68" i="27"/>
  <c r="EH68" i="27"/>
  <c r="EI68" i="27"/>
  <c r="EJ68" i="27"/>
  <c r="EK68" i="27"/>
  <c r="EL68" i="27"/>
  <c r="EM68" i="27"/>
  <c r="EN68" i="27"/>
  <c r="EO68" i="27"/>
  <c r="EP68" i="27"/>
  <c r="EQ68" i="27"/>
  <c r="ER68" i="27"/>
  <c r="ES68" i="27"/>
  <c r="ET68" i="27"/>
  <c r="EU68" i="27"/>
  <c r="EV68" i="27"/>
  <c r="EW68" i="27"/>
  <c r="EX68" i="27"/>
  <c r="EY68" i="27"/>
  <c r="EZ68" i="27"/>
  <c r="FA68" i="27"/>
  <c r="FB68" i="27"/>
  <c r="FC68" i="27"/>
  <c r="FD68" i="27"/>
  <c r="FE68" i="27"/>
  <c r="FF68" i="27"/>
  <c r="FG68" i="27"/>
  <c r="FH68" i="27"/>
  <c r="FI68" i="27"/>
  <c r="FJ68" i="27"/>
  <c r="FK68" i="27"/>
  <c r="FL68" i="27"/>
  <c r="FM68" i="27"/>
  <c r="FN68" i="27"/>
  <c r="FO68" i="27"/>
  <c r="FP68" i="27"/>
  <c r="FQ68" i="27"/>
  <c r="FR68" i="27"/>
  <c r="FS68" i="27"/>
  <c r="FT68" i="27"/>
  <c r="FU68" i="27"/>
  <c r="FV68" i="27"/>
  <c r="FW68" i="27"/>
  <c r="FX68" i="27"/>
  <c r="FY68" i="27"/>
  <c r="FZ68" i="27"/>
  <c r="GA68" i="27"/>
  <c r="GB68" i="27"/>
  <c r="GC68" i="27"/>
  <c r="GD68" i="27"/>
  <c r="GE68" i="27"/>
  <c r="GF68" i="27"/>
  <c r="GG68" i="27"/>
  <c r="GH68" i="27"/>
  <c r="GI68" i="27"/>
  <c r="GJ68" i="27"/>
  <c r="GK68" i="27"/>
  <c r="GL68" i="27"/>
  <c r="GM68" i="27"/>
  <c r="GN68" i="27"/>
  <c r="GO68" i="27"/>
  <c r="GP68" i="27"/>
  <c r="GQ68" i="27"/>
  <c r="GR68" i="27"/>
  <c r="GS68" i="27"/>
  <c r="GT68" i="27"/>
  <c r="GU68" i="27"/>
  <c r="GV68" i="27"/>
  <c r="GW68" i="27"/>
  <c r="GX68" i="27"/>
  <c r="GY68" i="27"/>
  <c r="GZ68" i="27"/>
  <c r="HA68" i="27"/>
  <c r="HB68" i="27"/>
  <c r="HC68" i="27"/>
  <c r="HD68" i="27"/>
  <c r="HE68" i="27"/>
  <c r="HF68" i="27"/>
  <c r="HG68" i="27"/>
  <c r="HH68" i="27"/>
  <c r="HI68" i="27"/>
  <c r="HJ68" i="27"/>
  <c r="HK68" i="27"/>
  <c r="HL68" i="27"/>
  <c r="HM68" i="27"/>
  <c r="HN68" i="27"/>
  <c r="HO68" i="27"/>
  <c r="HP68" i="27"/>
  <c r="HQ68" i="27"/>
  <c r="HR68" i="27"/>
  <c r="HS68" i="27"/>
  <c r="HT68" i="27"/>
  <c r="HU68" i="27"/>
  <c r="HV68" i="27"/>
  <c r="HW68" i="27"/>
  <c r="HX68" i="27"/>
  <c r="HY68" i="27"/>
  <c r="HZ68" i="27"/>
  <c r="IA68" i="27"/>
  <c r="IB68" i="27"/>
  <c r="IC68" i="27"/>
  <c r="ID68" i="27"/>
  <c r="IE68" i="27"/>
  <c r="IF68" i="27"/>
  <c r="IG68" i="27"/>
  <c r="IH68" i="27"/>
  <c r="II68" i="27"/>
  <c r="IJ68" i="27"/>
  <c r="IK68" i="27"/>
  <c r="IL68" i="27"/>
  <c r="IM68" i="27"/>
  <c r="IN68" i="27"/>
  <c r="IO68" i="27"/>
  <c r="IP68" i="27"/>
  <c r="IQ68" i="27"/>
  <c r="IR68" i="27"/>
  <c r="IS68" i="27"/>
  <c r="IT68" i="27"/>
  <c r="IU68" i="27"/>
  <c r="IV68" i="27"/>
  <c r="A67" i="27"/>
  <c r="B67" i="27"/>
  <c r="C67" i="27"/>
  <c r="D67" i="27"/>
  <c r="E67" i="27"/>
  <c r="F67" i="27"/>
  <c r="G67" i="27"/>
  <c r="H67" i="27"/>
  <c r="I67" i="27"/>
  <c r="J67" i="27"/>
  <c r="K67" i="27"/>
  <c r="L67" i="27"/>
  <c r="M67" i="27"/>
  <c r="N67" i="27"/>
  <c r="O67" i="27"/>
  <c r="P67" i="27"/>
  <c r="Q67" i="27"/>
  <c r="R67" i="27"/>
  <c r="S67" i="27"/>
  <c r="T67" i="27"/>
  <c r="U67" i="27"/>
  <c r="V67" i="27"/>
  <c r="W67" i="27"/>
  <c r="X67" i="27"/>
  <c r="Y67" i="27"/>
  <c r="Z67" i="27"/>
  <c r="AA67" i="27"/>
  <c r="AB67" i="27"/>
  <c r="AC67" i="27"/>
  <c r="AD67" i="27"/>
  <c r="AE67" i="27"/>
  <c r="AF67" i="27"/>
  <c r="AG67" i="27"/>
  <c r="AH67" i="27"/>
  <c r="AI67" i="27"/>
  <c r="AJ67" i="27"/>
  <c r="AK67" i="27"/>
  <c r="AL67" i="27"/>
  <c r="AM67" i="27"/>
  <c r="AN67" i="27"/>
  <c r="AO67" i="27"/>
  <c r="AP67" i="27"/>
  <c r="AQ67" i="27"/>
  <c r="AR67" i="27"/>
  <c r="AS67" i="27"/>
  <c r="AT67" i="27"/>
  <c r="AU67" i="27"/>
  <c r="AV67" i="27"/>
  <c r="AW67" i="27"/>
  <c r="AX67" i="27"/>
  <c r="AY67" i="27"/>
  <c r="AZ67" i="27"/>
  <c r="BA67" i="27"/>
  <c r="BB67" i="27"/>
  <c r="BC67" i="27"/>
  <c r="BD67" i="27"/>
  <c r="BE67" i="27"/>
  <c r="BF67" i="27"/>
  <c r="BG67" i="27"/>
  <c r="BH67" i="27"/>
  <c r="BI67" i="27"/>
  <c r="BJ67" i="27"/>
  <c r="BK67" i="27"/>
  <c r="BL67" i="27"/>
  <c r="BM67" i="27"/>
  <c r="BN67" i="27"/>
  <c r="BO67" i="27"/>
  <c r="BP67" i="27"/>
  <c r="BQ67" i="27"/>
  <c r="BR67" i="27"/>
  <c r="BS67" i="27"/>
  <c r="BT67" i="27"/>
  <c r="BU67" i="27"/>
  <c r="BV67" i="27"/>
  <c r="BW67" i="27"/>
  <c r="BX67" i="27"/>
  <c r="BY67" i="27"/>
  <c r="BZ67" i="27"/>
  <c r="CA67" i="27"/>
  <c r="CB67" i="27"/>
  <c r="CC67" i="27"/>
  <c r="CD67" i="27"/>
  <c r="CE67" i="27"/>
  <c r="CF67" i="27"/>
  <c r="CG67" i="27"/>
  <c r="CH67" i="27"/>
  <c r="CI67" i="27"/>
  <c r="CJ67" i="27"/>
  <c r="CK67" i="27"/>
  <c r="CL67" i="27"/>
  <c r="CM67" i="27"/>
  <c r="CN67" i="27"/>
  <c r="CO67" i="27"/>
  <c r="CP67" i="27"/>
  <c r="CQ67" i="27"/>
  <c r="CR67" i="27"/>
  <c r="CS67" i="27"/>
  <c r="CT67" i="27"/>
  <c r="CU67" i="27"/>
  <c r="CV67" i="27"/>
  <c r="CW67" i="27"/>
  <c r="CX67" i="27"/>
  <c r="CY67" i="27"/>
  <c r="CZ67" i="27"/>
  <c r="DA67" i="27"/>
  <c r="DB67" i="27"/>
  <c r="DC67" i="27"/>
  <c r="DD67" i="27"/>
  <c r="DE67" i="27"/>
  <c r="DF67" i="27"/>
  <c r="DG67" i="27"/>
  <c r="DH67" i="27"/>
  <c r="DI67" i="27"/>
  <c r="DJ67" i="27"/>
  <c r="DK67" i="27"/>
  <c r="DL67" i="27"/>
  <c r="DM67" i="27"/>
  <c r="DN67" i="27"/>
  <c r="DO67" i="27"/>
  <c r="DP67" i="27"/>
  <c r="DQ67" i="27"/>
  <c r="DR67" i="27"/>
  <c r="DS67" i="27"/>
  <c r="DT67" i="27"/>
  <c r="DU67" i="27"/>
  <c r="DV67" i="27"/>
  <c r="DW67" i="27"/>
  <c r="DX67" i="27"/>
  <c r="DY67" i="27"/>
  <c r="DZ67" i="27"/>
  <c r="EA67" i="27"/>
  <c r="EB67" i="27"/>
  <c r="EC67" i="27"/>
  <c r="ED67" i="27"/>
  <c r="EE67" i="27"/>
  <c r="EF67" i="27"/>
  <c r="EG67" i="27"/>
  <c r="EH67" i="27"/>
  <c r="EI67" i="27"/>
  <c r="EJ67" i="27"/>
  <c r="EK67" i="27"/>
  <c r="EL67" i="27"/>
  <c r="EM67" i="27"/>
  <c r="EN67" i="27"/>
  <c r="EO67" i="27"/>
  <c r="EP67" i="27"/>
  <c r="EQ67" i="27"/>
  <c r="ER67" i="27"/>
  <c r="ES67" i="27"/>
  <c r="ET67" i="27"/>
  <c r="EU67" i="27"/>
  <c r="EV67" i="27"/>
  <c r="EW67" i="27"/>
  <c r="EX67" i="27"/>
  <c r="EY67" i="27"/>
  <c r="EZ67" i="27"/>
  <c r="FA67" i="27"/>
  <c r="FB67" i="27"/>
  <c r="FC67" i="27"/>
  <c r="FD67" i="27"/>
  <c r="FE67" i="27"/>
  <c r="FF67" i="27"/>
  <c r="FG67" i="27"/>
  <c r="FH67" i="27"/>
  <c r="FI67" i="27"/>
  <c r="FJ67" i="27"/>
  <c r="FK67" i="27"/>
  <c r="FL67" i="27"/>
  <c r="FM67" i="27"/>
  <c r="FN67" i="27"/>
  <c r="FO67" i="27"/>
  <c r="FP67" i="27"/>
  <c r="FQ67" i="27"/>
  <c r="FR67" i="27"/>
  <c r="FS67" i="27"/>
  <c r="FT67" i="27"/>
  <c r="FU67" i="27"/>
  <c r="FV67" i="27"/>
  <c r="FW67" i="27"/>
  <c r="FX67" i="27"/>
  <c r="FY67" i="27"/>
  <c r="FZ67" i="27"/>
  <c r="GA67" i="27"/>
  <c r="GB67" i="27"/>
  <c r="GC67" i="27"/>
  <c r="GD67" i="27"/>
  <c r="GE67" i="27"/>
  <c r="GF67" i="27"/>
  <c r="GG67" i="27"/>
  <c r="GH67" i="27"/>
  <c r="GI67" i="27"/>
  <c r="GJ67" i="27"/>
  <c r="GK67" i="27"/>
  <c r="GL67" i="27"/>
  <c r="GM67" i="27"/>
  <c r="GN67" i="27"/>
  <c r="GO67" i="27"/>
  <c r="GP67" i="27"/>
  <c r="GQ67" i="27"/>
  <c r="GR67" i="27"/>
  <c r="GS67" i="27"/>
  <c r="GT67" i="27"/>
  <c r="GU67" i="27"/>
  <c r="GV67" i="27"/>
  <c r="GW67" i="27"/>
  <c r="GX67" i="27"/>
  <c r="GY67" i="27"/>
  <c r="GZ67" i="27"/>
  <c r="HA67" i="27"/>
  <c r="HB67" i="27"/>
  <c r="HC67" i="27"/>
  <c r="HD67" i="27"/>
  <c r="HE67" i="27"/>
  <c r="HF67" i="27"/>
  <c r="HG67" i="27"/>
  <c r="HH67" i="27"/>
  <c r="HI67" i="27"/>
  <c r="HJ67" i="27"/>
  <c r="HK67" i="27"/>
  <c r="HL67" i="27"/>
  <c r="HM67" i="27"/>
  <c r="HN67" i="27"/>
  <c r="HO67" i="27"/>
  <c r="HP67" i="27"/>
  <c r="HQ67" i="27"/>
  <c r="HR67" i="27"/>
  <c r="HS67" i="27"/>
  <c r="HT67" i="27"/>
  <c r="HU67" i="27"/>
  <c r="HV67" i="27"/>
  <c r="HW67" i="27"/>
  <c r="HX67" i="27"/>
  <c r="HY67" i="27"/>
  <c r="HZ67" i="27"/>
  <c r="IA67" i="27"/>
  <c r="IB67" i="27"/>
  <c r="IC67" i="27"/>
  <c r="ID67" i="27"/>
  <c r="IE67" i="27"/>
  <c r="IF67" i="27"/>
  <c r="IG67" i="27"/>
  <c r="IH67" i="27"/>
  <c r="II67" i="27"/>
  <c r="IJ67" i="27"/>
  <c r="IK67" i="27"/>
  <c r="IL67" i="27"/>
  <c r="IM67" i="27"/>
  <c r="IN67" i="27"/>
  <c r="IO67" i="27"/>
  <c r="IP67" i="27"/>
  <c r="IQ67" i="27"/>
  <c r="IR67" i="27"/>
  <c r="IS67" i="27"/>
  <c r="IT67" i="27"/>
  <c r="IU67" i="27"/>
  <c r="IV67" i="27"/>
  <c r="A66" i="27"/>
  <c r="B66" i="27"/>
  <c r="D66" i="27"/>
  <c r="E66" i="27"/>
  <c r="F66" i="27"/>
  <c r="G66" i="27"/>
  <c r="H66" i="27"/>
  <c r="I66" i="27"/>
  <c r="J66" i="27"/>
  <c r="K66" i="27"/>
  <c r="L66" i="27"/>
  <c r="M66" i="27"/>
  <c r="N66" i="27"/>
  <c r="O66" i="27"/>
  <c r="P66" i="27"/>
  <c r="Q66" i="27"/>
  <c r="R66" i="27"/>
  <c r="S66" i="27"/>
  <c r="T66" i="27"/>
  <c r="U66" i="27"/>
  <c r="V66" i="27"/>
  <c r="W66" i="27"/>
  <c r="X66" i="27"/>
  <c r="Y66" i="27"/>
  <c r="Z66" i="27"/>
  <c r="AA66" i="27"/>
  <c r="AB66" i="27"/>
  <c r="AC66" i="27"/>
  <c r="AD66" i="27"/>
  <c r="AE66" i="27"/>
  <c r="AF66" i="27"/>
  <c r="AG66" i="27"/>
  <c r="AH66" i="27"/>
  <c r="AI66" i="27"/>
  <c r="AJ66" i="27"/>
  <c r="AK66" i="27"/>
  <c r="AL66" i="27"/>
  <c r="AM66" i="27"/>
  <c r="AN66" i="27"/>
  <c r="AO66" i="27"/>
  <c r="AP66" i="27"/>
  <c r="AQ66" i="27"/>
  <c r="AR66" i="27"/>
  <c r="AS66" i="27"/>
  <c r="AT66" i="27"/>
  <c r="AU66" i="27"/>
  <c r="AV66" i="27"/>
  <c r="AW66" i="27"/>
  <c r="AX66" i="27"/>
  <c r="AY66" i="27"/>
  <c r="AZ66" i="27"/>
  <c r="BA66" i="27"/>
  <c r="BB66" i="27"/>
  <c r="BC66" i="27"/>
  <c r="BD66" i="27"/>
  <c r="BE66" i="27"/>
  <c r="BF66" i="27"/>
  <c r="BG66" i="27"/>
  <c r="BH66" i="27"/>
  <c r="BI66" i="27"/>
  <c r="BJ66" i="27"/>
  <c r="BK66" i="27"/>
  <c r="BL66" i="27"/>
  <c r="BM66" i="27"/>
  <c r="BN66" i="27"/>
  <c r="BO66" i="27"/>
  <c r="BP66" i="27"/>
  <c r="BQ66" i="27"/>
  <c r="BR66" i="27"/>
  <c r="BS66" i="27"/>
  <c r="BT66" i="27"/>
  <c r="BU66" i="27"/>
  <c r="BV66" i="27"/>
  <c r="BW66" i="27"/>
  <c r="BX66" i="27"/>
  <c r="BY66" i="27"/>
  <c r="BZ66" i="27"/>
  <c r="CA66" i="27"/>
  <c r="CB66" i="27"/>
  <c r="CC66" i="27"/>
  <c r="CD66" i="27"/>
  <c r="CE66" i="27"/>
  <c r="CF66" i="27"/>
  <c r="CG66" i="27"/>
  <c r="CH66" i="27"/>
  <c r="CI66" i="27"/>
  <c r="CJ66" i="27"/>
  <c r="CK66" i="27"/>
  <c r="CL66" i="27"/>
  <c r="CM66" i="27"/>
  <c r="CN66" i="27"/>
  <c r="CO66" i="27"/>
  <c r="CP66" i="27"/>
  <c r="CQ66" i="27"/>
  <c r="CR66" i="27"/>
  <c r="CS66" i="27"/>
  <c r="CT66" i="27"/>
  <c r="CU66" i="27"/>
  <c r="CV66" i="27"/>
  <c r="CW66" i="27"/>
  <c r="CX66" i="27"/>
  <c r="CY66" i="27"/>
  <c r="CZ66" i="27"/>
  <c r="DA66" i="27"/>
  <c r="DB66" i="27"/>
  <c r="DC66" i="27"/>
  <c r="DD66" i="27"/>
  <c r="DE66" i="27"/>
  <c r="DF66" i="27"/>
  <c r="DG66" i="27"/>
  <c r="DH66" i="27"/>
  <c r="DI66" i="27"/>
  <c r="DJ66" i="27"/>
  <c r="DK66" i="27"/>
  <c r="DL66" i="27"/>
  <c r="DM66" i="27"/>
  <c r="DN66" i="27"/>
  <c r="DO66" i="27"/>
  <c r="DP66" i="27"/>
  <c r="DQ66" i="27"/>
  <c r="DR66" i="27"/>
  <c r="DS66" i="27"/>
  <c r="DT66" i="27"/>
  <c r="DU66" i="27"/>
  <c r="DV66" i="27"/>
  <c r="DW66" i="27"/>
  <c r="DX66" i="27"/>
  <c r="DY66" i="27"/>
  <c r="DZ66" i="27"/>
  <c r="EA66" i="27"/>
  <c r="EB66" i="27"/>
  <c r="EC66" i="27"/>
  <c r="ED66" i="27"/>
  <c r="EE66" i="27"/>
  <c r="EF66" i="27"/>
  <c r="EG66" i="27"/>
  <c r="EH66" i="27"/>
  <c r="EI66" i="27"/>
  <c r="EJ66" i="27"/>
  <c r="EK66" i="27"/>
  <c r="EL66" i="27"/>
  <c r="EM66" i="27"/>
  <c r="EN66" i="27"/>
  <c r="EO66" i="27"/>
  <c r="EP66" i="27"/>
  <c r="EQ66" i="27"/>
  <c r="ER66" i="27"/>
  <c r="ES66" i="27"/>
  <c r="ET66" i="27"/>
  <c r="EU66" i="27"/>
  <c r="EV66" i="27"/>
  <c r="EW66" i="27"/>
  <c r="EX66" i="27"/>
  <c r="EY66" i="27"/>
  <c r="EZ66" i="27"/>
  <c r="FA66" i="27"/>
  <c r="FB66" i="27"/>
  <c r="FC66" i="27"/>
  <c r="FD66" i="27"/>
  <c r="FE66" i="27"/>
  <c r="FF66" i="27"/>
  <c r="FG66" i="27"/>
  <c r="FH66" i="27"/>
  <c r="FI66" i="27"/>
  <c r="FJ66" i="27"/>
  <c r="FK66" i="27"/>
  <c r="FL66" i="27"/>
  <c r="FM66" i="27"/>
  <c r="FN66" i="27"/>
  <c r="FO66" i="27"/>
  <c r="FP66" i="27"/>
  <c r="FQ66" i="27"/>
  <c r="FR66" i="27"/>
  <c r="FS66" i="27"/>
  <c r="FT66" i="27"/>
  <c r="FU66" i="27"/>
  <c r="FV66" i="27"/>
  <c r="FW66" i="27"/>
  <c r="FX66" i="27"/>
  <c r="FY66" i="27"/>
  <c r="FZ66" i="27"/>
  <c r="GA66" i="27"/>
  <c r="GB66" i="27"/>
  <c r="GC66" i="27"/>
  <c r="GD66" i="27"/>
  <c r="GE66" i="27"/>
  <c r="GF66" i="27"/>
  <c r="GG66" i="27"/>
  <c r="GH66" i="27"/>
  <c r="GI66" i="27"/>
  <c r="GJ66" i="27"/>
  <c r="GK66" i="27"/>
  <c r="GL66" i="27"/>
  <c r="GM66" i="27"/>
  <c r="GN66" i="27"/>
  <c r="GO66" i="27"/>
  <c r="GP66" i="27"/>
  <c r="GQ66" i="27"/>
  <c r="GR66" i="27"/>
  <c r="GS66" i="27"/>
  <c r="GT66" i="27"/>
  <c r="GU66" i="27"/>
  <c r="GV66" i="27"/>
  <c r="GW66" i="27"/>
  <c r="GX66" i="27"/>
  <c r="GY66" i="27"/>
  <c r="GZ66" i="27"/>
  <c r="HA66" i="27"/>
  <c r="HB66" i="27"/>
  <c r="HC66" i="27"/>
  <c r="HD66" i="27"/>
  <c r="HE66" i="27"/>
  <c r="HF66" i="27"/>
  <c r="HG66" i="27"/>
  <c r="HH66" i="27"/>
  <c r="HI66" i="27"/>
  <c r="HJ66" i="27"/>
  <c r="HK66" i="27"/>
  <c r="HL66" i="27"/>
  <c r="HM66" i="27"/>
  <c r="HN66" i="27"/>
  <c r="HO66" i="27"/>
  <c r="HP66" i="27"/>
  <c r="HQ66" i="27"/>
  <c r="HR66" i="27"/>
  <c r="HS66" i="27"/>
  <c r="HT66" i="27"/>
  <c r="HU66" i="27"/>
  <c r="HV66" i="27"/>
  <c r="HW66" i="27"/>
  <c r="HX66" i="27"/>
  <c r="HY66" i="27"/>
  <c r="HZ66" i="27"/>
  <c r="IA66" i="27"/>
  <c r="IB66" i="27"/>
  <c r="IC66" i="27"/>
  <c r="ID66" i="27"/>
  <c r="IE66" i="27"/>
  <c r="IF66" i="27"/>
  <c r="IG66" i="27"/>
  <c r="IH66" i="27"/>
  <c r="II66" i="27"/>
  <c r="IJ66" i="27"/>
  <c r="IK66" i="27"/>
  <c r="IL66" i="27"/>
  <c r="IM66" i="27"/>
  <c r="IN66" i="27"/>
  <c r="IO66" i="27"/>
  <c r="IP66" i="27"/>
  <c r="IQ66" i="27"/>
  <c r="IR66" i="27"/>
  <c r="IS66" i="27"/>
  <c r="IT66" i="27"/>
  <c r="IU66" i="27"/>
  <c r="IV66" i="27"/>
  <c r="A65" i="27"/>
  <c r="B65" i="27"/>
  <c r="C65" i="27"/>
  <c r="D65" i="27"/>
  <c r="E65" i="27"/>
  <c r="F65" i="27"/>
  <c r="H65" i="27"/>
  <c r="I65" i="27"/>
  <c r="J65" i="27"/>
  <c r="K65" i="27"/>
  <c r="L65" i="27"/>
  <c r="M65" i="27"/>
  <c r="N65" i="27"/>
  <c r="O65" i="27"/>
  <c r="P65" i="27"/>
  <c r="Q65" i="27"/>
  <c r="R65" i="27"/>
  <c r="S65" i="27"/>
  <c r="T65" i="27"/>
  <c r="U65" i="27"/>
  <c r="V65" i="27"/>
  <c r="W65" i="27"/>
  <c r="X65" i="27"/>
  <c r="Y65" i="27"/>
  <c r="Z65" i="27"/>
  <c r="AA65" i="27"/>
  <c r="AB65" i="27"/>
  <c r="AC65" i="27"/>
  <c r="AD65" i="27"/>
  <c r="AE65" i="27"/>
  <c r="AF65" i="27"/>
  <c r="AG65" i="27"/>
  <c r="AH65" i="27"/>
  <c r="AI65" i="27"/>
  <c r="AJ65" i="27"/>
  <c r="AK65" i="27"/>
  <c r="AL65" i="27"/>
  <c r="AM65" i="27"/>
  <c r="AN65" i="27"/>
  <c r="AO65" i="27"/>
  <c r="AP65" i="27"/>
  <c r="AQ65" i="27"/>
  <c r="AR65" i="27"/>
  <c r="AS65" i="27"/>
  <c r="AT65" i="27"/>
  <c r="AU65" i="27"/>
  <c r="AV65" i="27"/>
  <c r="AW65" i="27"/>
  <c r="AX65" i="27"/>
  <c r="AY65" i="27"/>
  <c r="AZ65" i="27"/>
  <c r="BA65" i="27"/>
  <c r="BB65" i="27"/>
  <c r="BC65" i="27"/>
  <c r="BD65" i="27"/>
  <c r="BE65" i="27"/>
  <c r="BF65" i="27"/>
  <c r="BG65" i="27"/>
  <c r="BH65" i="27"/>
  <c r="BI65" i="27"/>
  <c r="BJ65" i="27"/>
  <c r="BK65" i="27"/>
  <c r="BL65" i="27"/>
  <c r="BM65" i="27"/>
  <c r="BN65" i="27"/>
  <c r="BO65" i="27"/>
  <c r="BP65" i="27"/>
  <c r="BQ65" i="27"/>
  <c r="BR65" i="27"/>
  <c r="BS65" i="27"/>
  <c r="BT65" i="27"/>
  <c r="BU65" i="27"/>
  <c r="BV65" i="27"/>
  <c r="BW65" i="27"/>
  <c r="BX65" i="27"/>
  <c r="BY65" i="27"/>
  <c r="BZ65" i="27"/>
  <c r="CA65" i="27"/>
  <c r="CB65" i="27"/>
  <c r="CC65" i="27"/>
  <c r="CD65" i="27"/>
  <c r="CE65" i="27"/>
  <c r="CF65" i="27"/>
  <c r="CG65" i="27"/>
  <c r="CH65" i="27"/>
  <c r="CI65" i="27"/>
  <c r="CJ65" i="27"/>
  <c r="CK65" i="27"/>
  <c r="CL65" i="27"/>
  <c r="CM65" i="27"/>
  <c r="CN65" i="27"/>
  <c r="CO65" i="27"/>
  <c r="CP65" i="27"/>
  <c r="CQ65" i="27"/>
  <c r="CR65" i="27"/>
  <c r="CS65" i="27"/>
  <c r="CT65" i="27"/>
  <c r="CU65" i="27"/>
  <c r="CV65" i="27"/>
  <c r="CW65" i="27"/>
  <c r="CX65" i="27"/>
  <c r="CY65" i="27"/>
  <c r="CZ65" i="27"/>
  <c r="DA65" i="27"/>
  <c r="DB65" i="27"/>
  <c r="DC65" i="27"/>
  <c r="DD65" i="27"/>
  <c r="DE65" i="27"/>
  <c r="DF65" i="27"/>
  <c r="DG65" i="27"/>
  <c r="DH65" i="27"/>
  <c r="DI65" i="27"/>
  <c r="DJ65" i="27"/>
  <c r="DK65" i="27"/>
  <c r="DL65" i="27"/>
  <c r="DM65" i="27"/>
  <c r="DN65" i="27"/>
  <c r="DO65" i="27"/>
  <c r="DP65" i="27"/>
  <c r="DQ65" i="27"/>
  <c r="DR65" i="27"/>
  <c r="DS65" i="27"/>
  <c r="DT65" i="27"/>
  <c r="DU65" i="27"/>
  <c r="DV65" i="27"/>
  <c r="DW65" i="27"/>
  <c r="DX65" i="27"/>
  <c r="DY65" i="27"/>
  <c r="DZ65" i="27"/>
  <c r="EA65" i="27"/>
  <c r="EB65" i="27"/>
  <c r="EC65" i="27"/>
  <c r="ED65" i="27"/>
  <c r="EE65" i="27"/>
  <c r="EF65" i="27"/>
  <c r="EG65" i="27"/>
  <c r="EH65" i="27"/>
  <c r="EI65" i="27"/>
  <c r="EJ65" i="27"/>
  <c r="EK65" i="27"/>
  <c r="EL65" i="27"/>
  <c r="EM65" i="27"/>
  <c r="EN65" i="27"/>
  <c r="EO65" i="27"/>
  <c r="EP65" i="27"/>
  <c r="EQ65" i="27"/>
  <c r="ER65" i="27"/>
  <c r="ES65" i="27"/>
  <c r="ET65" i="27"/>
  <c r="EU65" i="27"/>
  <c r="EV65" i="27"/>
  <c r="EW65" i="27"/>
  <c r="EX65" i="27"/>
  <c r="EY65" i="27"/>
  <c r="EZ65" i="27"/>
  <c r="FA65" i="27"/>
  <c r="FB65" i="27"/>
  <c r="FC65" i="27"/>
  <c r="FD65" i="27"/>
  <c r="FE65" i="27"/>
  <c r="FF65" i="27"/>
  <c r="FG65" i="27"/>
  <c r="FH65" i="27"/>
  <c r="FI65" i="27"/>
  <c r="FJ65" i="27"/>
  <c r="FK65" i="27"/>
  <c r="FL65" i="27"/>
  <c r="FM65" i="27"/>
  <c r="FN65" i="27"/>
  <c r="FO65" i="27"/>
  <c r="FP65" i="27"/>
  <c r="FQ65" i="27"/>
  <c r="FR65" i="27"/>
  <c r="FS65" i="27"/>
  <c r="FT65" i="27"/>
  <c r="FU65" i="27"/>
  <c r="FV65" i="27"/>
  <c r="FW65" i="27"/>
  <c r="FX65" i="27"/>
  <c r="FY65" i="27"/>
  <c r="FZ65" i="27"/>
  <c r="GA65" i="27"/>
  <c r="GB65" i="27"/>
  <c r="GC65" i="27"/>
  <c r="GD65" i="27"/>
  <c r="GE65" i="27"/>
  <c r="GF65" i="27"/>
  <c r="GG65" i="27"/>
  <c r="GH65" i="27"/>
  <c r="GI65" i="27"/>
  <c r="GJ65" i="27"/>
  <c r="GK65" i="27"/>
  <c r="GL65" i="27"/>
  <c r="GM65" i="27"/>
  <c r="GN65" i="27"/>
  <c r="GO65" i="27"/>
  <c r="GP65" i="27"/>
  <c r="GQ65" i="27"/>
  <c r="GR65" i="27"/>
  <c r="GS65" i="27"/>
  <c r="GT65" i="27"/>
  <c r="GU65" i="27"/>
  <c r="GV65" i="27"/>
  <c r="GW65" i="27"/>
  <c r="GX65" i="27"/>
  <c r="GY65" i="27"/>
  <c r="GZ65" i="27"/>
  <c r="HA65" i="27"/>
  <c r="HB65" i="27"/>
  <c r="HC65" i="27"/>
  <c r="HD65" i="27"/>
  <c r="HE65" i="27"/>
  <c r="HF65" i="27"/>
  <c r="HG65" i="27"/>
  <c r="HH65" i="27"/>
  <c r="HI65" i="27"/>
  <c r="HJ65" i="27"/>
  <c r="HK65" i="27"/>
  <c r="HL65" i="27"/>
  <c r="HM65" i="27"/>
  <c r="HN65" i="27"/>
  <c r="HO65" i="27"/>
  <c r="HP65" i="27"/>
  <c r="HQ65" i="27"/>
  <c r="HR65" i="27"/>
  <c r="HS65" i="27"/>
  <c r="HT65" i="27"/>
  <c r="HU65" i="27"/>
  <c r="HV65" i="27"/>
  <c r="HW65" i="27"/>
  <c r="HX65" i="27"/>
  <c r="HY65" i="27"/>
  <c r="HZ65" i="27"/>
  <c r="IA65" i="27"/>
  <c r="IB65" i="27"/>
  <c r="IC65" i="27"/>
  <c r="ID65" i="27"/>
  <c r="IE65" i="27"/>
  <c r="IF65" i="27"/>
  <c r="IG65" i="27"/>
  <c r="IH65" i="27"/>
  <c r="II65" i="27"/>
  <c r="IJ65" i="27"/>
  <c r="IK65" i="27"/>
  <c r="IL65" i="27"/>
  <c r="IM65" i="27"/>
  <c r="IN65" i="27"/>
  <c r="IO65" i="27"/>
  <c r="IP65" i="27"/>
  <c r="IQ65" i="27"/>
  <c r="IR65" i="27"/>
  <c r="IS65" i="27"/>
  <c r="IT65" i="27"/>
  <c r="IU65" i="27"/>
  <c r="IV65" i="27"/>
  <c r="A64" i="27"/>
  <c r="C64" i="27"/>
  <c r="D64" i="27"/>
  <c r="E64" i="27"/>
  <c r="F64" i="27"/>
  <c r="G64" i="27"/>
  <c r="H64" i="27"/>
  <c r="I64" i="27"/>
  <c r="J64" i="27"/>
  <c r="K64" i="27"/>
  <c r="L64" i="27"/>
  <c r="M64" i="27"/>
  <c r="N64" i="27"/>
  <c r="O64" i="27"/>
  <c r="P64" i="27"/>
  <c r="Q64" i="27"/>
  <c r="R64" i="27"/>
  <c r="S64" i="27"/>
  <c r="T64" i="27"/>
  <c r="U64" i="27"/>
  <c r="V64" i="27"/>
  <c r="W64" i="27"/>
  <c r="X64" i="27"/>
  <c r="Y64" i="27"/>
  <c r="Z64" i="27"/>
  <c r="AA64" i="27"/>
  <c r="AB64" i="27"/>
  <c r="AC64" i="27"/>
  <c r="AD64" i="27"/>
  <c r="AE64" i="27"/>
  <c r="AF64" i="27"/>
  <c r="AG64" i="27"/>
  <c r="AH64" i="27"/>
  <c r="AI64" i="27"/>
  <c r="AJ64" i="27"/>
  <c r="AK64" i="27"/>
  <c r="AL64" i="27"/>
  <c r="AM64" i="27"/>
  <c r="AN64" i="27"/>
  <c r="AO64" i="27"/>
  <c r="AP64" i="27"/>
  <c r="AQ64" i="27"/>
  <c r="AR64" i="27"/>
  <c r="AS64" i="27"/>
  <c r="AT64" i="27"/>
  <c r="AU64" i="27"/>
  <c r="AV64" i="27"/>
  <c r="AW64" i="27"/>
  <c r="AX64" i="27"/>
  <c r="AY64" i="27"/>
  <c r="AZ64" i="27"/>
  <c r="BA64" i="27"/>
  <c r="BB64" i="27"/>
  <c r="BC64" i="27"/>
  <c r="BD64" i="27"/>
  <c r="BE64" i="27"/>
  <c r="BF64" i="27"/>
  <c r="BG64" i="27"/>
  <c r="BH64" i="27"/>
  <c r="BI64" i="27"/>
  <c r="BJ64" i="27"/>
  <c r="BK64" i="27"/>
  <c r="BL64" i="27"/>
  <c r="BM64" i="27"/>
  <c r="BN64" i="27"/>
  <c r="BO64" i="27"/>
  <c r="BP64" i="27"/>
  <c r="BQ64" i="27"/>
  <c r="BR64" i="27"/>
  <c r="BS64" i="27"/>
  <c r="BT64" i="27"/>
  <c r="BU64" i="27"/>
  <c r="BV64" i="27"/>
  <c r="BW64" i="27"/>
  <c r="BX64" i="27"/>
  <c r="BY64" i="27"/>
  <c r="BZ64" i="27"/>
  <c r="CA64" i="27"/>
  <c r="CB64" i="27"/>
  <c r="CC64" i="27"/>
  <c r="CD64" i="27"/>
  <c r="CE64" i="27"/>
  <c r="CF64" i="27"/>
  <c r="CG64" i="27"/>
  <c r="CH64" i="27"/>
  <c r="CI64" i="27"/>
  <c r="CJ64" i="27"/>
  <c r="CK64" i="27"/>
  <c r="CL64" i="27"/>
  <c r="CM64" i="27"/>
  <c r="CN64" i="27"/>
  <c r="CO64" i="27"/>
  <c r="CP64" i="27"/>
  <c r="CQ64" i="27"/>
  <c r="CR64" i="27"/>
  <c r="CS64" i="27"/>
  <c r="CT64" i="27"/>
  <c r="CU64" i="27"/>
  <c r="CV64" i="27"/>
  <c r="CW64" i="27"/>
  <c r="CX64" i="27"/>
  <c r="CY64" i="27"/>
  <c r="CZ64" i="27"/>
  <c r="DA64" i="27"/>
  <c r="DB64" i="27"/>
  <c r="DC64" i="27"/>
  <c r="DD64" i="27"/>
  <c r="DE64" i="27"/>
  <c r="DF64" i="27"/>
  <c r="DG64" i="27"/>
  <c r="DH64" i="27"/>
  <c r="DI64" i="27"/>
  <c r="DJ64" i="27"/>
  <c r="DK64" i="27"/>
  <c r="DL64" i="27"/>
  <c r="DM64" i="27"/>
  <c r="DN64" i="27"/>
  <c r="DO64" i="27"/>
  <c r="DP64" i="27"/>
  <c r="DQ64" i="27"/>
  <c r="DR64" i="27"/>
  <c r="DS64" i="27"/>
  <c r="DT64" i="27"/>
  <c r="DU64" i="27"/>
  <c r="DV64" i="27"/>
  <c r="DW64" i="27"/>
  <c r="DX64" i="27"/>
  <c r="DY64" i="27"/>
  <c r="DZ64" i="27"/>
  <c r="EA64" i="27"/>
  <c r="EB64" i="27"/>
  <c r="EC64" i="27"/>
  <c r="ED64" i="27"/>
  <c r="EE64" i="27"/>
  <c r="EF64" i="27"/>
  <c r="EG64" i="27"/>
  <c r="EH64" i="27"/>
  <c r="EI64" i="27"/>
  <c r="EJ64" i="27"/>
  <c r="EK64" i="27"/>
  <c r="EL64" i="27"/>
  <c r="EM64" i="27"/>
  <c r="EN64" i="27"/>
  <c r="EO64" i="27"/>
  <c r="EP64" i="27"/>
  <c r="EQ64" i="27"/>
  <c r="ER64" i="27"/>
  <c r="ES64" i="27"/>
  <c r="ET64" i="27"/>
  <c r="EU64" i="27"/>
  <c r="EV64" i="27"/>
  <c r="EW64" i="27"/>
  <c r="EX64" i="27"/>
  <c r="EY64" i="27"/>
  <c r="EZ64" i="27"/>
  <c r="FA64" i="27"/>
  <c r="FB64" i="27"/>
  <c r="FC64" i="27"/>
  <c r="FD64" i="27"/>
  <c r="FE64" i="27"/>
  <c r="FF64" i="27"/>
  <c r="FG64" i="27"/>
  <c r="FH64" i="27"/>
  <c r="FI64" i="27"/>
  <c r="FJ64" i="27"/>
  <c r="FK64" i="27"/>
  <c r="FL64" i="27"/>
  <c r="FM64" i="27"/>
  <c r="FN64" i="27"/>
  <c r="FO64" i="27"/>
  <c r="FP64" i="27"/>
  <c r="FQ64" i="27"/>
  <c r="FR64" i="27"/>
  <c r="FS64" i="27"/>
  <c r="FT64" i="27"/>
  <c r="FU64" i="27"/>
  <c r="FV64" i="27"/>
  <c r="FW64" i="27"/>
  <c r="FX64" i="27"/>
  <c r="FY64" i="27"/>
  <c r="FZ64" i="27"/>
  <c r="GA64" i="27"/>
  <c r="GB64" i="27"/>
  <c r="GC64" i="27"/>
  <c r="GD64" i="27"/>
  <c r="GE64" i="27"/>
  <c r="GF64" i="27"/>
  <c r="GG64" i="27"/>
  <c r="GH64" i="27"/>
  <c r="GI64" i="27"/>
  <c r="GJ64" i="27"/>
  <c r="GK64" i="27"/>
  <c r="GL64" i="27"/>
  <c r="GM64" i="27"/>
  <c r="GN64" i="27"/>
  <c r="GO64" i="27"/>
  <c r="GP64" i="27"/>
  <c r="GQ64" i="27"/>
  <c r="GR64" i="27"/>
  <c r="GS64" i="27"/>
  <c r="GT64" i="27"/>
  <c r="GU64" i="27"/>
  <c r="GV64" i="27"/>
  <c r="GW64" i="27"/>
  <c r="GX64" i="27"/>
  <c r="GY64" i="27"/>
  <c r="GZ64" i="27"/>
  <c r="HA64" i="27"/>
  <c r="HB64" i="27"/>
  <c r="HC64" i="27"/>
  <c r="HD64" i="27"/>
  <c r="HE64" i="27"/>
  <c r="HF64" i="27"/>
  <c r="HG64" i="27"/>
  <c r="HH64" i="27"/>
  <c r="HI64" i="27"/>
  <c r="HJ64" i="27"/>
  <c r="HK64" i="27"/>
  <c r="HL64" i="27"/>
  <c r="HM64" i="27"/>
  <c r="HN64" i="27"/>
  <c r="HO64" i="27"/>
  <c r="HP64" i="27"/>
  <c r="HQ64" i="27"/>
  <c r="HR64" i="27"/>
  <c r="HS64" i="27"/>
  <c r="HT64" i="27"/>
  <c r="HU64" i="27"/>
  <c r="HV64" i="27"/>
  <c r="HW64" i="27"/>
  <c r="HX64" i="27"/>
  <c r="HY64" i="27"/>
  <c r="HZ64" i="27"/>
  <c r="IA64" i="27"/>
  <c r="IB64" i="27"/>
  <c r="IC64" i="27"/>
  <c r="ID64" i="27"/>
  <c r="IE64" i="27"/>
  <c r="IF64" i="27"/>
  <c r="IG64" i="27"/>
  <c r="IH64" i="27"/>
  <c r="II64" i="27"/>
  <c r="IJ64" i="27"/>
  <c r="IK64" i="27"/>
  <c r="IL64" i="27"/>
  <c r="IM64" i="27"/>
  <c r="IN64" i="27"/>
  <c r="IO64" i="27"/>
  <c r="IP64" i="27"/>
  <c r="IQ64" i="27"/>
  <c r="IR64" i="27"/>
  <c r="IS64" i="27"/>
  <c r="IT64" i="27"/>
  <c r="IU64" i="27"/>
  <c r="IV64" i="27"/>
  <c r="A63" i="27"/>
  <c r="B63" i="27"/>
  <c r="C63" i="27"/>
  <c r="D63" i="27"/>
  <c r="E63" i="27"/>
  <c r="G63" i="27"/>
  <c r="H63" i="27"/>
  <c r="I63" i="27"/>
  <c r="J63" i="27"/>
  <c r="K63" i="27"/>
  <c r="L63" i="27"/>
  <c r="M63" i="27"/>
  <c r="N63" i="27"/>
  <c r="O63" i="27"/>
  <c r="P63" i="27"/>
  <c r="Q63" i="27"/>
  <c r="R63" i="27"/>
  <c r="S63" i="27"/>
  <c r="T63" i="27"/>
  <c r="U63" i="27"/>
  <c r="V63" i="27"/>
  <c r="W63" i="27"/>
  <c r="X63" i="27"/>
  <c r="Y63" i="27"/>
  <c r="Z63" i="27"/>
  <c r="AA63" i="27"/>
  <c r="AB63" i="27"/>
  <c r="AC63" i="27"/>
  <c r="AD63" i="27"/>
  <c r="AE63" i="27"/>
  <c r="AF63" i="27"/>
  <c r="AG63" i="27"/>
  <c r="AH63" i="27"/>
  <c r="AI63" i="27"/>
  <c r="AJ63" i="27"/>
  <c r="AK63" i="27"/>
  <c r="AL63" i="27"/>
  <c r="AM63" i="27"/>
  <c r="AN63" i="27"/>
  <c r="AO63" i="27"/>
  <c r="AP63" i="27"/>
  <c r="AQ63" i="27"/>
  <c r="AR63" i="27"/>
  <c r="AS63" i="27"/>
  <c r="AT63" i="27"/>
  <c r="AU63" i="27"/>
  <c r="AV63" i="27"/>
  <c r="AW63" i="27"/>
  <c r="AX63" i="27"/>
  <c r="AY63" i="27"/>
  <c r="AZ63" i="27"/>
  <c r="BA63" i="27"/>
  <c r="BB63" i="27"/>
  <c r="BC63" i="27"/>
  <c r="BD63" i="27"/>
  <c r="BE63" i="27"/>
  <c r="BF63" i="27"/>
  <c r="BG63" i="27"/>
  <c r="BH63" i="27"/>
  <c r="BI63" i="27"/>
  <c r="BJ63" i="27"/>
  <c r="BK63" i="27"/>
  <c r="BL63" i="27"/>
  <c r="BM63" i="27"/>
  <c r="BN63" i="27"/>
  <c r="BO63" i="27"/>
  <c r="BP63" i="27"/>
  <c r="BQ63" i="27"/>
  <c r="BR63" i="27"/>
  <c r="BS63" i="27"/>
  <c r="BT63" i="27"/>
  <c r="BU63" i="27"/>
  <c r="BV63" i="27"/>
  <c r="BW63" i="27"/>
  <c r="BX63" i="27"/>
  <c r="BY63" i="27"/>
  <c r="BZ63" i="27"/>
  <c r="CA63" i="27"/>
  <c r="CB63" i="27"/>
  <c r="CC63" i="27"/>
  <c r="CD63" i="27"/>
  <c r="CE63" i="27"/>
  <c r="CF63" i="27"/>
  <c r="CG63" i="27"/>
  <c r="CH63" i="27"/>
  <c r="CI63" i="27"/>
  <c r="CJ63" i="27"/>
  <c r="CK63" i="27"/>
  <c r="CL63" i="27"/>
  <c r="CM63" i="27"/>
  <c r="CN63" i="27"/>
  <c r="CO63" i="27"/>
  <c r="CP63" i="27"/>
  <c r="CQ63" i="27"/>
  <c r="CR63" i="27"/>
  <c r="CS63" i="27"/>
  <c r="CT63" i="27"/>
  <c r="CU63" i="27"/>
  <c r="CV63" i="27"/>
  <c r="CW63" i="27"/>
  <c r="CX63" i="27"/>
  <c r="CY63" i="27"/>
  <c r="CZ63" i="27"/>
  <c r="DA63" i="27"/>
  <c r="DB63" i="27"/>
  <c r="DC63" i="27"/>
  <c r="DD63" i="27"/>
  <c r="DE63" i="27"/>
  <c r="DF63" i="27"/>
  <c r="DG63" i="27"/>
  <c r="DH63" i="27"/>
  <c r="DI63" i="27"/>
  <c r="DJ63" i="27"/>
  <c r="DK63" i="27"/>
  <c r="DL63" i="27"/>
  <c r="DM63" i="27"/>
  <c r="DN63" i="27"/>
  <c r="DO63" i="27"/>
  <c r="DP63" i="27"/>
  <c r="DQ63" i="27"/>
  <c r="DR63" i="27"/>
  <c r="DS63" i="27"/>
  <c r="DT63" i="27"/>
  <c r="DU63" i="27"/>
  <c r="DV63" i="27"/>
  <c r="DW63" i="27"/>
  <c r="DX63" i="27"/>
  <c r="DY63" i="27"/>
  <c r="DZ63" i="27"/>
  <c r="EA63" i="27"/>
  <c r="EB63" i="27"/>
  <c r="EC63" i="27"/>
  <c r="ED63" i="27"/>
  <c r="EE63" i="27"/>
  <c r="EF63" i="27"/>
  <c r="EG63" i="27"/>
  <c r="EH63" i="27"/>
  <c r="EI63" i="27"/>
  <c r="EJ63" i="27"/>
  <c r="EK63" i="27"/>
  <c r="EL63" i="27"/>
  <c r="EM63" i="27"/>
  <c r="EN63" i="27"/>
  <c r="EO63" i="27"/>
  <c r="EP63" i="27"/>
  <c r="EQ63" i="27"/>
  <c r="ER63" i="27"/>
  <c r="ES63" i="27"/>
  <c r="ET63" i="27"/>
  <c r="EU63" i="27"/>
  <c r="EV63" i="27"/>
  <c r="EW63" i="27"/>
  <c r="EX63" i="27"/>
  <c r="EY63" i="27"/>
  <c r="EZ63" i="27"/>
  <c r="FA63" i="27"/>
  <c r="FB63" i="27"/>
  <c r="FC63" i="27"/>
  <c r="FD63" i="27"/>
  <c r="FE63" i="27"/>
  <c r="FF63" i="27"/>
  <c r="FG63" i="27"/>
  <c r="FH63" i="27"/>
  <c r="FI63" i="27"/>
  <c r="FJ63" i="27"/>
  <c r="FK63" i="27"/>
  <c r="FL63" i="27"/>
  <c r="FM63" i="27"/>
  <c r="FN63" i="27"/>
  <c r="FO63" i="27"/>
  <c r="FP63" i="27"/>
  <c r="FQ63" i="27"/>
  <c r="FR63" i="27"/>
  <c r="FS63" i="27"/>
  <c r="FT63" i="27"/>
  <c r="FU63" i="27"/>
  <c r="FV63" i="27"/>
  <c r="FW63" i="27"/>
  <c r="FX63" i="27"/>
  <c r="FY63" i="27"/>
  <c r="FZ63" i="27"/>
  <c r="GA63" i="27"/>
  <c r="GB63" i="27"/>
  <c r="GC63" i="27"/>
  <c r="GD63" i="27"/>
  <c r="GE63" i="27"/>
  <c r="GF63" i="27"/>
  <c r="GG63" i="27"/>
  <c r="GH63" i="27"/>
  <c r="GI63" i="27"/>
  <c r="GJ63" i="27"/>
  <c r="GK63" i="27"/>
  <c r="GL63" i="27"/>
  <c r="GM63" i="27"/>
  <c r="GN63" i="27"/>
  <c r="GO63" i="27"/>
  <c r="GP63" i="27"/>
  <c r="GQ63" i="27"/>
  <c r="GR63" i="27"/>
  <c r="GS63" i="27"/>
  <c r="GT63" i="27"/>
  <c r="GU63" i="27"/>
  <c r="GV63" i="27"/>
  <c r="GW63" i="27"/>
  <c r="GX63" i="27"/>
  <c r="GY63" i="27"/>
  <c r="GZ63" i="27"/>
  <c r="HA63" i="27"/>
  <c r="HB63" i="27"/>
  <c r="HC63" i="27"/>
  <c r="HD63" i="27"/>
  <c r="HE63" i="27"/>
  <c r="HF63" i="27"/>
  <c r="HG63" i="27"/>
  <c r="HH63" i="27"/>
  <c r="HI63" i="27"/>
  <c r="HJ63" i="27"/>
  <c r="HK63" i="27"/>
  <c r="HL63" i="27"/>
  <c r="HM63" i="27"/>
  <c r="HN63" i="27"/>
  <c r="HO63" i="27"/>
  <c r="HP63" i="27"/>
  <c r="HQ63" i="27"/>
  <c r="HR63" i="27"/>
  <c r="HS63" i="27"/>
  <c r="HT63" i="27"/>
  <c r="HU63" i="27"/>
  <c r="HV63" i="27"/>
  <c r="HW63" i="27"/>
  <c r="HX63" i="27"/>
  <c r="HY63" i="27"/>
  <c r="HZ63" i="27"/>
  <c r="IA63" i="27"/>
  <c r="IB63" i="27"/>
  <c r="IC63" i="27"/>
  <c r="ID63" i="27"/>
  <c r="IE63" i="27"/>
  <c r="IF63" i="27"/>
  <c r="IG63" i="27"/>
  <c r="IH63" i="27"/>
  <c r="II63" i="27"/>
  <c r="IJ63" i="27"/>
  <c r="IK63" i="27"/>
  <c r="IL63" i="27"/>
  <c r="IM63" i="27"/>
  <c r="IN63" i="27"/>
  <c r="IO63" i="27"/>
  <c r="IP63" i="27"/>
  <c r="IQ63" i="27"/>
  <c r="IR63" i="27"/>
  <c r="IS63" i="27"/>
  <c r="IT63" i="27"/>
  <c r="IU63" i="27"/>
  <c r="IV63" i="27"/>
  <c r="B62" i="27"/>
  <c r="C62" i="27"/>
  <c r="D62" i="27"/>
  <c r="E62" i="27"/>
  <c r="F62" i="27"/>
  <c r="G62" i="27"/>
  <c r="H62" i="27"/>
  <c r="I62" i="27"/>
  <c r="J62" i="27"/>
  <c r="K62" i="27"/>
  <c r="L62" i="27"/>
  <c r="M62" i="27"/>
  <c r="N62" i="27"/>
  <c r="O62" i="27"/>
  <c r="P62" i="27"/>
  <c r="Q62" i="27"/>
  <c r="R62" i="27"/>
  <c r="S62" i="27"/>
  <c r="T62" i="27"/>
  <c r="U62" i="27"/>
  <c r="V62" i="27"/>
  <c r="W62" i="27"/>
  <c r="X62" i="27"/>
  <c r="Y62" i="27"/>
  <c r="Z62" i="27"/>
  <c r="AA62" i="27"/>
  <c r="AB62" i="27"/>
  <c r="AC62" i="27"/>
  <c r="AD62" i="27"/>
  <c r="AE62" i="27"/>
  <c r="AF62" i="27"/>
  <c r="AG62" i="27"/>
  <c r="AH62" i="27"/>
  <c r="AI62" i="27"/>
  <c r="AJ62" i="27"/>
  <c r="AK62" i="27"/>
  <c r="AL62" i="27"/>
  <c r="AM62" i="27"/>
  <c r="AN62" i="27"/>
  <c r="AO62" i="27"/>
  <c r="AP62" i="27"/>
  <c r="AQ62" i="27"/>
  <c r="AR62" i="27"/>
  <c r="AS62" i="27"/>
  <c r="AT62" i="27"/>
  <c r="AU62" i="27"/>
  <c r="AV62" i="27"/>
  <c r="AW62" i="27"/>
  <c r="AX62" i="27"/>
  <c r="AY62" i="27"/>
  <c r="AZ62" i="27"/>
  <c r="BA62" i="27"/>
  <c r="BB62" i="27"/>
  <c r="BC62" i="27"/>
  <c r="BD62" i="27"/>
  <c r="BE62" i="27"/>
  <c r="BF62" i="27"/>
  <c r="BG62" i="27"/>
  <c r="BH62" i="27"/>
  <c r="BI62" i="27"/>
  <c r="BJ62" i="27"/>
  <c r="BK62" i="27"/>
  <c r="BL62" i="27"/>
  <c r="BM62" i="27"/>
  <c r="BN62" i="27"/>
  <c r="BO62" i="27"/>
  <c r="BP62" i="27"/>
  <c r="BQ62" i="27"/>
  <c r="BR62" i="27"/>
  <c r="BS62" i="27"/>
  <c r="BT62" i="27"/>
  <c r="BU62" i="27"/>
  <c r="BV62" i="27"/>
  <c r="BW62" i="27"/>
  <c r="BX62" i="27"/>
  <c r="BY62" i="27"/>
  <c r="BZ62" i="27"/>
  <c r="CA62" i="27"/>
  <c r="CB62" i="27"/>
  <c r="CC62" i="27"/>
  <c r="CD62" i="27"/>
  <c r="CE62" i="27"/>
  <c r="CF62" i="27"/>
  <c r="CG62" i="27"/>
  <c r="CH62" i="27"/>
  <c r="CI62" i="27"/>
  <c r="CJ62" i="27"/>
  <c r="CK62" i="27"/>
  <c r="CL62" i="27"/>
  <c r="CM62" i="27"/>
  <c r="CN62" i="27"/>
  <c r="CO62" i="27"/>
  <c r="CP62" i="27"/>
  <c r="CQ62" i="27"/>
  <c r="CR62" i="27"/>
  <c r="CS62" i="27"/>
  <c r="CT62" i="27"/>
  <c r="CU62" i="27"/>
  <c r="CV62" i="27"/>
  <c r="CW62" i="27"/>
  <c r="CX62" i="27"/>
  <c r="CY62" i="27"/>
  <c r="CZ62" i="27"/>
  <c r="DA62" i="27"/>
  <c r="DB62" i="27"/>
  <c r="DC62" i="27"/>
  <c r="DD62" i="27"/>
  <c r="DE62" i="27"/>
  <c r="DF62" i="27"/>
  <c r="DG62" i="27"/>
  <c r="DH62" i="27"/>
  <c r="DI62" i="27"/>
  <c r="DJ62" i="27"/>
  <c r="DK62" i="27"/>
  <c r="DL62" i="27"/>
  <c r="DM62" i="27"/>
  <c r="DN62" i="27"/>
  <c r="DO62" i="27"/>
  <c r="DP62" i="27"/>
  <c r="DQ62" i="27"/>
  <c r="DR62" i="27"/>
  <c r="DS62" i="27"/>
  <c r="DT62" i="27"/>
  <c r="DU62" i="27"/>
  <c r="DV62" i="27"/>
  <c r="DW62" i="27"/>
  <c r="DX62" i="27"/>
  <c r="DY62" i="27"/>
  <c r="DZ62" i="27"/>
  <c r="EA62" i="27"/>
  <c r="EB62" i="27"/>
  <c r="EC62" i="27"/>
  <c r="ED62" i="27"/>
  <c r="EE62" i="27"/>
  <c r="EF62" i="27"/>
  <c r="EG62" i="27"/>
  <c r="EH62" i="27"/>
  <c r="EI62" i="27"/>
  <c r="EJ62" i="27"/>
  <c r="EK62" i="27"/>
  <c r="EL62" i="27"/>
  <c r="EM62" i="27"/>
  <c r="EN62" i="27"/>
  <c r="EO62" i="27"/>
  <c r="EP62" i="27"/>
  <c r="EQ62" i="27"/>
  <c r="ER62" i="27"/>
  <c r="ES62" i="27"/>
  <c r="ET62" i="27"/>
  <c r="EU62" i="27"/>
  <c r="EV62" i="27"/>
  <c r="EW62" i="27"/>
  <c r="EX62" i="27"/>
  <c r="EY62" i="27"/>
  <c r="EZ62" i="27"/>
  <c r="FA62" i="27"/>
  <c r="FB62" i="27"/>
  <c r="FC62" i="27"/>
  <c r="FD62" i="27"/>
  <c r="FE62" i="27"/>
  <c r="FF62" i="27"/>
  <c r="FG62" i="27"/>
  <c r="FH62" i="27"/>
  <c r="FI62" i="27"/>
  <c r="FJ62" i="27"/>
  <c r="FK62" i="27"/>
  <c r="FL62" i="27"/>
  <c r="FM62" i="27"/>
  <c r="FN62" i="27"/>
  <c r="FO62" i="27"/>
  <c r="FP62" i="27"/>
  <c r="FQ62" i="27"/>
  <c r="FR62" i="27"/>
  <c r="FS62" i="27"/>
  <c r="FT62" i="27"/>
  <c r="FU62" i="27"/>
  <c r="FV62" i="27"/>
  <c r="FW62" i="27"/>
  <c r="FX62" i="27"/>
  <c r="FY62" i="27"/>
  <c r="FZ62" i="27"/>
  <c r="GA62" i="27"/>
  <c r="GB62" i="27"/>
  <c r="GC62" i="27"/>
  <c r="GD62" i="27"/>
  <c r="GE62" i="27"/>
  <c r="GF62" i="27"/>
  <c r="GG62" i="27"/>
  <c r="GH62" i="27"/>
  <c r="GI62" i="27"/>
  <c r="GJ62" i="27"/>
  <c r="GK62" i="27"/>
  <c r="GL62" i="27"/>
  <c r="GM62" i="27"/>
  <c r="GN62" i="27"/>
  <c r="GO62" i="27"/>
  <c r="GP62" i="27"/>
  <c r="GQ62" i="27"/>
  <c r="GR62" i="27"/>
  <c r="GS62" i="27"/>
  <c r="GT62" i="27"/>
  <c r="GU62" i="27"/>
  <c r="GV62" i="27"/>
  <c r="GW62" i="27"/>
  <c r="GX62" i="27"/>
  <c r="GY62" i="27"/>
  <c r="GZ62" i="27"/>
  <c r="HA62" i="27"/>
  <c r="HB62" i="27"/>
  <c r="HC62" i="27"/>
  <c r="HD62" i="27"/>
  <c r="HE62" i="27"/>
  <c r="HF62" i="27"/>
  <c r="HG62" i="27"/>
  <c r="HH62" i="27"/>
  <c r="HI62" i="27"/>
  <c r="HJ62" i="27"/>
  <c r="HK62" i="27"/>
  <c r="HL62" i="27"/>
  <c r="HM62" i="27"/>
  <c r="HN62" i="27"/>
  <c r="HO62" i="27"/>
  <c r="HP62" i="27"/>
  <c r="HQ62" i="27"/>
  <c r="HR62" i="27"/>
  <c r="HS62" i="27"/>
  <c r="HT62" i="27"/>
  <c r="HU62" i="27"/>
  <c r="HV62" i="27"/>
  <c r="HW62" i="27"/>
  <c r="HX62" i="27"/>
  <c r="HY62" i="27"/>
  <c r="HZ62" i="27"/>
  <c r="IA62" i="27"/>
  <c r="IB62" i="27"/>
  <c r="IC62" i="27"/>
  <c r="ID62" i="27"/>
  <c r="IE62" i="27"/>
  <c r="IF62" i="27"/>
  <c r="IG62" i="27"/>
  <c r="IH62" i="27"/>
  <c r="II62" i="27"/>
  <c r="IJ62" i="27"/>
  <c r="IK62" i="27"/>
  <c r="IL62" i="27"/>
  <c r="IM62" i="27"/>
  <c r="IN62" i="27"/>
  <c r="IO62" i="27"/>
  <c r="IP62" i="27"/>
  <c r="IQ62" i="27"/>
  <c r="IR62" i="27"/>
  <c r="IS62" i="27"/>
  <c r="IT62" i="27"/>
  <c r="IU62" i="27"/>
  <c r="IV62" i="27"/>
  <c r="A61" i="27"/>
  <c r="B61" i="27"/>
  <c r="C61" i="27"/>
  <c r="D61" i="27"/>
  <c r="F61" i="27"/>
  <c r="G61" i="27"/>
  <c r="H61" i="27"/>
  <c r="I61" i="27"/>
  <c r="J61" i="27"/>
  <c r="K61" i="27"/>
  <c r="L61" i="27"/>
  <c r="M61" i="27"/>
  <c r="N61" i="27"/>
  <c r="O61" i="27"/>
  <c r="P61" i="27"/>
  <c r="Q61" i="27"/>
  <c r="R61" i="27"/>
  <c r="S61" i="27"/>
  <c r="T61" i="27"/>
  <c r="U61" i="27"/>
  <c r="V61" i="27"/>
  <c r="W61" i="27"/>
  <c r="X61" i="27"/>
  <c r="Y61" i="27"/>
  <c r="Z61" i="27"/>
  <c r="AA61" i="27"/>
  <c r="AB61" i="27"/>
  <c r="AC61" i="27"/>
  <c r="AD61" i="27"/>
  <c r="AE61" i="27"/>
  <c r="AF61" i="27"/>
  <c r="AG61" i="27"/>
  <c r="AH61" i="27"/>
  <c r="AI61" i="27"/>
  <c r="AJ61" i="27"/>
  <c r="AK61" i="27"/>
  <c r="AL61" i="27"/>
  <c r="AM61" i="27"/>
  <c r="AN61" i="27"/>
  <c r="AO61" i="27"/>
  <c r="AP61" i="27"/>
  <c r="AQ61" i="27"/>
  <c r="AR61" i="27"/>
  <c r="AS61" i="27"/>
  <c r="AT61" i="27"/>
  <c r="AU61" i="27"/>
  <c r="AV61" i="27"/>
  <c r="AW61" i="27"/>
  <c r="AX61" i="27"/>
  <c r="AY61" i="27"/>
  <c r="AZ61" i="27"/>
  <c r="BA61" i="27"/>
  <c r="BB61" i="27"/>
  <c r="BC61" i="27"/>
  <c r="BD61" i="27"/>
  <c r="BE61" i="27"/>
  <c r="BF61" i="27"/>
  <c r="BG61" i="27"/>
  <c r="BH61" i="27"/>
  <c r="BI61" i="27"/>
  <c r="BJ61" i="27"/>
  <c r="BK61" i="27"/>
  <c r="BL61" i="27"/>
  <c r="BM61" i="27"/>
  <c r="BN61" i="27"/>
  <c r="BO61" i="27"/>
  <c r="BP61" i="27"/>
  <c r="BQ61" i="27"/>
  <c r="BR61" i="27"/>
  <c r="BS61" i="27"/>
  <c r="BT61" i="27"/>
  <c r="BU61" i="27"/>
  <c r="BV61" i="27"/>
  <c r="BW61" i="27"/>
  <c r="BX61" i="27"/>
  <c r="BY61" i="27"/>
  <c r="BZ61" i="27"/>
  <c r="CA61" i="27"/>
  <c r="CB61" i="27"/>
  <c r="CC61" i="27"/>
  <c r="CD61" i="27"/>
  <c r="CE61" i="27"/>
  <c r="CF61" i="27"/>
  <c r="CG61" i="27"/>
  <c r="CH61" i="27"/>
  <c r="CI61" i="27"/>
  <c r="CJ61" i="27"/>
  <c r="CK61" i="27"/>
  <c r="CL61" i="27"/>
  <c r="CM61" i="27"/>
  <c r="CN61" i="27"/>
  <c r="CO61" i="27"/>
  <c r="CP61" i="27"/>
  <c r="CQ61" i="27"/>
  <c r="CR61" i="27"/>
  <c r="CS61" i="27"/>
  <c r="CT61" i="27"/>
  <c r="CU61" i="27"/>
  <c r="CV61" i="27"/>
  <c r="CW61" i="27"/>
  <c r="CX61" i="27"/>
  <c r="CY61" i="27"/>
  <c r="CZ61" i="27"/>
  <c r="DA61" i="27"/>
  <c r="DB61" i="27"/>
  <c r="DC61" i="27"/>
  <c r="DD61" i="27"/>
  <c r="DE61" i="27"/>
  <c r="DF61" i="27"/>
  <c r="DG61" i="27"/>
  <c r="DH61" i="27"/>
  <c r="DI61" i="27"/>
  <c r="DJ61" i="27"/>
  <c r="DK61" i="27"/>
  <c r="DL61" i="27"/>
  <c r="DM61" i="27"/>
  <c r="DN61" i="27"/>
  <c r="DO61" i="27"/>
  <c r="DP61" i="27"/>
  <c r="DQ61" i="27"/>
  <c r="DR61" i="27"/>
  <c r="DS61" i="27"/>
  <c r="DT61" i="27"/>
  <c r="DU61" i="27"/>
  <c r="DV61" i="27"/>
  <c r="DW61" i="27"/>
  <c r="DX61" i="27"/>
  <c r="DY61" i="27"/>
  <c r="DZ61" i="27"/>
  <c r="EA61" i="27"/>
  <c r="EB61" i="27"/>
  <c r="EC61" i="27"/>
  <c r="ED61" i="27"/>
  <c r="EE61" i="27"/>
  <c r="EF61" i="27"/>
  <c r="EG61" i="27"/>
  <c r="EH61" i="27"/>
  <c r="EI61" i="27"/>
  <c r="EJ61" i="27"/>
  <c r="EK61" i="27"/>
  <c r="EL61" i="27"/>
  <c r="EM61" i="27"/>
  <c r="EN61" i="27"/>
  <c r="EO61" i="27"/>
  <c r="EP61" i="27"/>
  <c r="EQ61" i="27"/>
  <c r="ER61" i="27"/>
  <c r="ES61" i="27"/>
  <c r="ET61" i="27"/>
  <c r="EU61" i="27"/>
  <c r="EV61" i="27"/>
  <c r="EW61" i="27"/>
  <c r="EX61" i="27"/>
  <c r="EY61" i="27"/>
  <c r="EZ61" i="27"/>
  <c r="FA61" i="27"/>
  <c r="FB61" i="27"/>
  <c r="FC61" i="27"/>
  <c r="FD61" i="27"/>
  <c r="FE61" i="27"/>
  <c r="FF61" i="27"/>
  <c r="FG61" i="27"/>
  <c r="FH61" i="27"/>
  <c r="FI61" i="27"/>
  <c r="FJ61" i="27"/>
  <c r="FK61" i="27"/>
  <c r="FL61" i="27"/>
  <c r="FM61" i="27"/>
  <c r="FN61" i="27"/>
  <c r="FO61" i="27"/>
  <c r="FP61" i="27"/>
  <c r="FQ61" i="27"/>
  <c r="FR61" i="27"/>
  <c r="FS61" i="27"/>
  <c r="FT61" i="27"/>
  <c r="FU61" i="27"/>
  <c r="FV61" i="27"/>
  <c r="FW61" i="27"/>
  <c r="FX61" i="27"/>
  <c r="FY61" i="27"/>
  <c r="FZ61" i="27"/>
  <c r="GA61" i="27"/>
  <c r="GB61" i="27"/>
  <c r="GC61" i="27"/>
  <c r="GD61" i="27"/>
  <c r="GE61" i="27"/>
  <c r="GF61" i="27"/>
  <c r="GG61" i="27"/>
  <c r="GH61" i="27"/>
  <c r="GI61" i="27"/>
  <c r="GJ61" i="27"/>
  <c r="GK61" i="27"/>
  <c r="GL61" i="27"/>
  <c r="GM61" i="27"/>
  <c r="GN61" i="27"/>
  <c r="GO61" i="27"/>
  <c r="GP61" i="27"/>
  <c r="GQ61" i="27"/>
  <c r="GR61" i="27"/>
  <c r="GS61" i="27"/>
  <c r="GT61" i="27"/>
  <c r="GU61" i="27"/>
  <c r="GV61" i="27"/>
  <c r="GW61" i="27"/>
  <c r="GX61" i="27"/>
  <c r="GY61" i="27"/>
  <c r="GZ61" i="27"/>
  <c r="HA61" i="27"/>
  <c r="HB61" i="27"/>
  <c r="HC61" i="27"/>
  <c r="HD61" i="27"/>
  <c r="HE61" i="27"/>
  <c r="HF61" i="27"/>
  <c r="HG61" i="27"/>
  <c r="HH61" i="27"/>
  <c r="HI61" i="27"/>
  <c r="HJ61" i="27"/>
  <c r="HK61" i="27"/>
  <c r="HL61" i="27"/>
  <c r="HM61" i="27"/>
  <c r="HN61" i="27"/>
  <c r="HO61" i="27"/>
  <c r="HP61" i="27"/>
  <c r="HQ61" i="27"/>
  <c r="HR61" i="27"/>
  <c r="HS61" i="27"/>
  <c r="HT61" i="27"/>
  <c r="HU61" i="27"/>
  <c r="HV61" i="27"/>
  <c r="HW61" i="27"/>
  <c r="HX61" i="27"/>
  <c r="HY61" i="27"/>
  <c r="HZ61" i="27"/>
  <c r="IA61" i="27"/>
  <c r="IB61" i="27"/>
  <c r="IC61" i="27"/>
  <c r="ID61" i="27"/>
  <c r="IE61" i="27"/>
  <c r="IF61" i="27"/>
  <c r="IG61" i="27"/>
  <c r="IH61" i="27"/>
  <c r="II61" i="27"/>
  <c r="IJ61" i="27"/>
  <c r="IK61" i="27"/>
  <c r="IL61" i="27"/>
  <c r="IM61" i="27"/>
  <c r="IN61" i="27"/>
  <c r="IO61" i="27"/>
  <c r="IP61" i="27"/>
  <c r="IQ61" i="27"/>
  <c r="IR61" i="27"/>
  <c r="IS61" i="27"/>
  <c r="IT61" i="27"/>
  <c r="IU61" i="27"/>
  <c r="IV61" i="27"/>
  <c r="A60" i="27"/>
  <c r="B60" i="27"/>
  <c r="C60" i="27"/>
  <c r="D60" i="27"/>
  <c r="E60" i="27"/>
  <c r="F60" i="27"/>
  <c r="G60" i="27"/>
  <c r="H60" i="27"/>
  <c r="J60" i="27"/>
  <c r="K60" i="27"/>
  <c r="L60" i="27"/>
  <c r="M60" i="27"/>
  <c r="N60" i="27"/>
  <c r="O60" i="27"/>
  <c r="P60" i="27"/>
  <c r="Q60" i="27"/>
  <c r="R60" i="27"/>
  <c r="S60" i="27"/>
  <c r="T60" i="27"/>
  <c r="U60" i="27"/>
  <c r="V60" i="27"/>
  <c r="W60" i="27"/>
  <c r="X60" i="27"/>
  <c r="Y60" i="27"/>
  <c r="Z60" i="27"/>
  <c r="AA60" i="27"/>
  <c r="AB60" i="27"/>
  <c r="AC60" i="27"/>
  <c r="AD60" i="27"/>
  <c r="AE60" i="27"/>
  <c r="AF60" i="27"/>
  <c r="AG60" i="27"/>
  <c r="AH60" i="27"/>
  <c r="AI60" i="27"/>
  <c r="AJ60" i="27"/>
  <c r="AK60" i="27"/>
  <c r="AL60" i="27"/>
  <c r="AM60" i="27"/>
  <c r="AN60" i="27"/>
  <c r="AO60" i="27"/>
  <c r="AP60" i="27"/>
  <c r="AQ60" i="27"/>
  <c r="AR60" i="27"/>
  <c r="AS60" i="27"/>
  <c r="AT60" i="27"/>
  <c r="AU60" i="27"/>
  <c r="AV60" i="27"/>
  <c r="AW60" i="27"/>
  <c r="AX60" i="27"/>
  <c r="AY60" i="27"/>
  <c r="AZ60" i="27"/>
  <c r="BA60" i="27"/>
  <c r="BB60" i="27"/>
  <c r="BC60" i="27"/>
  <c r="BD60" i="27"/>
  <c r="BE60" i="27"/>
  <c r="BF60" i="27"/>
  <c r="BG60" i="27"/>
  <c r="BH60" i="27"/>
  <c r="BI60" i="27"/>
  <c r="BJ60" i="27"/>
  <c r="BK60" i="27"/>
  <c r="BL60" i="27"/>
  <c r="BM60" i="27"/>
  <c r="BN60" i="27"/>
  <c r="BO60" i="27"/>
  <c r="BP60" i="27"/>
  <c r="BQ60" i="27"/>
  <c r="BR60" i="27"/>
  <c r="BS60" i="27"/>
  <c r="BT60" i="27"/>
  <c r="BU60" i="27"/>
  <c r="BV60" i="27"/>
  <c r="BW60" i="27"/>
  <c r="BX60" i="27"/>
  <c r="BY60" i="27"/>
  <c r="BZ60" i="27"/>
  <c r="CA60" i="27"/>
  <c r="CB60" i="27"/>
  <c r="CC60" i="27"/>
  <c r="CD60" i="27"/>
  <c r="CE60" i="27"/>
  <c r="CF60" i="27"/>
  <c r="CG60" i="27"/>
  <c r="CH60" i="27"/>
  <c r="CI60" i="27"/>
  <c r="CJ60" i="27"/>
  <c r="CK60" i="27"/>
  <c r="CL60" i="27"/>
  <c r="CM60" i="27"/>
  <c r="CN60" i="27"/>
  <c r="CO60" i="27"/>
  <c r="CP60" i="27"/>
  <c r="CQ60" i="27"/>
  <c r="CR60" i="27"/>
  <c r="CS60" i="27"/>
  <c r="CT60" i="27"/>
  <c r="CU60" i="27"/>
  <c r="CV60" i="27"/>
  <c r="CW60" i="27"/>
  <c r="CX60" i="27"/>
  <c r="CY60" i="27"/>
  <c r="CZ60" i="27"/>
  <c r="DA60" i="27"/>
  <c r="DB60" i="27"/>
  <c r="DC60" i="27"/>
  <c r="DD60" i="27"/>
  <c r="DE60" i="27"/>
  <c r="DF60" i="27"/>
  <c r="DG60" i="27"/>
  <c r="DH60" i="27"/>
  <c r="DI60" i="27"/>
  <c r="DJ60" i="27"/>
  <c r="DK60" i="27"/>
  <c r="DL60" i="27"/>
  <c r="DM60" i="27"/>
  <c r="DN60" i="27"/>
  <c r="DO60" i="27"/>
  <c r="DP60" i="27"/>
  <c r="DQ60" i="27"/>
  <c r="DR60" i="27"/>
  <c r="DS60" i="27"/>
  <c r="DT60" i="27"/>
  <c r="DU60" i="27"/>
  <c r="DV60" i="27"/>
  <c r="DW60" i="27"/>
  <c r="DX60" i="27"/>
  <c r="DY60" i="27"/>
  <c r="DZ60" i="27"/>
  <c r="EA60" i="27"/>
  <c r="EB60" i="27"/>
  <c r="EC60" i="27"/>
  <c r="ED60" i="27"/>
  <c r="EE60" i="27"/>
  <c r="EF60" i="27"/>
  <c r="EG60" i="27"/>
  <c r="EH60" i="27"/>
  <c r="EI60" i="27"/>
  <c r="EJ60" i="27"/>
  <c r="EK60" i="27"/>
  <c r="EL60" i="27"/>
  <c r="EM60" i="27"/>
  <c r="EN60" i="27"/>
  <c r="EO60" i="27"/>
  <c r="EP60" i="27"/>
  <c r="EQ60" i="27"/>
  <c r="ER60" i="27"/>
  <c r="ES60" i="27"/>
  <c r="ET60" i="27"/>
  <c r="EU60" i="27"/>
  <c r="EV60" i="27"/>
  <c r="EW60" i="27"/>
  <c r="EX60" i="27"/>
  <c r="EY60" i="27"/>
  <c r="EZ60" i="27"/>
  <c r="FA60" i="27"/>
  <c r="FB60" i="27"/>
  <c r="FC60" i="27"/>
  <c r="FD60" i="27"/>
  <c r="FE60" i="27"/>
  <c r="FF60" i="27"/>
  <c r="FG60" i="27"/>
  <c r="FH60" i="27"/>
  <c r="FI60" i="27"/>
  <c r="FJ60" i="27"/>
  <c r="FK60" i="27"/>
  <c r="FL60" i="27"/>
  <c r="FM60" i="27"/>
  <c r="FN60" i="27"/>
  <c r="FO60" i="27"/>
  <c r="FP60" i="27"/>
  <c r="FQ60" i="27"/>
  <c r="FR60" i="27"/>
  <c r="FS60" i="27"/>
  <c r="FT60" i="27"/>
  <c r="FU60" i="27"/>
  <c r="FV60" i="27"/>
  <c r="FW60" i="27"/>
  <c r="FX60" i="27"/>
  <c r="FY60" i="27"/>
  <c r="FZ60" i="27"/>
  <c r="GA60" i="27"/>
  <c r="GB60" i="27"/>
  <c r="GC60" i="27"/>
  <c r="GD60" i="27"/>
  <c r="GE60" i="27"/>
  <c r="GF60" i="27"/>
  <c r="GG60" i="27"/>
  <c r="GH60" i="27"/>
  <c r="GI60" i="27"/>
  <c r="GJ60" i="27"/>
  <c r="GK60" i="27"/>
  <c r="GL60" i="27"/>
  <c r="GM60" i="27"/>
  <c r="GN60" i="27"/>
  <c r="GO60" i="27"/>
  <c r="GP60" i="27"/>
  <c r="GQ60" i="27"/>
  <c r="GR60" i="27"/>
  <c r="GS60" i="27"/>
  <c r="GT60" i="27"/>
  <c r="GU60" i="27"/>
  <c r="GV60" i="27"/>
  <c r="GW60" i="27"/>
  <c r="GX60" i="27"/>
  <c r="GY60" i="27"/>
  <c r="GZ60" i="27"/>
  <c r="HA60" i="27"/>
  <c r="HB60" i="27"/>
  <c r="HC60" i="27"/>
  <c r="HD60" i="27"/>
  <c r="HE60" i="27"/>
  <c r="HF60" i="27"/>
  <c r="HG60" i="27"/>
  <c r="HH60" i="27"/>
  <c r="HI60" i="27"/>
  <c r="HJ60" i="27"/>
  <c r="HK60" i="27"/>
  <c r="HL60" i="27"/>
  <c r="HM60" i="27"/>
  <c r="HN60" i="27"/>
  <c r="HO60" i="27"/>
  <c r="HP60" i="27"/>
  <c r="HQ60" i="27"/>
  <c r="HR60" i="27"/>
  <c r="HS60" i="27"/>
  <c r="HT60" i="27"/>
  <c r="HU60" i="27"/>
  <c r="HV60" i="27"/>
  <c r="HW60" i="27"/>
  <c r="HX60" i="27"/>
  <c r="HY60" i="27"/>
  <c r="HZ60" i="27"/>
  <c r="IA60" i="27"/>
  <c r="IB60" i="27"/>
  <c r="IC60" i="27"/>
  <c r="ID60" i="27"/>
  <c r="IE60" i="27"/>
  <c r="IF60" i="27"/>
  <c r="IG60" i="27"/>
  <c r="IH60" i="27"/>
  <c r="II60" i="27"/>
  <c r="IJ60" i="27"/>
  <c r="IK60" i="27"/>
  <c r="IL60" i="27"/>
  <c r="IM60" i="27"/>
  <c r="IN60" i="27"/>
  <c r="IO60" i="27"/>
  <c r="IP60" i="27"/>
  <c r="IQ60" i="27"/>
  <c r="IR60" i="27"/>
  <c r="IS60" i="27"/>
  <c r="IT60" i="27"/>
  <c r="IU60" i="27"/>
  <c r="IV60" i="27"/>
  <c r="A59" i="27"/>
  <c r="B59" i="27"/>
  <c r="C59" i="27"/>
  <c r="E59" i="27"/>
  <c r="F59" i="27"/>
  <c r="G59" i="27"/>
  <c r="H59" i="27"/>
  <c r="I59" i="27"/>
  <c r="J59" i="27"/>
  <c r="K59" i="27"/>
  <c r="L59" i="27"/>
  <c r="M59" i="27"/>
  <c r="N59" i="27"/>
  <c r="O59" i="27"/>
  <c r="P59" i="27"/>
  <c r="Q59" i="27"/>
  <c r="R59" i="27"/>
  <c r="S59" i="27"/>
  <c r="T59" i="27"/>
  <c r="U59" i="27"/>
  <c r="V59" i="27"/>
  <c r="W59" i="27"/>
  <c r="X59" i="27"/>
  <c r="Y59" i="27"/>
  <c r="Z59" i="27"/>
  <c r="AA59" i="27"/>
  <c r="AB59" i="27"/>
  <c r="AC59" i="27"/>
  <c r="AD59" i="27"/>
  <c r="AE59" i="27"/>
  <c r="AF59" i="27"/>
  <c r="AG59" i="27"/>
  <c r="AH59" i="27"/>
  <c r="AI59" i="27"/>
  <c r="AJ59" i="27"/>
  <c r="AK59" i="27"/>
  <c r="AL59" i="27"/>
  <c r="AM59" i="27"/>
  <c r="AN59" i="27"/>
  <c r="AO59" i="27"/>
  <c r="AP59" i="27"/>
  <c r="AQ59" i="27"/>
  <c r="AR59" i="27"/>
  <c r="AS59" i="27"/>
  <c r="AT59" i="27"/>
  <c r="AU59" i="27"/>
  <c r="AV59" i="27"/>
  <c r="AW59" i="27"/>
  <c r="AX59" i="27"/>
  <c r="AY59" i="27"/>
  <c r="AZ59" i="27"/>
  <c r="BA59" i="27"/>
  <c r="BB59" i="27"/>
  <c r="BC59" i="27"/>
  <c r="BD59" i="27"/>
  <c r="BE59" i="27"/>
  <c r="BF59" i="27"/>
  <c r="BG59" i="27"/>
  <c r="BH59" i="27"/>
  <c r="BI59" i="27"/>
  <c r="BJ59" i="27"/>
  <c r="BK59" i="27"/>
  <c r="BL59" i="27"/>
  <c r="BM59" i="27"/>
  <c r="BN59" i="27"/>
  <c r="BO59" i="27"/>
  <c r="BP59" i="27"/>
  <c r="BQ59" i="27"/>
  <c r="BR59" i="27"/>
  <c r="BS59" i="27"/>
  <c r="BT59" i="27"/>
  <c r="BU59" i="27"/>
  <c r="BV59" i="27"/>
  <c r="BW59" i="27"/>
  <c r="BX59" i="27"/>
  <c r="BY59" i="27"/>
  <c r="BZ59" i="27"/>
  <c r="CA59" i="27"/>
  <c r="CB59" i="27"/>
  <c r="CC59" i="27"/>
  <c r="CD59" i="27"/>
  <c r="CE59" i="27"/>
  <c r="CF59" i="27"/>
  <c r="CG59" i="27"/>
  <c r="CH59" i="27"/>
  <c r="CI59" i="27"/>
  <c r="CJ59" i="27"/>
  <c r="CK59" i="27"/>
  <c r="CL59" i="27"/>
  <c r="CM59" i="27"/>
  <c r="CN59" i="27"/>
  <c r="CO59" i="27"/>
  <c r="CP59" i="27"/>
  <c r="CQ59" i="27"/>
  <c r="CR59" i="27"/>
  <c r="CS59" i="27"/>
  <c r="CT59" i="27"/>
  <c r="CU59" i="27"/>
  <c r="CV59" i="27"/>
  <c r="CW59" i="27"/>
  <c r="CX59" i="27"/>
  <c r="CY59" i="27"/>
  <c r="CZ59" i="27"/>
  <c r="DA59" i="27"/>
  <c r="DB59" i="27"/>
  <c r="DC59" i="27"/>
  <c r="DD59" i="27"/>
  <c r="DE59" i="27"/>
  <c r="DF59" i="27"/>
  <c r="DG59" i="27"/>
  <c r="DH59" i="27"/>
  <c r="DI59" i="27"/>
  <c r="DJ59" i="27"/>
  <c r="DK59" i="27"/>
  <c r="DL59" i="27"/>
  <c r="DM59" i="27"/>
  <c r="DN59" i="27"/>
  <c r="DO59" i="27"/>
  <c r="DP59" i="27"/>
  <c r="DQ59" i="27"/>
  <c r="DR59" i="27"/>
  <c r="DS59" i="27"/>
  <c r="DT59" i="27"/>
  <c r="DU59" i="27"/>
  <c r="DV59" i="27"/>
  <c r="DW59" i="27"/>
  <c r="DX59" i="27"/>
  <c r="DY59" i="27"/>
  <c r="DZ59" i="27"/>
  <c r="EA59" i="27"/>
  <c r="EB59" i="27"/>
  <c r="EC59" i="27"/>
  <c r="ED59" i="27"/>
  <c r="EE59" i="27"/>
  <c r="EF59" i="27"/>
  <c r="EG59" i="27"/>
  <c r="EH59" i="27"/>
  <c r="EI59" i="27"/>
  <c r="EJ59" i="27"/>
  <c r="EK59" i="27"/>
  <c r="EL59" i="27"/>
  <c r="EM59" i="27"/>
  <c r="EN59" i="27"/>
  <c r="EO59" i="27"/>
  <c r="EP59" i="27"/>
  <c r="EQ59" i="27"/>
  <c r="ER59" i="27"/>
  <c r="ES59" i="27"/>
  <c r="ET59" i="27"/>
  <c r="EU59" i="27"/>
  <c r="EV59" i="27"/>
  <c r="EW59" i="27"/>
  <c r="EX59" i="27"/>
  <c r="EY59" i="27"/>
  <c r="EZ59" i="27"/>
  <c r="FA59" i="27"/>
  <c r="FB59" i="27"/>
  <c r="FC59" i="27"/>
  <c r="FD59" i="27"/>
  <c r="FE59" i="27"/>
  <c r="FF59" i="27"/>
  <c r="FG59" i="27"/>
  <c r="FH59" i="27"/>
  <c r="FI59" i="27"/>
  <c r="FJ59" i="27"/>
  <c r="FK59" i="27"/>
  <c r="FL59" i="27"/>
  <c r="FM59" i="27"/>
  <c r="FN59" i="27"/>
  <c r="FO59" i="27"/>
  <c r="FP59" i="27"/>
  <c r="FQ59" i="27"/>
  <c r="FR59" i="27"/>
  <c r="FS59" i="27"/>
  <c r="FT59" i="27"/>
  <c r="FU59" i="27"/>
  <c r="FV59" i="27"/>
  <c r="FW59" i="27"/>
  <c r="FX59" i="27"/>
  <c r="FY59" i="27"/>
  <c r="FZ59" i="27"/>
  <c r="GA59" i="27"/>
  <c r="GB59" i="27"/>
  <c r="GC59" i="27"/>
  <c r="GD59" i="27"/>
  <c r="GE59" i="27"/>
  <c r="GF59" i="27"/>
  <c r="GG59" i="27"/>
  <c r="GH59" i="27"/>
  <c r="GI59" i="27"/>
  <c r="GJ59" i="27"/>
  <c r="GK59" i="27"/>
  <c r="GL59" i="27"/>
  <c r="GM59" i="27"/>
  <c r="GN59" i="27"/>
  <c r="GO59" i="27"/>
  <c r="GP59" i="27"/>
  <c r="GQ59" i="27"/>
  <c r="GR59" i="27"/>
  <c r="GS59" i="27"/>
  <c r="GT59" i="27"/>
  <c r="GU59" i="27"/>
  <c r="GV59" i="27"/>
  <c r="GW59" i="27"/>
  <c r="GX59" i="27"/>
  <c r="GY59" i="27"/>
  <c r="GZ59" i="27"/>
  <c r="HA59" i="27"/>
  <c r="HB59" i="27"/>
  <c r="HC59" i="27"/>
  <c r="HD59" i="27"/>
  <c r="HE59" i="27"/>
  <c r="HF59" i="27"/>
  <c r="HG59" i="27"/>
  <c r="HH59" i="27"/>
  <c r="HI59" i="27"/>
  <c r="HJ59" i="27"/>
  <c r="HK59" i="27"/>
  <c r="HL59" i="27"/>
  <c r="HM59" i="27"/>
  <c r="HN59" i="27"/>
  <c r="HO59" i="27"/>
  <c r="HP59" i="27"/>
  <c r="HQ59" i="27"/>
  <c r="HR59" i="27"/>
  <c r="HS59" i="27"/>
  <c r="HT59" i="27"/>
  <c r="HU59" i="27"/>
  <c r="HV59" i="27"/>
  <c r="HW59" i="27"/>
  <c r="HX59" i="27"/>
  <c r="HY59" i="27"/>
  <c r="HZ59" i="27"/>
  <c r="IA59" i="27"/>
  <c r="IB59" i="27"/>
  <c r="IC59" i="27"/>
  <c r="ID59" i="27"/>
  <c r="IE59" i="27"/>
  <c r="IF59" i="27"/>
  <c r="IG59" i="27"/>
  <c r="IH59" i="27"/>
  <c r="II59" i="27"/>
  <c r="IJ59" i="27"/>
  <c r="IK59" i="27"/>
  <c r="IL59" i="27"/>
  <c r="IM59" i="27"/>
  <c r="IN59" i="27"/>
  <c r="IO59" i="27"/>
  <c r="IP59" i="27"/>
  <c r="IQ59" i="27"/>
  <c r="IR59" i="27"/>
  <c r="IS59" i="27"/>
  <c r="IT59" i="27"/>
  <c r="IU59" i="27"/>
  <c r="IV59" i="27"/>
  <c r="A58" i="27"/>
  <c r="B58" i="27"/>
  <c r="C58" i="27"/>
  <c r="D58" i="27"/>
  <c r="E58" i="27"/>
  <c r="F58" i="27"/>
  <c r="G58" i="27"/>
  <c r="H58" i="27"/>
  <c r="I58" i="27"/>
  <c r="J58" i="27"/>
  <c r="K58" i="27"/>
  <c r="L58" i="27"/>
  <c r="M58" i="27"/>
  <c r="N58" i="27"/>
  <c r="O58" i="27"/>
  <c r="P58" i="27"/>
  <c r="Q58" i="27"/>
  <c r="R58" i="27"/>
  <c r="S58" i="27"/>
  <c r="T58" i="27"/>
  <c r="U58" i="27"/>
  <c r="V58" i="27"/>
  <c r="W58" i="27"/>
  <c r="X58" i="27"/>
  <c r="Y58" i="27"/>
  <c r="Z58" i="27"/>
  <c r="AA58" i="27"/>
  <c r="AB58" i="27"/>
  <c r="AC58" i="27"/>
  <c r="AD58" i="27"/>
  <c r="AE58" i="27"/>
  <c r="AF58" i="27"/>
  <c r="AG58" i="27"/>
  <c r="AH58" i="27"/>
  <c r="AI58" i="27"/>
  <c r="AJ58" i="27"/>
  <c r="AK58" i="27"/>
  <c r="AL58" i="27"/>
  <c r="AM58" i="27"/>
  <c r="AN58" i="27"/>
  <c r="AO58" i="27"/>
  <c r="AP58" i="27"/>
  <c r="AQ58" i="27"/>
  <c r="AR58" i="27"/>
  <c r="AS58" i="27"/>
  <c r="AT58" i="27"/>
  <c r="AU58" i="27"/>
  <c r="AV58" i="27"/>
  <c r="AW58" i="27"/>
  <c r="AX58" i="27"/>
  <c r="AY58" i="27"/>
  <c r="AZ58" i="27"/>
  <c r="BA58" i="27"/>
  <c r="BB58" i="27"/>
  <c r="BC58" i="27"/>
  <c r="BD58" i="27"/>
  <c r="BE58" i="27"/>
  <c r="BF58" i="27"/>
  <c r="BG58" i="27"/>
  <c r="BH58" i="27"/>
  <c r="BI58" i="27"/>
  <c r="BJ58" i="27"/>
  <c r="BK58" i="27"/>
  <c r="BL58" i="27"/>
  <c r="BM58" i="27"/>
  <c r="BN58" i="27"/>
  <c r="BO58" i="27"/>
  <c r="BP58" i="27"/>
  <c r="BQ58" i="27"/>
  <c r="BR58" i="27"/>
  <c r="BS58" i="27"/>
  <c r="BT58" i="27"/>
  <c r="BU58" i="27"/>
  <c r="BV58" i="27"/>
  <c r="BW58" i="27"/>
  <c r="BX58" i="27"/>
  <c r="BY58" i="27"/>
  <c r="BZ58" i="27"/>
  <c r="CA58" i="27"/>
  <c r="CB58" i="27"/>
  <c r="CC58" i="27"/>
  <c r="CD58" i="27"/>
  <c r="CE58" i="27"/>
  <c r="CF58" i="27"/>
  <c r="CG58" i="27"/>
  <c r="CH58" i="27"/>
  <c r="CI58" i="27"/>
  <c r="CJ58" i="27"/>
  <c r="CK58" i="27"/>
  <c r="CL58" i="27"/>
  <c r="CM58" i="27"/>
  <c r="CN58" i="27"/>
  <c r="CO58" i="27"/>
  <c r="CP58" i="27"/>
  <c r="CQ58" i="27"/>
  <c r="CR58" i="27"/>
  <c r="CS58" i="27"/>
  <c r="CT58" i="27"/>
  <c r="CU58" i="27"/>
  <c r="CV58" i="27"/>
  <c r="CW58" i="27"/>
  <c r="CX58" i="27"/>
  <c r="CY58" i="27"/>
  <c r="CZ58" i="27"/>
  <c r="DA58" i="27"/>
  <c r="DB58" i="27"/>
  <c r="DC58" i="27"/>
  <c r="DD58" i="27"/>
  <c r="DE58" i="27"/>
  <c r="DF58" i="27"/>
  <c r="DG58" i="27"/>
  <c r="DH58" i="27"/>
  <c r="DI58" i="27"/>
  <c r="DJ58" i="27"/>
  <c r="DK58" i="27"/>
  <c r="DL58" i="27"/>
  <c r="DM58" i="27"/>
  <c r="DN58" i="27"/>
  <c r="DO58" i="27"/>
  <c r="DP58" i="27"/>
  <c r="DQ58" i="27"/>
  <c r="DR58" i="27"/>
  <c r="DS58" i="27"/>
  <c r="DT58" i="27"/>
  <c r="DU58" i="27"/>
  <c r="DV58" i="27"/>
  <c r="DW58" i="27"/>
  <c r="DX58" i="27"/>
  <c r="DY58" i="27"/>
  <c r="DZ58" i="27"/>
  <c r="EA58" i="27"/>
  <c r="EB58" i="27"/>
  <c r="EC58" i="27"/>
  <c r="ED58" i="27"/>
  <c r="EE58" i="27"/>
  <c r="EF58" i="27"/>
  <c r="EG58" i="27"/>
  <c r="EH58" i="27"/>
  <c r="EI58" i="27"/>
  <c r="EJ58" i="27"/>
  <c r="EK58" i="27"/>
  <c r="EL58" i="27"/>
  <c r="EM58" i="27"/>
  <c r="EN58" i="27"/>
  <c r="EO58" i="27"/>
  <c r="EP58" i="27"/>
  <c r="EQ58" i="27"/>
  <c r="ER58" i="27"/>
  <c r="ES58" i="27"/>
  <c r="ET58" i="27"/>
  <c r="EU58" i="27"/>
  <c r="EV58" i="27"/>
  <c r="EW58" i="27"/>
  <c r="EX58" i="27"/>
  <c r="EY58" i="27"/>
  <c r="EZ58" i="27"/>
  <c r="FA58" i="27"/>
  <c r="FB58" i="27"/>
  <c r="FC58" i="27"/>
  <c r="FD58" i="27"/>
  <c r="FE58" i="27"/>
  <c r="FF58" i="27"/>
  <c r="FG58" i="27"/>
  <c r="FH58" i="27"/>
  <c r="FI58" i="27"/>
  <c r="FJ58" i="27"/>
  <c r="FK58" i="27"/>
  <c r="FL58" i="27"/>
  <c r="FM58" i="27"/>
  <c r="FN58" i="27"/>
  <c r="FO58" i="27"/>
  <c r="FP58" i="27"/>
  <c r="FQ58" i="27"/>
  <c r="FR58" i="27"/>
  <c r="FS58" i="27"/>
  <c r="FT58" i="27"/>
  <c r="FU58" i="27"/>
  <c r="FV58" i="27"/>
  <c r="FW58" i="27"/>
  <c r="FX58" i="27"/>
  <c r="FY58" i="27"/>
  <c r="FZ58" i="27"/>
  <c r="GA58" i="27"/>
  <c r="GB58" i="27"/>
  <c r="GC58" i="27"/>
  <c r="GD58" i="27"/>
  <c r="GE58" i="27"/>
  <c r="GF58" i="27"/>
  <c r="GG58" i="27"/>
  <c r="GH58" i="27"/>
  <c r="GI58" i="27"/>
  <c r="GJ58" i="27"/>
  <c r="GK58" i="27"/>
  <c r="GL58" i="27"/>
  <c r="GM58" i="27"/>
  <c r="GN58" i="27"/>
  <c r="GO58" i="27"/>
  <c r="GP58" i="27"/>
  <c r="GQ58" i="27"/>
  <c r="GR58" i="27"/>
  <c r="GS58" i="27"/>
  <c r="GT58" i="27"/>
  <c r="GU58" i="27"/>
  <c r="GV58" i="27"/>
  <c r="GW58" i="27"/>
  <c r="GX58" i="27"/>
  <c r="GY58" i="27"/>
  <c r="GZ58" i="27"/>
  <c r="HA58" i="27"/>
  <c r="HB58" i="27"/>
  <c r="HC58" i="27"/>
  <c r="HD58" i="27"/>
  <c r="HE58" i="27"/>
  <c r="HF58" i="27"/>
  <c r="HG58" i="27"/>
  <c r="HH58" i="27"/>
  <c r="HI58" i="27"/>
  <c r="HJ58" i="27"/>
  <c r="HK58" i="27"/>
  <c r="HL58" i="27"/>
  <c r="HM58" i="27"/>
  <c r="HN58" i="27"/>
  <c r="HO58" i="27"/>
  <c r="HP58" i="27"/>
  <c r="HQ58" i="27"/>
  <c r="HR58" i="27"/>
  <c r="HS58" i="27"/>
  <c r="HT58" i="27"/>
  <c r="HU58" i="27"/>
  <c r="HV58" i="27"/>
  <c r="HW58" i="27"/>
  <c r="HX58" i="27"/>
  <c r="HY58" i="27"/>
  <c r="HZ58" i="27"/>
  <c r="IA58" i="27"/>
  <c r="IB58" i="27"/>
  <c r="IC58" i="27"/>
  <c r="ID58" i="27"/>
  <c r="IE58" i="27"/>
  <c r="IF58" i="27"/>
  <c r="IG58" i="27"/>
  <c r="IH58" i="27"/>
  <c r="II58" i="27"/>
  <c r="IJ58" i="27"/>
  <c r="IK58" i="27"/>
  <c r="IL58" i="27"/>
  <c r="IM58" i="27"/>
  <c r="IN58" i="27"/>
  <c r="IO58" i="27"/>
  <c r="IP58" i="27"/>
  <c r="IQ58" i="27"/>
  <c r="IR58" i="27"/>
  <c r="IS58" i="27"/>
  <c r="IT58" i="27"/>
  <c r="IU58" i="27"/>
  <c r="IV58" i="27"/>
  <c r="A57" i="27"/>
  <c r="B57" i="27"/>
  <c r="D57" i="27"/>
  <c r="E57" i="27"/>
  <c r="F57" i="27"/>
  <c r="G57" i="27"/>
  <c r="H57" i="27"/>
  <c r="I57" i="27"/>
  <c r="J57" i="27"/>
  <c r="K57" i="27"/>
  <c r="L57" i="27"/>
  <c r="M57" i="27"/>
  <c r="N57" i="27"/>
  <c r="O57" i="27"/>
  <c r="P57" i="27"/>
  <c r="Q57" i="27"/>
  <c r="R57" i="27"/>
  <c r="S57" i="27"/>
  <c r="T57" i="27"/>
  <c r="U57" i="27"/>
  <c r="V57" i="27"/>
  <c r="W57" i="27"/>
  <c r="X57" i="27"/>
  <c r="Y57" i="27"/>
  <c r="Z57" i="27"/>
  <c r="AA57" i="27"/>
  <c r="AB57" i="27"/>
  <c r="AC57" i="27"/>
  <c r="AD57" i="27"/>
  <c r="AE57" i="27"/>
  <c r="AF57" i="27"/>
  <c r="AG57" i="27"/>
  <c r="AH57" i="27"/>
  <c r="AI57" i="27"/>
  <c r="AJ57" i="27"/>
  <c r="AK57" i="27"/>
  <c r="AL57" i="27"/>
  <c r="AM57" i="27"/>
  <c r="AN57" i="27"/>
  <c r="AO57" i="27"/>
  <c r="AP57" i="27"/>
  <c r="AQ57" i="27"/>
  <c r="AR57" i="27"/>
  <c r="AS57" i="27"/>
  <c r="AT57" i="27"/>
  <c r="AU57" i="27"/>
  <c r="AV57" i="27"/>
  <c r="AW57" i="27"/>
  <c r="AX57" i="27"/>
  <c r="AY57" i="27"/>
  <c r="AZ57" i="27"/>
  <c r="BA57" i="27"/>
  <c r="BB57" i="27"/>
  <c r="BC57" i="27"/>
  <c r="BD57" i="27"/>
  <c r="BE57" i="27"/>
  <c r="BF57" i="27"/>
  <c r="BG57" i="27"/>
  <c r="BH57" i="27"/>
  <c r="BI57" i="27"/>
  <c r="BJ57" i="27"/>
  <c r="BK57" i="27"/>
  <c r="BL57" i="27"/>
  <c r="BM57" i="27"/>
  <c r="BN57" i="27"/>
  <c r="BO57" i="27"/>
  <c r="BP57" i="27"/>
  <c r="BQ57" i="27"/>
  <c r="BR57" i="27"/>
  <c r="BS57" i="27"/>
  <c r="BT57" i="27"/>
  <c r="BU57" i="27"/>
  <c r="BV57" i="27"/>
  <c r="BW57" i="27"/>
  <c r="BX57" i="27"/>
  <c r="BY57" i="27"/>
  <c r="BZ57" i="27"/>
  <c r="CA57" i="27"/>
  <c r="CB57" i="27"/>
  <c r="CC57" i="27"/>
  <c r="CD57" i="27"/>
  <c r="CE57" i="27"/>
  <c r="CF57" i="27"/>
  <c r="CG57" i="27"/>
  <c r="CH57" i="27"/>
  <c r="CI57" i="27"/>
  <c r="CJ57" i="27"/>
  <c r="CK57" i="27"/>
  <c r="CL57" i="27"/>
  <c r="CM57" i="27"/>
  <c r="CN57" i="27"/>
  <c r="CO57" i="27"/>
  <c r="CP57" i="27"/>
  <c r="CQ57" i="27"/>
  <c r="CR57" i="27"/>
  <c r="CS57" i="27"/>
  <c r="CT57" i="27"/>
  <c r="CU57" i="27"/>
  <c r="CV57" i="27"/>
  <c r="CW57" i="27"/>
  <c r="CX57" i="27"/>
  <c r="CY57" i="27"/>
  <c r="CZ57" i="27"/>
  <c r="DA57" i="27"/>
  <c r="DB57" i="27"/>
  <c r="DC57" i="27"/>
  <c r="DD57" i="27"/>
  <c r="DE57" i="27"/>
  <c r="DF57" i="27"/>
  <c r="DG57" i="27"/>
  <c r="DH57" i="27"/>
  <c r="DI57" i="27"/>
  <c r="DJ57" i="27"/>
  <c r="DK57" i="27"/>
  <c r="DL57" i="27"/>
  <c r="DM57" i="27"/>
  <c r="DN57" i="27"/>
  <c r="DO57" i="27"/>
  <c r="DP57" i="27"/>
  <c r="DQ57" i="27"/>
  <c r="DR57" i="27"/>
  <c r="DS57" i="27"/>
  <c r="DT57" i="27"/>
  <c r="DU57" i="27"/>
  <c r="DV57" i="27"/>
  <c r="DW57" i="27"/>
  <c r="DX57" i="27"/>
  <c r="DY57" i="27"/>
  <c r="DZ57" i="27"/>
  <c r="EA57" i="27"/>
  <c r="EB57" i="27"/>
  <c r="EC57" i="27"/>
  <c r="ED57" i="27"/>
  <c r="EE57" i="27"/>
  <c r="EF57" i="27"/>
  <c r="EG57" i="27"/>
  <c r="EH57" i="27"/>
  <c r="EI57" i="27"/>
  <c r="EJ57" i="27"/>
  <c r="EK57" i="27"/>
  <c r="EL57" i="27"/>
  <c r="EM57" i="27"/>
  <c r="EN57" i="27"/>
  <c r="EO57" i="27"/>
  <c r="EP57" i="27"/>
  <c r="EQ57" i="27"/>
  <c r="ER57" i="27"/>
  <c r="ES57" i="27"/>
  <c r="ET57" i="27"/>
  <c r="EU57" i="27"/>
  <c r="EV57" i="27"/>
  <c r="EW57" i="27"/>
  <c r="EX57" i="27"/>
  <c r="EY57" i="27"/>
  <c r="EZ57" i="27"/>
  <c r="FA57" i="27"/>
  <c r="FB57" i="27"/>
  <c r="FC57" i="27"/>
  <c r="FD57" i="27"/>
  <c r="FE57" i="27"/>
  <c r="FF57" i="27"/>
  <c r="FG57" i="27"/>
  <c r="FH57" i="27"/>
  <c r="FI57" i="27"/>
  <c r="FJ57" i="27"/>
  <c r="FK57" i="27"/>
  <c r="FL57" i="27"/>
  <c r="FM57" i="27"/>
  <c r="FN57" i="27"/>
  <c r="FO57" i="27"/>
  <c r="FP57" i="27"/>
  <c r="FQ57" i="27"/>
  <c r="FR57" i="27"/>
  <c r="FS57" i="27"/>
  <c r="FT57" i="27"/>
  <c r="FU57" i="27"/>
  <c r="FV57" i="27"/>
  <c r="FW57" i="27"/>
  <c r="FX57" i="27"/>
  <c r="FY57" i="27"/>
  <c r="FZ57" i="27"/>
  <c r="GA57" i="27"/>
  <c r="GB57" i="27"/>
  <c r="GC57" i="27"/>
  <c r="GD57" i="27"/>
  <c r="GE57" i="27"/>
  <c r="GF57" i="27"/>
  <c r="GG57" i="27"/>
  <c r="GH57" i="27"/>
  <c r="GI57" i="27"/>
  <c r="GJ57" i="27"/>
  <c r="GK57" i="27"/>
  <c r="GL57" i="27"/>
  <c r="GM57" i="27"/>
  <c r="GN57" i="27"/>
  <c r="GO57" i="27"/>
  <c r="GP57" i="27"/>
  <c r="GQ57" i="27"/>
  <c r="GR57" i="27"/>
  <c r="GS57" i="27"/>
  <c r="GT57" i="27"/>
  <c r="GU57" i="27"/>
  <c r="GV57" i="27"/>
  <c r="GW57" i="27"/>
  <c r="GX57" i="27"/>
  <c r="GY57" i="27"/>
  <c r="GZ57" i="27"/>
  <c r="HA57" i="27"/>
  <c r="HB57" i="27"/>
  <c r="HC57" i="27"/>
  <c r="HD57" i="27"/>
  <c r="HE57" i="27"/>
  <c r="HF57" i="27"/>
  <c r="HG57" i="27"/>
  <c r="HH57" i="27"/>
  <c r="HI57" i="27"/>
  <c r="HJ57" i="27"/>
  <c r="HK57" i="27"/>
  <c r="HL57" i="27"/>
  <c r="HM57" i="27"/>
  <c r="HN57" i="27"/>
  <c r="HO57" i="27"/>
  <c r="HP57" i="27"/>
  <c r="HQ57" i="27"/>
  <c r="HR57" i="27"/>
  <c r="HS57" i="27"/>
  <c r="HT57" i="27"/>
  <c r="HU57" i="27"/>
  <c r="HV57" i="27"/>
  <c r="HW57" i="27"/>
  <c r="HX57" i="27"/>
  <c r="HY57" i="27"/>
  <c r="HZ57" i="27"/>
  <c r="IA57" i="27"/>
  <c r="IB57" i="27"/>
  <c r="IC57" i="27"/>
  <c r="ID57" i="27"/>
  <c r="IE57" i="27"/>
  <c r="IF57" i="27"/>
  <c r="IG57" i="27"/>
  <c r="IH57" i="27"/>
  <c r="II57" i="27"/>
  <c r="IJ57" i="27"/>
  <c r="IK57" i="27"/>
  <c r="IL57" i="27"/>
  <c r="IM57" i="27"/>
  <c r="IN57" i="27"/>
  <c r="IO57" i="27"/>
  <c r="IP57" i="27"/>
  <c r="IQ57" i="27"/>
  <c r="IR57" i="27"/>
  <c r="IS57" i="27"/>
  <c r="IT57" i="27"/>
  <c r="IU57" i="27"/>
  <c r="IV57" i="27"/>
  <c r="A56" i="27"/>
  <c r="B56" i="27"/>
  <c r="C56" i="27"/>
  <c r="D56" i="27"/>
  <c r="E56" i="27"/>
  <c r="F56" i="27"/>
  <c r="G56" i="27"/>
  <c r="H56" i="27"/>
  <c r="I56" i="27"/>
  <c r="J56" i="27"/>
  <c r="K56" i="27"/>
  <c r="L56" i="27"/>
  <c r="M56" i="27"/>
  <c r="N56" i="27"/>
  <c r="O56" i="27"/>
  <c r="P56" i="27"/>
  <c r="Q56" i="27"/>
  <c r="R56" i="27"/>
  <c r="S56" i="27"/>
  <c r="T56" i="27"/>
  <c r="U56" i="27"/>
  <c r="V56" i="27"/>
  <c r="W56" i="27"/>
  <c r="X56" i="27"/>
  <c r="Y56" i="27"/>
  <c r="Z56" i="27"/>
  <c r="AA56" i="27"/>
  <c r="AB56" i="27"/>
  <c r="AC56" i="27"/>
  <c r="AD56" i="27"/>
  <c r="AE56" i="27"/>
  <c r="AF56" i="27"/>
  <c r="AG56" i="27"/>
  <c r="AH56" i="27"/>
  <c r="AI56" i="27"/>
  <c r="AJ56" i="27"/>
  <c r="AK56" i="27"/>
  <c r="AL56" i="27"/>
  <c r="AM56" i="27"/>
  <c r="AN56" i="27"/>
  <c r="AO56" i="27"/>
  <c r="AP56" i="27"/>
  <c r="AQ56" i="27"/>
  <c r="AR56" i="27"/>
  <c r="AS56" i="27"/>
  <c r="AT56" i="27"/>
  <c r="AU56" i="27"/>
  <c r="AV56" i="27"/>
  <c r="AW56" i="27"/>
  <c r="AX56" i="27"/>
  <c r="AY56" i="27"/>
  <c r="AZ56" i="27"/>
  <c r="BA56" i="27"/>
  <c r="BB56" i="27"/>
  <c r="BC56" i="27"/>
  <c r="BD56" i="27"/>
  <c r="BE56" i="27"/>
  <c r="BF56" i="27"/>
  <c r="BG56" i="27"/>
  <c r="BH56" i="27"/>
  <c r="BI56" i="27"/>
  <c r="BJ56" i="27"/>
  <c r="BK56" i="27"/>
  <c r="BL56" i="27"/>
  <c r="BM56" i="27"/>
  <c r="BN56" i="27"/>
  <c r="BO56" i="27"/>
  <c r="BP56" i="27"/>
  <c r="BQ56" i="27"/>
  <c r="BR56" i="27"/>
  <c r="BS56" i="27"/>
  <c r="BT56" i="27"/>
  <c r="BU56" i="27"/>
  <c r="BV56" i="27"/>
  <c r="BW56" i="27"/>
  <c r="BX56" i="27"/>
  <c r="BY56" i="27"/>
  <c r="BZ56" i="27"/>
  <c r="CA56" i="27"/>
  <c r="CB56" i="27"/>
  <c r="CC56" i="27"/>
  <c r="CD56" i="27"/>
  <c r="CE56" i="27"/>
  <c r="CF56" i="27"/>
  <c r="CG56" i="27"/>
  <c r="CH56" i="27"/>
  <c r="CI56" i="27"/>
  <c r="CJ56" i="27"/>
  <c r="CK56" i="27"/>
  <c r="CL56" i="27"/>
  <c r="CM56" i="27"/>
  <c r="CN56" i="27"/>
  <c r="CO56" i="27"/>
  <c r="CP56" i="27"/>
  <c r="CQ56" i="27"/>
  <c r="CR56" i="27"/>
  <c r="CS56" i="27"/>
  <c r="CT56" i="27"/>
  <c r="CU56" i="27"/>
  <c r="CV56" i="27"/>
  <c r="CW56" i="27"/>
  <c r="CX56" i="27"/>
  <c r="CY56" i="27"/>
  <c r="CZ56" i="27"/>
  <c r="DA56" i="27"/>
  <c r="DB56" i="27"/>
  <c r="DC56" i="27"/>
  <c r="DD56" i="27"/>
  <c r="DE56" i="27"/>
  <c r="DF56" i="27"/>
  <c r="DG56" i="27"/>
  <c r="DH56" i="27"/>
  <c r="DI56" i="27"/>
  <c r="DJ56" i="27"/>
  <c r="DK56" i="27"/>
  <c r="DL56" i="27"/>
  <c r="DM56" i="27"/>
  <c r="DN56" i="27"/>
  <c r="DO56" i="27"/>
  <c r="DP56" i="27"/>
  <c r="DQ56" i="27"/>
  <c r="DR56" i="27"/>
  <c r="DS56" i="27"/>
  <c r="DT56" i="27"/>
  <c r="DU56" i="27"/>
  <c r="DV56" i="27"/>
  <c r="DW56" i="27"/>
  <c r="DX56" i="27"/>
  <c r="DY56" i="27"/>
  <c r="DZ56" i="27"/>
  <c r="EA56" i="27"/>
  <c r="EB56" i="27"/>
  <c r="EC56" i="27"/>
  <c r="ED56" i="27"/>
  <c r="EE56" i="27"/>
  <c r="EF56" i="27"/>
  <c r="EG56" i="27"/>
  <c r="EH56" i="27"/>
  <c r="EI56" i="27"/>
  <c r="EJ56" i="27"/>
  <c r="EK56" i="27"/>
  <c r="EL56" i="27"/>
  <c r="EM56" i="27"/>
  <c r="EN56" i="27"/>
  <c r="EO56" i="27"/>
  <c r="EP56" i="27"/>
  <c r="EQ56" i="27"/>
  <c r="ER56" i="27"/>
  <c r="ES56" i="27"/>
  <c r="ET56" i="27"/>
  <c r="EU56" i="27"/>
  <c r="EV56" i="27"/>
  <c r="EW56" i="27"/>
  <c r="EX56" i="27"/>
  <c r="EY56" i="27"/>
  <c r="EZ56" i="27"/>
  <c r="FA56" i="27"/>
  <c r="FB56" i="27"/>
  <c r="FC56" i="27"/>
  <c r="FD56" i="27"/>
  <c r="FE56" i="27"/>
  <c r="FF56" i="27"/>
  <c r="FG56" i="27"/>
  <c r="FH56" i="27"/>
  <c r="FI56" i="27"/>
  <c r="FJ56" i="27"/>
  <c r="FK56" i="27"/>
  <c r="FL56" i="27"/>
  <c r="FM56" i="27"/>
  <c r="FN56" i="27"/>
  <c r="FO56" i="27"/>
  <c r="FP56" i="27"/>
  <c r="FQ56" i="27"/>
  <c r="FR56" i="27"/>
  <c r="FS56" i="27"/>
  <c r="FT56" i="27"/>
  <c r="FU56" i="27"/>
  <c r="FV56" i="27"/>
  <c r="FW56" i="27"/>
  <c r="FX56" i="27"/>
  <c r="FY56" i="27"/>
  <c r="FZ56" i="27"/>
  <c r="GA56" i="27"/>
  <c r="GB56" i="27"/>
  <c r="GC56" i="27"/>
  <c r="GD56" i="27"/>
  <c r="GE56" i="27"/>
  <c r="GF56" i="27"/>
  <c r="GG56" i="27"/>
  <c r="GH56" i="27"/>
  <c r="GI56" i="27"/>
  <c r="GJ56" i="27"/>
  <c r="GK56" i="27"/>
  <c r="GL56" i="27"/>
  <c r="GM56" i="27"/>
  <c r="GN56" i="27"/>
  <c r="GO56" i="27"/>
  <c r="GP56" i="27"/>
  <c r="GQ56" i="27"/>
  <c r="GR56" i="27"/>
  <c r="GS56" i="27"/>
  <c r="GT56" i="27"/>
  <c r="GU56" i="27"/>
  <c r="GV56" i="27"/>
  <c r="GW56" i="27"/>
  <c r="GX56" i="27"/>
  <c r="GY56" i="27"/>
  <c r="GZ56" i="27"/>
  <c r="HA56" i="27"/>
  <c r="HB56" i="27"/>
  <c r="HC56" i="27"/>
  <c r="HD56" i="27"/>
  <c r="HE56" i="27"/>
  <c r="HF56" i="27"/>
  <c r="HG56" i="27"/>
  <c r="HH56" i="27"/>
  <c r="HI56" i="27"/>
  <c r="HJ56" i="27"/>
  <c r="HK56" i="27"/>
  <c r="HL56" i="27"/>
  <c r="HM56" i="27"/>
  <c r="HN56" i="27"/>
  <c r="HO56" i="27"/>
  <c r="HP56" i="27"/>
  <c r="HQ56" i="27"/>
  <c r="HR56" i="27"/>
  <c r="HS56" i="27"/>
  <c r="HT56" i="27"/>
  <c r="HU56" i="27"/>
  <c r="HV56" i="27"/>
  <c r="HW56" i="27"/>
  <c r="HX56" i="27"/>
  <c r="HY56" i="27"/>
  <c r="HZ56" i="27"/>
  <c r="IA56" i="27"/>
  <c r="IB56" i="27"/>
  <c r="IC56" i="27"/>
  <c r="ID56" i="27"/>
  <c r="IE56" i="27"/>
  <c r="IF56" i="27"/>
  <c r="IG56" i="27"/>
  <c r="IH56" i="27"/>
  <c r="II56" i="27"/>
  <c r="IJ56" i="27"/>
  <c r="IK56" i="27"/>
  <c r="IL56" i="27"/>
  <c r="IM56" i="27"/>
  <c r="IN56" i="27"/>
  <c r="IO56" i="27"/>
  <c r="IP56" i="27"/>
  <c r="IQ56" i="27"/>
  <c r="IR56" i="27"/>
  <c r="IS56" i="27"/>
  <c r="IT56" i="27"/>
  <c r="IU56" i="27"/>
  <c r="IV56" i="27"/>
  <c r="A55" i="27"/>
  <c r="C55" i="27"/>
  <c r="D55" i="27"/>
  <c r="E55" i="27"/>
  <c r="F55" i="27"/>
  <c r="G55" i="27"/>
  <c r="H55" i="27"/>
  <c r="I55" i="27"/>
  <c r="J55" i="27"/>
  <c r="K55" i="27"/>
  <c r="L55" i="27"/>
  <c r="M55" i="27"/>
  <c r="N55" i="27"/>
  <c r="O55" i="27"/>
  <c r="P55" i="27"/>
  <c r="Q55" i="27"/>
  <c r="R55" i="27"/>
  <c r="S55" i="27"/>
  <c r="T55" i="27"/>
  <c r="U55" i="27"/>
  <c r="V55" i="27"/>
  <c r="W55" i="27"/>
  <c r="X55" i="27"/>
  <c r="Y55" i="27"/>
  <c r="Z55" i="27"/>
  <c r="AA55" i="27"/>
  <c r="AB55" i="27"/>
  <c r="AC55" i="27"/>
  <c r="AD55" i="27"/>
  <c r="AE55" i="27"/>
  <c r="AF55" i="27"/>
  <c r="AG55" i="27"/>
  <c r="AH55" i="27"/>
  <c r="AI55" i="27"/>
  <c r="AJ55" i="27"/>
  <c r="AK55" i="27"/>
  <c r="AL55" i="27"/>
  <c r="AM55" i="27"/>
  <c r="AN55" i="27"/>
  <c r="AO55" i="27"/>
  <c r="AP55" i="27"/>
  <c r="AQ55" i="27"/>
  <c r="AR55" i="27"/>
  <c r="AS55" i="27"/>
  <c r="AT55" i="27"/>
  <c r="AU55" i="27"/>
  <c r="AV55" i="27"/>
  <c r="AW55" i="27"/>
  <c r="AX55" i="27"/>
  <c r="AY55" i="27"/>
  <c r="AZ55" i="27"/>
  <c r="BA55" i="27"/>
  <c r="BB55" i="27"/>
  <c r="BC55" i="27"/>
  <c r="BD55" i="27"/>
  <c r="BE55" i="27"/>
  <c r="BF55" i="27"/>
  <c r="BG55" i="27"/>
  <c r="BH55" i="27"/>
  <c r="BI55" i="27"/>
  <c r="BJ55" i="27"/>
  <c r="BK55" i="27"/>
  <c r="BL55" i="27"/>
  <c r="BM55" i="27"/>
  <c r="BN55" i="27"/>
  <c r="BO55" i="27"/>
  <c r="BP55" i="27"/>
  <c r="BQ55" i="27"/>
  <c r="BR55" i="27"/>
  <c r="BS55" i="27"/>
  <c r="BT55" i="27"/>
  <c r="BU55" i="27"/>
  <c r="BV55" i="27"/>
  <c r="BW55" i="27"/>
  <c r="BX55" i="27"/>
  <c r="BY55" i="27"/>
  <c r="BZ55" i="27"/>
  <c r="CA55" i="27"/>
  <c r="CB55" i="27"/>
  <c r="CC55" i="27"/>
  <c r="CD55" i="27"/>
  <c r="CE55" i="27"/>
  <c r="CF55" i="27"/>
  <c r="CG55" i="27"/>
  <c r="CH55" i="27"/>
  <c r="CI55" i="27"/>
  <c r="CJ55" i="27"/>
  <c r="CK55" i="27"/>
  <c r="CL55" i="27"/>
  <c r="CM55" i="27"/>
  <c r="CN55" i="27"/>
  <c r="CO55" i="27"/>
  <c r="CP55" i="27"/>
  <c r="CQ55" i="27"/>
  <c r="CR55" i="27"/>
  <c r="CS55" i="27"/>
  <c r="CT55" i="27"/>
  <c r="CU55" i="27"/>
  <c r="CV55" i="27"/>
  <c r="CW55" i="27"/>
  <c r="CX55" i="27"/>
  <c r="CY55" i="27"/>
  <c r="CZ55" i="27"/>
  <c r="DA55" i="27"/>
  <c r="DB55" i="27"/>
  <c r="DC55" i="27"/>
  <c r="DD55" i="27"/>
  <c r="DE55" i="27"/>
  <c r="DF55" i="27"/>
  <c r="DG55" i="27"/>
  <c r="DH55" i="27"/>
  <c r="DI55" i="27"/>
  <c r="DJ55" i="27"/>
  <c r="DK55" i="27"/>
  <c r="DL55" i="27"/>
  <c r="DM55" i="27"/>
  <c r="DN55" i="27"/>
  <c r="DO55" i="27"/>
  <c r="DP55" i="27"/>
  <c r="DQ55" i="27"/>
  <c r="DR55" i="27"/>
  <c r="DS55" i="27"/>
  <c r="DT55" i="27"/>
  <c r="DU55" i="27"/>
  <c r="DV55" i="27"/>
  <c r="DW55" i="27"/>
  <c r="DX55" i="27"/>
  <c r="DY55" i="27"/>
  <c r="DZ55" i="27"/>
  <c r="EA55" i="27"/>
  <c r="EB55" i="27"/>
  <c r="EC55" i="27"/>
  <c r="ED55" i="27"/>
  <c r="EE55" i="27"/>
  <c r="EF55" i="27"/>
  <c r="EG55" i="27"/>
  <c r="EH55" i="27"/>
  <c r="EI55" i="27"/>
  <c r="EJ55" i="27"/>
  <c r="EK55" i="27"/>
  <c r="EL55" i="27"/>
  <c r="EM55" i="27"/>
  <c r="EN55" i="27"/>
  <c r="EO55" i="27"/>
  <c r="EP55" i="27"/>
  <c r="EQ55" i="27"/>
  <c r="ER55" i="27"/>
  <c r="ES55" i="27"/>
  <c r="ET55" i="27"/>
  <c r="EU55" i="27"/>
  <c r="EV55" i="27"/>
  <c r="EW55" i="27"/>
  <c r="EX55" i="27"/>
  <c r="EY55" i="27"/>
  <c r="EZ55" i="27"/>
  <c r="FA55" i="27"/>
  <c r="FB55" i="27"/>
  <c r="FC55" i="27"/>
  <c r="FD55" i="27"/>
  <c r="FE55" i="27"/>
  <c r="FF55" i="27"/>
  <c r="FG55" i="27"/>
  <c r="FH55" i="27"/>
  <c r="FI55" i="27"/>
  <c r="FJ55" i="27"/>
  <c r="FK55" i="27"/>
  <c r="FL55" i="27"/>
  <c r="FM55" i="27"/>
  <c r="FN55" i="27"/>
  <c r="FO55" i="27"/>
  <c r="FP55" i="27"/>
  <c r="FQ55" i="27"/>
  <c r="FR55" i="27"/>
  <c r="FS55" i="27"/>
  <c r="FT55" i="27"/>
  <c r="FU55" i="27"/>
  <c r="FV55" i="27"/>
  <c r="FW55" i="27"/>
  <c r="FX55" i="27"/>
  <c r="FY55" i="27"/>
  <c r="FZ55" i="27"/>
  <c r="GA55" i="27"/>
  <c r="GB55" i="27"/>
  <c r="GC55" i="27"/>
  <c r="GD55" i="27"/>
  <c r="GE55" i="27"/>
  <c r="GF55" i="27"/>
  <c r="GG55" i="27"/>
  <c r="GH55" i="27"/>
  <c r="GI55" i="27"/>
  <c r="GJ55" i="27"/>
  <c r="GK55" i="27"/>
  <c r="GL55" i="27"/>
  <c r="GM55" i="27"/>
  <c r="GN55" i="27"/>
  <c r="GO55" i="27"/>
  <c r="GP55" i="27"/>
  <c r="GQ55" i="27"/>
  <c r="GR55" i="27"/>
  <c r="GS55" i="27"/>
  <c r="GT55" i="27"/>
  <c r="GU55" i="27"/>
  <c r="GV55" i="27"/>
  <c r="GW55" i="27"/>
  <c r="GX55" i="27"/>
  <c r="GY55" i="27"/>
  <c r="GZ55" i="27"/>
  <c r="HA55" i="27"/>
  <c r="HB55" i="27"/>
  <c r="HC55" i="27"/>
  <c r="HD55" i="27"/>
  <c r="HE55" i="27"/>
  <c r="HF55" i="27"/>
  <c r="HG55" i="27"/>
  <c r="HH55" i="27"/>
  <c r="HI55" i="27"/>
  <c r="HJ55" i="27"/>
  <c r="HK55" i="27"/>
  <c r="HL55" i="27"/>
  <c r="HM55" i="27"/>
  <c r="HN55" i="27"/>
  <c r="HO55" i="27"/>
  <c r="HP55" i="27"/>
  <c r="HQ55" i="27"/>
  <c r="HR55" i="27"/>
  <c r="HS55" i="27"/>
  <c r="HT55" i="27"/>
  <c r="HU55" i="27"/>
  <c r="HV55" i="27"/>
  <c r="HW55" i="27"/>
  <c r="HX55" i="27"/>
  <c r="HY55" i="27"/>
  <c r="HZ55" i="27"/>
  <c r="IA55" i="27"/>
  <c r="IB55" i="27"/>
  <c r="IC55" i="27"/>
  <c r="ID55" i="27"/>
  <c r="IE55" i="27"/>
  <c r="IF55" i="27"/>
  <c r="IG55" i="27"/>
  <c r="IH55" i="27"/>
  <c r="II55" i="27"/>
  <c r="IJ55" i="27"/>
  <c r="IK55" i="27"/>
  <c r="IL55" i="27"/>
  <c r="IM55" i="27"/>
  <c r="IN55" i="27"/>
  <c r="IO55" i="27"/>
  <c r="IP55" i="27"/>
  <c r="IQ55" i="27"/>
  <c r="IR55" i="27"/>
  <c r="IS55" i="27"/>
  <c r="IT55" i="27"/>
  <c r="IU55" i="27"/>
  <c r="IV55" i="27"/>
  <c r="A54" i="27"/>
  <c r="B54" i="27"/>
  <c r="C54" i="27"/>
  <c r="D54" i="27"/>
  <c r="E54" i="27"/>
  <c r="F54" i="27"/>
  <c r="G54" i="27"/>
  <c r="H54" i="27"/>
  <c r="I54" i="27"/>
  <c r="J54" i="27"/>
  <c r="K54" i="27"/>
  <c r="L54" i="27"/>
  <c r="M54" i="27"/>
  <c r="N54" i="27"/>
  <c r="O54" i="27"/>
  <c r="P54" i="27"/>
  <c r="Q54" i="27"/>
  <c r="R54" i="27"/>
  <c r="S54" i="27"/>
  <c r="T54" i="27"/>
  <c r="U54" i="27"/>
  <c r="V54" i="27"/>
  <c r="W54" i="27"/>
  <c r="X54" i="27"/>
  <c r="Y54" i="27"/>
  <c r="Z54" i="27"/>
  <c r="AA54" i="27"/>
  <c r="AB54" i="27"/>
  <c r="AC54" i="27"/>
  <c r="AD54" i="27"/>
  <c r="AE54" i="27"/>
  <c r="AF54" i="27"/>
  <c r="AG54" i="27"/>
  <c r="AH54" i="27"/>
  <c r="AI54" i="27"/>
  <c r="AJ54" i="27"/>
  <c r="AK54" i="27"/>
  <c r="AL54" i="27"/>
  <c r="AM54" i="27"/>
  <c r="AN54" i="27"/>
  <c r="AO54" i="27"/>
  <c r="AP54" i="27"/>
  <c r="AQ54" i="27"/>
  <c r="AR54" i="27"/>
  <c r="AS54" i="27"/>
  <c r="AT54" i="27"/>
  <c r="AU54" i="27"/>
  <c r="AV54" i="27"/>
  <c r="AW54" i="27"/>
  <c r="AX54" i="27"/>
  <c r="AY54" i="27"/>
  <c r="AZ54" i="27"/>
  <c r="BA54" i="27"/>
  <c r="BB54" i="27"/>
  <c r="BC54" i="27"/>
  <c r="BD54" i="27"/>
  <c r="BE54" i="27"/>
  <c r="BF54" i="27"/>
  <c r="BG54" i="27"/>
  <c r="BH54" i="27"/>
  <c r="BI54" i="27"/>
  <c r="BJ54" i="27"/>
  <c r="BK54" i="27"/>
  <c r="BL54" i="27"/>
  <c r="BM54" i="27"/>
  <c r="BN54" i="27"/>
  <c r="BO54" i="27"/>
  <c r="BP54" i="27"/>
  <c r="BQ54" i="27"/>
  <c r="BR54" i="27"/>
  <c r="BS54" i="27"/>
  <c r="BT54" i="27"/>
  <c r="BU54" i="27"/>
  <c r="BV54" i="27"/>
  <c r="BW54" i="27"/>
  <c r="BX54" i="27"/>
  <c r="BY54" i="27"/>
  <c r="BZ54" i="27"/>
  <c r="CA54" i="27"/>
  <c r="CB54" i="27"/>
  <c r="CC54" i="27"/>
  <c r="CD54" i="27"/>
  <c r="CE54" i="27"/>
  <c r="CF54" i="27"/>
  <c r="CG54" i="27"/>
  <c r="CH54" i="27"/>
  <c r="CI54" i="27"/>
  <c r="CJ54" i="27"/>
  <c r="CK54" i="27"/>
  <c r="CL54" i="27"/>
  <c r="CM54" i="27"/>
  <c r="CN54" i="27"/>
  <c r="CO54" i="27"/>
  <c r="CP54" i="27"/>
  <c r="CQ54" i="27"/>
  <c r="CR54" i="27"/>
  <c r="CS54" i="27"/>
  <c r="CT54" i="27"/>
  <c r="CU54" i="27"/>
  <c r="CV54" i="27"/>
  <c r="CW54" i="27"/>
  <c r="CX54" i="27"/>
  <c r="CY54" i="27"/>
  <c r="CZ54" i="27"/>
  <c r="DA54" i="27"/>
  <c r="DB54" i="27"/>
  <c r="DC54" i="27"/>
  <c r="DD54" i="27"/>
  <c r="DE54" i="27"/>
  <c r="DF54" i="27"/>
  <c r="DG54" i="27"/>
  <c r="DH54" i="27"/>
  <c r="DI54" i="27"/>
  <c r="DJ54" i="27"/>
  <c r="DK54" i="27"/>
  <c r="DL54" i="27"/>
  <c r="DM54" i="27"/>
  <c r="DN54" i="27"/>
  <c r="DO54" i="27"/>
  <c r="DP54" i="27"/>
  <c r="DQ54" i="27"/>
  <c r="DR54" i="27"/>
  <c r="DS54" i="27"/>
  <c r="DT54" i="27"/>
  <c r="DU54" i="27"/>
  <c r="DV54" i="27"/>
  <c r="DW54" i="27"/>
  <c r="DX54" i="27"/>
  <c r="DY54" i="27"/>
  <c r="DZ54" i="27"/>
  <c r="EA54" i="27"/>
  <c r="EB54" i="27"/>
  <c r="EC54" i="27"/>
  <c r="ED54" i="27"/>
  <c r="EE54" i="27"/>
  <c r="EF54" i="27"/>
  <c r="EG54" i="27"/>
  <c r="EH54" i="27"/>
  <c r="EI54" i="27"/>
  <c r="EJ54" i="27"/>
  <c r="EK54" i="27"/>
  <c r="EL54" i="27"/>
  <c r="EM54" i="27"/>
  <c r="EN54" i="27"/>
  <c r="EO54" i="27"/>
  <c r="EP54" i="27"/>
  <c r="EQ54" i="27"/>
  <c r="ER54" i="27"/>
  <c r="ES54" i="27"/>
  <c r="ET54" i="27"/>
  <c r="EU54" i="27"/>
  <c r="EV54" i="27"/>
  <c r="EW54" i="27"/>
  <c r="EX54" i="27"/>
  <c r="EY54" i="27"/>
  <c r="EZ54" i="27"/>
  <c r="FA54" i="27"/>
  <c r="FB54" i="27"/>
  <c r="FC54" i="27"/>
  <c r="FD54" i="27"/>
  <c r="FE54" i="27"/>
  <c r="FF54" i="27"/>
  <c r="FG54" i="27"/>
  <c r="FH54" i="27"/>
  <c r="FI54" i="27"/>
  <c r="FJ54" i="27"/>
  <c r="FK54" i="27"/>
  <c r="FL54" i="27"/>
  <c r="FM54" i="27"/>
  <c r="FN54" i="27"/>
  <c r="FO54" i="27"/>
  <c r="FP54" i="27"/>
  <c r="FQ54" i="27"/>
  <c r="FR54" i="27"/>
  <c r="FS54" i="27"/>
  <c r="FT54" i="27"/>
  <c r="FU54" i="27"/>
  <c r="FV54" i="27"/>
  <c r="FW54" i="27"/>
  <c r="FX54" i="27"/>
  <c r="FY54" i="27"/>
  <c r="FZ54" i="27"/>
  <c r="GA54" i="27"/>
  <c r="GB54" i="27"/>
  <c r="GC54" i="27"/>
  <c r="GD54" i="27"/>
  <c r="GE54" i="27"/>
  <c r="GF54" i="27"/>
  <c r="GG54" i="27"/>
  <c r="GH54" i="27"/>
  <c r="GI54" i="27"/>
  <c r="GJ54" i="27"/>
  <c r="GK54" i="27"/>
  <c r="GL54" i="27"/>
  <c r="GM54" i="27"/>
  <c r="GN54" i="27"/>
  <c r="GO54" i="27"/>
  <c r="GP54" i="27"/>
  <c r="GQ54" i="27"/>
  <c r="GR54" i="27"/>
  <c r="GS54" i="27"/>
  <c r="GT54" i="27"/>
  <c r="GU54" i="27"/>
  <c r="GV54" i="27"/>
  <c r="GW54" i="27"/>
  <c r="GX54" i="27"/>
  <c r="GY54" i="27"/>
  <c r="GZ54" i="27"/>
  <c r="HA54" i="27"/>
  <c r="HB54" i="27"/>
  <c r="HC54" i="27"/>
  <c r="HD54" i="27"/>
  <c r="HE54" i="27"/>
  <c r="HF54" i="27"/>
  <c r="HG54" i="27"/>
  <c r="HH54" i="27"/>
  <c r="HI54" i="27"/>
  <c r="HJ54" i="27"/>
  <c r="HK54" i="27"/>
  <c r="HL54" i="27"/>
  <c r="HM54" i="27"/>
  <c r="HN54" i="27"/>
  <c r="HO54" i="27"/>
  <c r="HP54" i="27"/>
  <c r="HQ54" i="27"/>
  <c r="HR54" i="27"/>
  <c r="HS54" i="27"/>
  <c r="HT54" i="27"/>
  <c r="HU54" i="27"/>
  <c r="HV54" i="27"/>
  <c r="HW54" i="27"/>
  <c r="HX54" i="27"/>
  <c r="HY54" i="27"/>
  <c r="HZ54" i="27"/>
  <c r="IA54" i="27"/>
  <c r="IB54" i="27"/>
  <c r="IC54" i="27"/>
  <c r="ID54" i="27"/>
  <c r="IE54" i="27"/>
  <c r="IF54" i="27"/>
  <c r="IG54" i="27"/>
  <c r="IH54" i="27"/>
  <c r="II54" i="27"/>
  <c r="IJ54" i="27"/>
  <c r="IK54" i="27"/>
  <c r="IL54" i="27"/>
  <c r="IM54" i="27"/>
  <c r="IN54" i="27"/>
  <c r="IO54" i="27"/>
  <c r="IP54" i="27"/>
  <c r="IQ54" i="27"/>
  <c r="IR54" i="27"/>
  <c r="IS54" i="27"/>
  <c r="IT54" i="27"/>
  <c r="IU54" i="27"/>
  <c r="IV54" i="27"/>
  <c r="B53" i="27"/>
  <c r="C53" i="27"/>
  <c r="D53" i="27"/>
  <c r="E53" i="27"/>
  <c r="F53" i="27"/>
  <c r="G53" i="27"/>
  <c r="H53" i="27"/>
  <c r="I53" i="27"/>
  <c r="J53" i="27"/>
  <c r="K53" i="27"/>
  <c r="L53" i="27"/>
  <c r="M53" i="27"/>
  <c r="N53" i="27"/>
  <c r="O53" i="27"/>
  <c r="P53" i="27"/>
  <c r="Q53" i="27"/>
  <c r="R53" i="27"/>
  <c r="S53" i="27"/>
  <c r="T53" i="27"/>
  <c r="U53" i="27"/>
  <c r="V53" i="27"/>
  <c r="W53" i="27"/>
  <c r="X53" i="27"/>
  <c r="Y53" i="27"/>
  <c r="Z53" i="27"/>
  <c r="AA53" i="27"/>
  <c r="AB53" i="27"/>
  <c r="AC53" i="27"/>
  <c r="AD53" i="27"/>
  <c r="AE53" i="27"/>
  <c r="AF53" i="27"/>
  <c r="AG53" i="27"/>
  <c r="AH53" i="27"/>
  <c r="AI53" i="27"/>
  <c r="AJ53" i="27"/>
  <c r="AK53" i="27"/>
  <c r="AL53" i="27"/>
  <c r="AM53" i="27"/>
  <c r="AN53" i="27"/>
  <c r="AO53" i="27"/>
  <c r="AP53" i="27"/>
  <c r="AQ53" i="27"/>
  <c r="AR53" i="27"/>
  <c r="AS53" i="27"/>
  <c r="AT53" i="27"/>
  <c r="AU53" i="27"/>
  <c r="AV53" i="27"/>
  <c r="AW53" i="27"/>
  <c r="AX53" i="27"/>
  <c r="AY53" i="27"/>
  <c r="AZ53" i="27"/>
  <c r="BA53" i="27"/>
  <c r="BB53" i="27"/>
  <c r="BC53" i="27"/>
  <c r="BD53" i="27"/>
  <c r="BE53" i="27"/>
  <c r="BF53" i="27"/>
  <c r="BG53" i="27"/>
  <c r="BH53" i="27"/>
  <c r="BI53" i="27"/>
  <c r="BJ53" i="27"/>
  <c r="BK53" i="27"/>
  <c r="BL53" i="27"/>
  <c r="BM53" i="27"/>
  <c r="BN53" i="27"/>
  <c r="BO53" i="27"/>
  <c r="BP53" i="27"/>
  <c r="BQ53" i="27"/>
  <c r="BR53" i="27"/>
  <c r="BS53" i="27"/>
  <c r="BT53" i="27"/>
  <c r="BU53" i="27"/>
  <c r="BV53" i="27"/>
  <c r="BW53" i="27"/>
  <c r="BX53" i="27"/>
  <c r="BY53" i="27"/>
  <c r="BZ53" i="27"/>
  <c r="CA53" i="27"/>
  <c r="CB53" i="27"/>
  <c r="CC53" i="27"/>
  <c r="CD53" i="27"/>
  <c r="CE53" i="27"/>
  <c r="CF53" i="27"/>
  <c r="CG53" i="27"/>
  <c r="CH53" i="27"/>
  <c r="CI53" i="27"/>
  <c r="CJ53" i="27"/>
  <c r="CK53" i="27"/>
  <c r="CL53" i="27"/>
  <c r="CM53" i="27"/>
  <c r="CN53" i="27"/>
  <c r="CO53" i="27"/>
  <c r="CP53" i="27"/>
  <c r="CQ53" i="27"/>
  <c r="CR53" i="27"/>
  <c r="CS53" i="27"/>
  <c r="CT53" i="27"/>
  <c r="CU53" i="27"/>
  <c r="CV53" i="27"/>
  <c r="CW53" i="27"/>
  <c r="CX53" i="27"/>
  <c r="CY53" i="27"/>
  <c r="CZ53" i="27"/>
  <c r="DA53" i="27"/>
  <c r="DB53" i="27"/>
  <c r="DC53" i="27"/>
  <c r="DD53" i="27"/>
  <c r="DE53" i="27"/>
  <c r="DF53" i="27"/>
  <c r="DG53" i="27"/>
  <c r="DH53" i="27"/>
  <c r="DI53" i="27"/>
  <c r="DJ53" i="27"/>
  <c r="DK53" i="27"/>
  <c r="DL53" i="27"/>
  <c r="DM53" i="27"/>
  <c r="DN53" i="27"/>
  <c r="DO53" i="27"/>
  <c r="DP53" i="27"/>
  <c r="DQ53" i="27"/>
  <c r="DR53" i="27"/>
  <c r="DS53" i="27"/>
  <c r="DT53" i="27"/>
  <c r="DU53" i="27"/>
  <c r="DV53" i="27"/>
  <c r="DW53" i="27"/>
  <c r="DX53" i="27"/>
  <c r="DY53" i="27"/>
  <c r="DZ53" i="27"/>
  <c r="EA53" i="27"/>
  <c r="EB53" i="27"/>
  <c r="EC53" i="27"/>
  <c r="ED53" i="27"/>
  <c r="EE53" i="27"/>
  <c r="EF53" i="27"/>
  <c r="EG53" i="27"/>
  <c r="EH53" i="27"/>
  <c r="EI53" i="27"/>
  <c r="EJ53" i="27"/>
  <c r="EK53" i="27"/>
  <c r="EL53" i="27"/>
  <c r="EM53" i="27"/>
  <c r="EN53" i="27"/>
  <c r="EO53" i="27"/>
  <c r="EP53" i="27"/>
  <c r="EQ53" i="27"/>
  <c r="ER53" i="27"/>
  <c r="ES53" i="27"/>
  <c r="ET53" i="27"/>
  <c r="EU53" i="27"/>
  <c r="EV53" i="27"/>
  <c r="EW53" i="27"/>
  <c r="EX53" i="27"/>
  <c r="EY53" i="27"/>
  <c r="EZ53" i="27"/>
  <c r="FA53" i="27"/>
  <c r="FB53" i="27"/>
  <c r="FC53" i="27"/>
  <c r="FD53" i="27"/>
  <c r="FE53" i="27"/>
  <c r="FF53" i="27"/>
  <c r="FG53" i="27"/>
  <c r="FH53" i="27"/>
  <c r="FI53" i="27"/>
  <c r="FJ53" i="27"/>
  <c r="FK53" i="27"/>
  <c r="FL53" i="27"/>
  <c r="FM53" i="27"/>
  <c r="FN53" i="27"/>
  <c r="FO53" i="27"/>
  <c r="FP53" i="27"/>
  <c r="FQ53" i="27"/>
  <c r="FR53" i="27"/>
  <c r="FS53" i="27"/>
  <c r="FT53" i="27"/>
  <c r="FU53" i="27"/>
  <c r="FV53" i="27"/>
  <c r="FW53" i="27"/>
  <c r="FX53" i="27"/>
  <c r="FY53" i="27"/>
  <c r="FZ53" i="27"/>
  <c r="GA53" i="27"/>
  <c r="GB53" i="27"/>
  <c r="GC53" i="27"/>
  <c r="GD53" i="27"/>
  <c r="GE53" i="27"/>
  <c r="GF53" i="27"/>
  <c r="GG53" i="27"/>
  <c r="GH53" i="27"/>
  <c r="GI53" i="27"/>
  <c r="GJ53" i="27"/>
  <c r="GK53" i="27"/>
  <c r="GL53" i="27"/>
  <c r="GM53" i="27"/>
  <c r="GN53" i="27"/>
  <c r="GO53" i="27"/>
  <c r="GP53" i="27"/>
  <c r="GQ53" i="27"/>
  <c r="GR53" i="27"/>
  <c r="GS53" i="27"/>
  <c r="GT53" i="27"/>
  <c r="GU53" i="27"/>
  <c r="GV53" i="27"/>
  <c r="GW53" i="27"/>
  <c r="GX53" i="27"/>
  <c r="GY53" i="27"/>
  <c r="GZ53" i="27"/>
  <c r="HA53" i="27"/>
  <c r="HB53" i="27"/>
  <c r="HC53" i="27"/>
  <c r="HD53" i="27"/>
  <c r="HE53" i="27"/>
  <c r="HF53" i="27"/>
  <c r="HG53" i="27"/>
  <c r="HH53" i="27"/>
  <c r="HI53" i="27"/>
  <c r="HJ53" i="27"/>
  <c r="HK53" i="27"/>
  <c r="HL53" i="27"/>
  <c r="HM53" i="27"/>
  <c r="HN53" i="27"/>
  <c r="HO53" i="27"/>
  <c r="HP53" i="27"/>
  <c r="HQ53" i="27"/>
  <c r="HR53" i="27"/>
  <c r="HS53" i="27"/>
  <c r="HT53" i="27"/>
  <c r="HU53" i="27"/>
  <c r="HV53" i="27"/>
  <c r="HW53" i="27"/>
  <c r="HX53" i="27"/>
  <c r="HY53" i="27"/>
  <c r="HZ53" i="27"/>
  <c r="IA53" i="27"/>
  <c r="IB53" i="27"/>
  <c r="IC53" i="27"/>
  <c r="ID53" i="27"/>
  <c r="IE53" i="27"/>
  <c r="IF53" i="27"/>
  <c r="IG53" i="27"/>
  <c r="IH53" i="27"/>
  <c r="II53" i="27"/>
  <c r="IJ53" i="27"/>
  <c r="IK53" i="27"/>
  <c r="IL53" i="27"/>
  <c r="IM53" i="27"/>
  <c r="IN53" i="27"/>
  <c r="IO53" i="27"/>
  <c r="IP53" i="27"/>
  <c r="IQ53" i="27"/>
  <c r="IR53" i="27"/>
  <c r="IS53" i="27"/>
  <c r="IT53" i="27"/>
  <c r="IU53" i="27"/>
  <c r="IV53" i="27"/>
  <c r="A52" i="27"/>
  <c r="B52" i="27"/>
  <c r="C52" i="27"/>
  <c r="D52" i="27"/>
  <c r="F52" i="27"/>
  <c r="G52" i="27"/>
  <c r="H52" i="27"/>
  <c r="I52" i="27"/>
  <c r="J52" i="27"/>
  <c r="K52" i="27"/>
  <c r="L52" i="27"/>
  <c r="M52" i="27"/>
  <c r="N52" i="27"/>
  <c r="O52" i="27"/>
  <c r="P52" i="27"/>
  <c r="Q52" i="27"/>
  <c r="R52" i="27"/>
  <c r="S52" i="27"/>
  <c r="T52" i="27"/>
  <c r="U52" i="27"/>
  <c r="V52" i="27"/>
  <c r="W52" i="27"/>
  <c r="X52" i="27"/>
  <c r="Y52" i="27"/>
  <c r="Z52" i="27"/>
  <c r="AA52" i="27"/>
  <c r="AB52" i="27"/>
  <c r="AC52" i="27"/>
  <c r="AD52" i="27"/>
  <c r="AE52" i="27"/>
  <c r="AF52" i="27"/>
  <c r="AG52" i="27"/>
  <c r="AH52" i="27"/>
  <c r="AI52" i="27"/>
  <c r="AJ52" i="27"/>
  <c r="AK52" i="27"/>
  <c r="AL52" i="27"/>
  <c r="AM52" i="27"/>
  <c r="AN52" i="27"/>
  <c r="AO52" i="27"/>
  <c r="AP52" i="27"/>
  <c r="AQ52" i="27"/>
  <c r="AR52" i="27"/>
  <c r="AS52" i="27"/>
  <c r="AT52" i="27"/>
  <c r="AU52" i="27"/>
  <c r="AV52" i="27"/>
  <c r="AW52" i="27"/>
  <c r="AX52" i="27"/>
  <c r="AY52" i="27"/>
  <c r="AZ52" i="27"/>
  <c r="BA52" i="27"/>
  <c r="BB52" i="27"/>
  <c r="BC52" i="27"/>
  <c r="BD52" i="27"/>
  <c r="BE52" i="27"/>
  <c r="BF52" i="27"/>
  <c r="BG52" i="27"/>
  <c r="BH52" i="27"/>
  <c r="BI52" i="27"/>
  <c r="BJ52" i="27"/>
  <c r="BK52" i="27"/>
  <c r="BL52" i="27"/>
  <c r="BM52" i="27"/>
  <c r="BN52" i="27"/>
  <c r="BO52" i="27"/>
  <c r="BP52" i="27"/>
  <c r="BQ52" i="27"/>
  <c r="BR52" i="27"/>
  <c r="BS52" i="27"/>
  <c r="BT52" i="27"/>
  <c r="BU52" i="27"/>
  <c r="BV52" i="27"/>
  <c r="BW52" i="27"/>
  <c r="BX52" i="27"/>
  <c r="BY52" i="27"/>
  <c r="BZ52" i="27"/>
  <c r="CA52" i="27"/>
  <c r="CB52" i="27"/>
  <c r="CC52" i="27"/>
  <c r="CD52" i="27"/>
  <c r="CE52" i="27"/>
  <c r="CF52" i="27"/>
  <c r="CG52" i="27"/>
  <c r="CH52" i="27"/>
  <c r="CI52" i="27"/>
  <c r="CJ52" i="27"/>
  <c r="CK52" i="27"/>
  <c r="CL52" i="27"/>
  <c r="CM52" i="27"/>
  <c r="CN52" i="27"/>
  <c r="CO52" i="27"/>
  <c r="CP52" i="27"/>
  <c r="CQ52" i="27"/>
  <c r="CR52" i="27"/>
  <c r="CS52" i="27"/>
  <c r="CT52" i="27"/>
  <c r="CU52" i="27"/>
  <c r="CV52" i="27"/>
  <c r="CW52" i="27"/>
  <c r="CX52" i="27"/>
  <c r="CY52" i="27"/>
  <c r="CZ52" i="27"/>
  <c r="DA52" i="27"/>
  <c r="DB52" i="27"/>
  <c r="DC52" i="27"/>
  <c r="DD52" i="27"/>
  <c r="DE52" i="27"/>
  <c r="DF52" i="27"/>
  <c r="DG52" i="27"/>
  <c r="DH52" i="27"/>
  <c r="DI52" i="27"/>
  <c r="DJ52" i="27"/>
  <c r="DK52" i="27"/>
  <c r="DL52" i="27"/>
  <c r="DM52" i="27"/>
  <c r="DN52" i="27"/>
  <c r="DO52" i="27"/>
  <c r="DP52" i="27"/>
  <c r="DQ52" i="27"/>
  <c r="DR52" i="27"/>
  <c r="DS52" i="27"/>
  <c r="DT52" i="27"/>
  <c r="DU52" i="27"/>
  <c r="DV52" i="27"/>
  <c r="DW52" i="27"/>
  <c r="DX52" i="27"/>
  <c r="DY52" i="27"/>
  <c r="DZ52" i="27"/>
  <c r="EA52" i="27"/>
  <c r="EB52" i="27"/>
  <c r="EC52" i="27"/>
  <c r="ED52" i="27"/>
  <c r="EE52" i="27"/>
  <c r="EF52" i="27"/>
  <c r="EG52" i="27"/>
  <c r="EH52" i="27"/>
  <c r="EI52" i="27"/>
  <c r="EJ52" i="27"/>
  <c r="EK52" i="27"/>
  <c r="EL52" i="27"/>
  <c r="EM52" i="27"/>
  <c r="EN52" i="27"/>
  <c r="EO52" i="27"/>
  <c r="EP52" i="27"/>
  <c r="EQ52" i="27"/>
  <c r="ER52" i="27"/>
  <c r="ES52" i="27"/>
  <c r="ET52" i="27"/>
  <c r="EU52" i="27"/>
  <c r="EV52" i="27"/>
  <c r="EW52" i="27"/>
  <c r="EX52" i="27"/>
  <c r="EY52" i="27"/>
  <c r="EZ52" i="27"/>
  <c r="FA52" i="27"/>
  <c r="FB52" i="27"/>
  <c r="FC52" i="27"/>
  <c r="FD52" i="27"/>
  <c r="FE52" i="27"/>
  <c r="FF52" i="27"/>
  <c r="FG52" i="27"/>
  <c r="FH52" i="27"/>
  <c r="FI52" i="27"/>
  <c r="FJ52" i="27"/>
  <c r="FK52" i="27"/>
  <c r="FL52" i="27"/>
  <c r="FM52" i="27"/>
  <c r="FN52" i="27"/>
  <c r="FO52" i="27"/>
  <c r="FP52" i="27"/>
  <c r="FQ52" i="27"/>
  <c r="FR52" i="27"/>
  <c r="FS52" i="27"/>
  <c r="FT52" i="27"/>
  <c r="FU52" i="27"/>
  <c r="FV52" i="27"/>
  <c r="FW52" i="27"/>
  <c r="FX52" i="27"/>
  <c r="FY52" i="27"/>
  <c r="FZ52" i="27"/>
  <c r="GA52" i="27"/>
  <c r="GB52" i="27"/>
  <c r="GC52" i="27"/>
  <c r="GD52" i="27"/>
  <c r="GE52" i="27"/>
  <c r="GF52" i="27"/>
  <c r="GG52" i="27"/>
  <c r="GH52" i="27"/>
  <c r="GI52" i="27"/>
  <c r="GJ52" i="27"/>
  <c r="GK52" i="27"/>
  <c r="GL52" i="27"/>
  <c r="GM52" i="27"/>
  <c r="GN52" i="27"/>
  <c r="GO52" i="27"/>
  <c r="GP52" i="27"/>
  <c r="GQ52" i="27"/>
  <c r="GR52" i="27"/>
  <c r="GS52" i="27"/>
  <c r="GT52" i="27"/>
  <c r="GU52" i="27"/>
  <c r="GV52" i="27"/>
  <c r="GW52" i="27"/>
  <c r="GX52" i="27"/>
  <c r="GY52" i="27"/>
  <c r="GZ52" i="27"/>
  <c r="HA52" i="27"/>
  <c r="HB52" i="27"/>
  <c r="HC52" i="27"/>
  <c r="HD52" i="27"/>
  <c r="HE52" i="27"/>
  <c r="HF52" i="27"/>
  <c r="HG52" i="27"/>
  <c r="HH52" i="27"/>
  <c r="HI52" i="27"/>
  <c r="HJ52" i="27"/>
  <c r="HK52" i="27"/>
  <c r="HL52" i="27"/>
  <c r="HM52" i="27"/>
  <c r="HN52" i="27"/>
  <c r="HO52" i="27"/>
  <c r="HP52" i="27"/>
  <c r="HQ52" i="27"/>
  <c r="HR52" i="27"/>
  <c r="HS52" i="27"/>
  <c r="HT52" i="27"/>
  <c r="HU52" i="27"/>
  <c r="HV52" i="27"/>
  <c r="HW52" i="27"/>
  <c r="HX52" i="27"/>
  <c r="HY52" i="27"/>
  <c r="HZ52" i="27"/>
  <c r="IA52" i="27"/>
  <c r="IB52" i="27"/>
  <c r="IC52" i="27"/>
  <c r="ID52" i="27"/>
  <c r="IE52" i="27"/>
  <c r="IF52" i="27"/>
  <c r="IG52" i="27"/>
  <c r="IH52" i="27"/>
  <c r="II52" i="27"/>
  <c r="IJ52" i="27"/>
  <c r="IK52" i="27"/>
  <c r="IL52" i="27"/>
  <c r="IM52" i="27"/>
  <c r="IN52" i="27"/>
  <c r="IO52" i="27"/>
  <c r="IP52" i="27"/>
  <c r="IQ52" i="27"/>
  <c r="IR52" i="27"/>
  <c r="IS52" i="27"/>
  <c r="IT52" i="27"/>
  <c r="IU52" i="27"/>
  <c r="IV52" i="27"/>
  <c r="A51" i="27"/>
  <c r="B51" i="27"/>
  <c r="C51" i="27"/>
  <c r="D51" i="27"/>
  <c r="E51" i="27"/>
  <c r="F51" i="27"/>
  <c r="G51" i="27"/>
  <c r="H51" i="27"/>
  <c r="J51" i="27"/>
  <c r="K51" i="27"/>
  <c r="L51" i="27"/>
  <c r="M51" i="27"/>
  <c r="N51" i="27"/>
  <c r="O51" i="27"/>
  <c r="P51" i="27"/>
  <c r="Q51" i="27"/>
  <c r="R51" i="27"/>
  <c r="S51" i="27"/>
  <c r="T51" i="27"/>
  <c r="U51" i="27"/>
  <c r="V51" i="27"/>
  <c r="W51" i="27"/>
  <c r="X51" i="27"/>
  <c r="Y51" i="27"/>
  <c r="Z51" i="27"/>
  <c r="AA51" i="27"/>
  <c r="AB51" i="27"/>
  <c r="AC51" i="27"/>
  <c r="AD51" i="27"/>
  <c r="AE51" i="27"/>
  <c r="AF51" i="27"/>
  <c r="AG51" i="27"/>
  <c r="AH51" i="27"/>
  <c r="AI51" i="27"/>
  <c r="AJ51" i="27"/>
  <c r="AK51" i="27"/>
  <c r="AL51" i="27"/>
  <c r="AM51" i="27"/>
  <c r="AN51" i="27"/>
  <c r="AO51" i="27"/>
  <c r="AP51" i="27"/>
  <c r="AQ51" i="27"/>
  <c r="AR51" i="27"/>
  <c r="AS51" i="27"/>
  <c r="AT51" i="27"/>
  <c r="AU51" i="27"/>
  <c r="AV51" i="27"/>
  <c r="AW51" i="27"/>
  <c r="AX51" i="27"/>
  <c r="AY51" i="27"/>
  <c r="AZ51" i="27"/>
  <c r="BA51" i="27"/>
  <c r="BB51" i="27"/>
  <c r="BC51" i="27"/>
  <c r="BD51" i="27"/>
  <c r="BE51" i="27"/>
  <c r="BF51" i="27"/>
  <c r="BG51" i="27"/>
  <c r="BH51" i="27"/>
  <c r="BI51" i="27"/>
  <c r="BJ51" i="27"/>
  <c r="BK51" i="27"/>
  <c r="BL51" i="27"/>
  <c r="BM51" i="27"/>
  <c r="BN51" i="27"/>
  <c r="BO51" i="27"/>
  <c r="BP51" i="27"/>
  <c r="BQ51" i="27"/>
  <c r="BR51" i="27"/>
  <c r="BS51" i="27"/>
  <c r="BT51" i="27"/>
  <c r="BU51" i="27"/>
  <c r="BV51" i="27"/>
  <c r="BW51" i="27"/>
  <c r="BX51" i="27"/>
  <c r="BY51" i="27"/>
  <c r="BZ51" i="27"/>
  <c r="CA51" i="27"/>
  <c r="CB51" i="27"/>
  <c r="CC51" i="27"/>
  <c r="CD51" i="27"/>
  <c r="CE51" i="27"/>
  <c r="CF51" i="27"/>
  <c r="CG51" i="27"/>
  <c r="CH51" i="27"/>
  <c r="CI51" i="27"/>
  <c r="CJ51" i="27"/>
  <c r="CK51" i="27"/>
  <c r="CL51" i="27"/>
  <c r="CM51" i="27"/>
  <c r="CN51" i="27"/>
  <c r="CO51" i="27"/>
  <c r="CP51" i="27"/>
  <c r="CQ51" i="27"/>
  <c r="CR51" i="27"/>
  <c r="CS51" i="27"/>
  <c r="CT51" i="27"/>
  <c r="CU51" i="27"/>
  <c r="CV51" i="27"/>
  <c r="CW51" i="27"/>
  <c r="CX51" i="27"/>
  <c r="CY51" i="27"/>
  <c r="CZ51" i="27"/>
  <c r="DA51" i="27"/>
  <c r="DB51" i="27"/>
  <c r="DC51" i="27"/>
  <c r="DD51" i="27"/>
  <c r="DE51" i="27"/>
  <c r="DF51" i="27"/>
  <c r="DG51" i="27"/>
  <c r="DH51" i="27"/>
  <c r="DI51" i="27"/>
  <c r="DJ51" i="27"/>
  <c r="DK51" i="27"/>
  <c r="DL51" i="27"/>
  <c r="DM51" i="27"/>
  <c r="DN51" i="27"/>
  <c r="DO51" i="27"/>
  <c r="DP51" i="27"/>
  <c r="DQ51" i="27"/>
  <c r="DR51" i="27"/>
  <c r="DS51" i="27"/>
  <c r="DT51" i="27"/>
  <c r="DU51" i="27"/>
  <c r="DV51" i="27"/>
  <c r="DW51" i="27"/>
  <c r="DX51" i="27"/>
  <c r="DY51" i="27"/>
  <c r="DZ51" i="27"/>
  <c r="EA51" i="27"/>
  <c r="EB51" i="27"/>
  <c r="EC51" i="27"/>
  <c r="ED51" i="27"/>
  <c r="EE51" i="27"/>
  <c r="EF51" i="27"/>
  <c r="EG51" i="27"/>
  <c r="EH51" i="27"/>
  <c r="EI51" i="27"/>
  <c r="EJ51" i="27"/>
  <c r="EK51" i="27"/>
  <c r="EL51" i="27"/>
  <c r="EM51" i="27"/>
  <c r="EN51" i="27"/>
  <c r="EO51" i="27"/>
  <c r="EP51" i="27"/>
  <c r="EQ51" i="27"/>
  <c r="ER51" i="27"/>
  <c r="ES51" i="27"/>
  <c r="ET51" i="27"/>
  <c r="EU51" i="27"/>
  <c r="EV51" i="27"/>
  <c r="EW51" i="27"/>
  <c r="EX51" i="27"/>
  <c r="EY51" i="27"/>
  <c r="EZ51" i="27"/>
  <c r="FA51" i="27"/>
  <c r="FB51" i="27"/>
  <c r="FC51" i="27"/>
  <c r="FD51" i="27"/>
  <c r="FE51" i="27"/>
  <c r="FF51" i="27"/>
  <c r="FG51" i="27"/>
  <c r="FH51" i="27"/>
  <c r="FI51" i="27"/>
  <c r="FJ51" i="27"/>
  <c r="FK51" i="27"/>
  <c r="FL51" i="27"/>
  <c r="FM51" i="27"/>
  <c r="FN51" i="27"/>
  <c r="FO51" i="27"/>
  <c r="FP51" i="27"/>
  <c r="FQ51" i="27"/>
  <c r="FR51" i="27"/>
  <c r="FS51" i="27"/>
  <c r="FT51" i="27"/>
  <c r="FU51" i="27"/>
  <c r="FV51" i="27"/>
  <c r="FW51" i="27"/>
  <c r="FX51" i="27"/>
  <c r="FY51" i="27"/>
  <c r="FZ51" i="27"/>
  <c r="GA51" i="27"/>
  <c r="GB51" i="27"/>
  <c r="GC51" i="27"/>
  <c r="GD51" i="27"/>
  <c r="GE51" i="27"/>
  <c r="GF51" i="27"/>
  <c r="GG51" i="27"/>
  <c r="GH51" i="27"/>
  <c r="GI51" i="27"/>
  <c r="GJ51" i="27"/>
  <c r="GK51" i="27"/>
  <c r="GL51" i="27"/>
  <c r="GM51" i="27"/>
  <c r="GN51" i="27"/>
  <c r="GO51" i="27"/>
  <c r="GP51" i="27"/>
  <c r="GQ51" i="27"/>
  <c r="GR51" i="27"/>
  <c r="GS51" i="27"/>
  <c r="GT51" i="27"/>
  <c r="GU51" i="27"/>
  <c r="GV51" i="27"/>
  <c r="GW51" i="27"/>
  <c r="GX51" i="27"/>
  <c r="GY51" i="27"/>
  <c r="GZ51" i="27"/>
  <c r="HA51" i="27"/>
  <c r="HB51" i="27"/>
  <c r="HC51" i="27"/>
  <c r="HD51" i="27"/>
  <c r="HE51" i="27"/>
  <c r="HF51" i="27"/>
  <c r="HG51" i="27"/>
  <c r="HH51" i="27"/>
  <c r="HI51" i="27"/>
  <c r="HJ51" i="27"/>
  <c r="HK51" i="27"/>
  <c r="HL51" i="27"/>
  <c r="HM51" i="27"/>
  <c r="HN51" i="27"/>
  <c r="HO51" i="27"/>
  <c r="HP51" i="27"/>
  <c r="HQ51" i="27"/>
  <c r="HR51" i="27"/>
  <c r="HS51" i="27"/>
  <c r="HT51" i="27"/>
  <c r="HU51" i="27"/>
  <c r="HV51" i="27"/>
  <c r="HW51" i="27"/>
  <c r="HX51" i="27"/>
  <c r="HY51" i="27"/>
  <c r="HZ51" i="27"/>
  <c r="IA51" i="27"/>
  <c r="IB51" i="27"/>
  <c r="IC51" i="27"/>
  <c r="ID51" i="27"/>
  <c r="IE51" i="27"/>
  <c r="IF51" i="27"/>
  <c r="IG51" i="27"/>
  <c r="IH51" i="27"/>
  <c r="II51" i="27"/>
  <c r="IJ51" i="27"/>
  <c r="IK51" i="27"/>
  <c r="IL51" i="27"/>
  <c r="IM51" i="27"/>
  <c r="IN51" i="27"/>
  <c r="IO51" i="27"/>
  <c r="IP51" i="27"/>
  <c r="IQ51" i="27"/>
  <c r="IR51" i="27"/>
  <c r="IS51" i="27"/>
  <c r="IT51" i="27"/>
  <c r="IU51" i="27"/>
  <c r="IV51" i="27"/>
  <c r="A50" i="27"/>
  <c r="B50" i="27"/>
  <c r="C50" i="27"/>
  <c r="E50" i="27"/>
  <c r="F50" i="27"/>
  <c r="G50" i="27"/>
  <c r="H50" i="27"/>
  <c r="I50" i="27"/>
  <c r="J50" i="27"/>
  <c r="K50" i="27"/>
  <c r="L50" i="27"/>
  <c r="M50" i="27"/>
  <c r="N50" i="27"/>
  <c r="O50" i="27"/>
  <c r="P50" i="27"/>
  <c r="Q50" i="27"/>
  <c r="R50" i="27"/>
  <c r="S50" i="27"/>
  <c r="T50" i="27"/>
  <c r="U50" i="27"/>
  <c r="V50" i="27"/>
  <c r="W50" i="27"/>
  <c r="X50" i="27"/>
  <c r="Y50" i="27"/>
  <c r="Z50" i="27"/>
  <c r="AA50" i="27"/>
  <c r="AB50" i="27"/>
  <c r="AC50" i="27"/>
  <c r="AD50" i="27"/>
  <c r="AE50" i="27"/>
  <c r="AF50" i="27"/>
  <c r="AG50" i="27"/>
  <c r="AH50" i="27"/>
  <c r="AI50" i="27"/>
  <c r="AJ50" i="27"/>
  <c r="AK50" i="27"/>
  <c r="AL50" i="27"/>
  <c r="AM50" i="27"/>
  <c r="AN50" i="27"/>
  <c r="AO50" i="27"/>
  <c r="AP50" i="27"/>
  <c r="AQ50" i="27"/>
  <c r="AR50" i="27"/>
  <c r="AS50" i="27"/>
  <c r="AT50" i="27"/>
  <c r="AU50" i="27"/>
  <c r="AV50" i="27"/>
  <c r="AW50" i="27"/>
  <c r="AX50" i="27"/>
  <c r="AY50" i="27"/>
  <c r="AZ50" i="27"/>
  <c r="BA50" i="27"/>
  <c r="BB50" i="27"/>
  <c r="BC50" i="27"/>
  <c r="BD50" i="27"/>
  <c r="BE50" i="27"/>
  <c r="BF50" i="27"/>
  <c r="BG50" i="27"/>
  <c r="BH50" i="27"/>
  <c r="BI50" i="27"/>
  <c r="BJ50" i="27"/>
  <c r="BK50" i="27"/>
  <c r="BL50" i="27"/>
  <c r="BM50" i="27"/>
  <c r="BN50" i="27"/>
  <c r="BO50" i="27"/>
  <c r="BP50" i="27"/>
  <c r="BQ50" i="27"/>
  <c r="BR50" i="27"/>
  <c r="BS50" i="27"/>
  <c r="BT50" i="27"/>
  <c r="BU50" i="27"/>
  <c r="BV50" i="27"/>
  <c r="BW50" i="27"/>
  <c r="BX50" i="27"/>
  <c r="BY50" i="27"/>
  <c r="BZ50" i="27"/>
  <c r="CA50" i="27"/>
  <c r="CB50" i="27"/>
  <c r="CC50" i="27"/>
  <c r="CD50" i="27"/>
  <c r="CE50" i="27"/>
  <c r="CF50" i="27"/>
  <c r="CG50" i="27"/>
  <c r="CH50" i="27"/>
  <c r="CI50" i="27"/>
  <c r="CJ50" i="27"/>
  <c r="CK50" i="27"/>
  <c r="CL50" i="27"/>
  <c r="CM50" i="27"/>
  <c r="CN50" i="27"/>
  <c r="CO50" i="27"/>
  <c r="CP50" i="27"/>
  <c r="CQ50" i="27"/>
  <c r="CR50" i="27"/>
  <c r="CS50" i="27"/>
  <c r="CT50" i="27"/>
  <c r="CU50" i="27"/>
  <c r="CV50" i="27"/>
  <c r="CW50" i="27"/>
  <c r="CX50" i="27"/>
  <c r="CY50" i="27"/>
  <c r="CZ50" i="27"/>
  <c r="DA50" i="27"/>
  <c r="DB50" i="27"/>
  <c r="DC50" i="27"/>
  <c r="DD50" i="27"/>
  <c r="DE50" i="27"/>
  <c r="DF50" i="27"/>
  <c r="DG50" i="27"/>
  <c r="DH50" i="27"/>
  <c r="DI50" i="27"/>
  <c r="DJ50" i="27"/>
  <c r="DK50" i="27"/>
  <c r="DL50" i="27"/>
  <c r="DM50" i="27"/>
  <c r="DN50" i="27"/>
  <c r="DO50" i="27"/>
  <c r="DP50" i="27"/>
  <c r="DQ50" i="27"/>
  <c r="DR50" i="27"/>
  <c r="DS50" i="27"/>
  <c r="DT50" i="27"/>
  <c r="DU50" i="27"/>
  <c r="DV50" i="27"/>
  <c r="DW50" i="27"/>
  <c r="DX50" i="27"/>
  <c r="DY50" i="27"/>
  <c r="DZ50" i="27"/>
  <c r="EA50" i="27"/>
  <c r="EB50" i="27"/>
  <c r="EC50" i="27"/>
  <c r="ED50" i="27"/>
  <c r="EE50" i="27"/>
  <c r="EF50" i="27"/>
  <c r="EG50" i="27"/>
  <c r="EH50" i="27"/>
  <c r="EI50" i="27"/>
  <c r="EJ50" i="27"/>
  <c r="EK50" i="27"/>
  <c r="EL50" i="27"/>
  <c r="EM50" i="27"/>
  <c r="EN50" i="27"/>
  <c r="EO50" i="27"/>
  <c r="EP50" i="27"/>
  <c r="EQ50" i="27"/>
  <c r="ER50" i="27"/>
  <c r="ES50" i="27"/>
  <c r="ET50" i="27"/>
  <c r="EU50" i="27"/>
  <c r="EV50" i="27"/>
  <c r="EW50" i="27"/>
  <c r="EX50" i="27"/>
  <c r="EY50" i="27"/>
  <c r="EZ50" i="27"/>
  <c r="FA50" i="27"/>
  <c r="FB50" i="27"/>
  <c r="FC50" i="27"/>
  <c r="FD50" i="27"/>
  <c r="FE50" i="27"/>
  <c r="FF50" i="27"/>
  <c r="FG50" i="27"/>
  <c r="FH50" i="27"/>
  <c r="FI50" i="27"/>
  <c r="FJ50" i="27"/>
  <c r="FK50" i="27"/>
  <c r="FL50" i="27"/>
  <c r="FM50" i="27"/>
  <c r="FN50" i="27"/>
  <c r="FO50" i="27"/>
  <c r="FP50" i="27"/>
  <c r="FQ50" i="27"/>
  <c r="FR50" i="27"/>
  <c r="FS50" i="27"/>
  <c r="FT50" i="27"/>
  <c r="FU50" i="27"/>
  <c r="FV50" i="27"/>
  <c r="FW50" i="27"/>
  <c r="FX50" i="27"/>
  <c r="FY50" i="27"/>
  <c r="FZ50" i="27"/>
  <c r="GA50" i="27"/>
  <c r="GB50" i="27"/>
  <c r="GC50" i="27"/>
  <c r="GD50" i="27"/>
  <c r="GE50" i="27"/>
  <c r="GF50" i="27"/>
  <c r="GG50" i="27"/>
  <c r="GH50" i="27"/>
  <c r="GI50" i="27"/>
  <c r="GJ50" i="27"/>
  <c r="GK50" i="27"/>
  <c r="GL50" i="27"/>
  <c r="GM50" i="27"/>
  <c r="GN50" i="27"/>
  <c r="GO50" i="27"/>
  <c r="GP50" i="27"/>
  <c r="GQ50" i="27"/>
  <c r="GR50" i="27"/>
  <c r="GS50" i="27"/>
  <c r="GT50" i="27"/>
  <c r="GU50" i="27"/>
  <c r="GV50" i="27"/>
  <c r="GW50" i="27"/>
  <c r="GX50" i="27"/>
  <c r="GY50" i="27"/>
  <c r="GZ50" i="27"/>
  <c r="HA50" i="27"/>
  <c r="HB50" i="27"/>
  <c r="HC50" i="27"/>
  <c r="HD50" i="27"/>
  <c r="HE50" i="27"/>
  <c r="HF50" i="27"/>
  <c r="HG50" i="27"/>
  <c r="HH50" i="27"/>
  <c r="HI50" i="27"/>
  <c r="HJ50" i="27"/>
  <c r="HK50" i="27"/>
  <c r="HL50" i="27"/>
  <c r="HM50" i="27"/>
  <c r="HN50" i="27"/>
  <c r="HO50" i="27"/>
  <c r="HP50" i="27"/>
  <c r="HQ50" i="27"/>
  <c r="HR50" i="27"/>
  <c r="HS50" i="27"/>
  <c r="HT50" i="27"/>
  <c r="HU50" i="27"/>
  <c r="HV50" i="27"/>
  <c r="HW50" i="27"/>
  <c r="HX50" i="27"/>
  <c r="HY50" i="27"/>
  <c r="HZ50" i="27"/>
  <c r="IA50" i="27"/>
  <c r="IB50" i="27"/>
  <c r="IC50" i="27"/>
  <c r="ID50" i="27"/>
  <c r="IE50" i="27"/>
  <c r="IF50" i="27"/>
  <c r="IG50" i="27"/>
  <c r="IH50" i="27"/>
  <c r="II50" i="27"/>
  <c r="IJ50" i="27"/>
  <c r="IK50" i="27"/>
  <c r="IL50" i="27"/>
  <c r="IM50" i="27"/>
  <c r="IN50" i="27"/>
  <c r="IO50" i="27"/>
  <c r="IP50" i="27"/>
  <c r="IQ50" i="27"/>
  <c r="IR50" i="27"/>
  <c r="IS50" i="27"/>
  <c r="IT50" i="27"/>
  <c r="IU50" i="27"/>
  <c r="IV50" i="27"/>
  <c r="A49" i="27"/>
  <c r="B49" i="27"/>
  <c r="C49" i="27"/>
  <c r="D49" i="27"/>
  <c r="E49" i="27"/>
  <c r="F49" i="27"/>
  <c r="G49" i="27"/>
  <c r="H49" i="27"/>
  <c r="I49" i="27"/>
  <c r="J49" i="27"/>
  <c r="K49" i="27"/>
  <c r="L49" i="27"/>
  <c r="M49" i="27"/>
  <c r="N49" i="27"/>
  <c r="O49" i="27"/>
  <c r="P49" i="27"/>
  <c r="Q49" i="27"/>
  <c r="R49" i="27"/>
  <c r="S49" i="27"/>
  <c r="T49" i="27"/>
  <c r="U49" i="27"/>
  <c r="V49" i="27"/>
  <c r="W49" i="27"/>
  <c r="X49" i="27"/>
  <c r="Y49" i="27"/>
  <c r="Z49" i="27"/>
  <c r="AA49" i="27"/>
  <c r="AB49" i="27"/>
  <c r="AC49" i="27"/>
  <c r="AD49" i="27"/>
  <c r="AE49" i="27"/>
  <c r="AF49" i="27"/>
  <c r="AG49" i="27"/>
  <c r="AH49" i="27"/>
  <c r="AI49" i="27"/>
  <c r="AJ49" i="27"/>
  <c r="AK49" i="27"/>
  <c r="AL49" i="27"/>
  <c r="AM49" i="27"/>
  <c r="AN49" i="27"/>
  <c r="AO49" i="27"/>
  <c r="AP49" i="27"/>
  <c r="AQ49" i="27"/>
  <c r="AR49" i="27"/>
  <c r="AS49" i="27"/>
  <c r="AT49" i="27"/>
  <c r="AU49" i="27"/>
  <c r="AV49" i="27"/>
  <c r="AW49" i="27"/>
  <c r="AX49" i="27"/>
  <c r="AY49" i="27"/>
  <c r="AZ49" i="27"/>
  <c r="BA49" i="27"/>
  <c r="BB49" i="27"/>
  <c r="BC49" i="27"/>
  <c r="BD49" i="27"/>
  <c r="BE49" i="27"/>
  <c r="BF49" i="27"/>
  <c r="BG49" i="27"/>
  <c r="BH49" i="27"/>
  <c r="BI49" i="27"/>
  <c r="BJ49" i="27"/>
  <c r="BK49" i="27"/>
  <c r="BL49" i="27"/>
  <c r="BM49" i="27"/>
  <c r="BN49" i="27"/>
  <c r="BO49" i="27"/>
  <c r="BP49" i="27"/>
  <c r="BQ49" i="27"/>
  <c r="BR49" i="27"/>
  <c r="BS49" i="27"/>
  <c r="BT49" i="27"/>
  <c r="BU49" i="27"/>
  <c r="BV49" i="27"/>
  <c r="BW49" i="27"/>
  <c r="BX49" i="27"/>
  <c r="BY49" i="27"/>
  <c r="BZ49" i="27"/>
  <c r="CA49" i="27"/>
  <c r="CB49" i="27"/>
  <c r="CC49" i="27"/>
  <c r="CD49" i="27"/>
  <c r="CE49" i="27"/>
  <c r="CF49" i="27"/>
  <c r="CG49" i="27"/>
  <c r="CH49" i="27"/>
  <c r="CI49" i="27"/>
  <c r="CJ49" i="27"/>
  <c r="CK49" i="27"/>
  <c r="CL49" i="27"/>
  <c r="CM49" i="27"/>
  <c r="CN49" i="27"/>
  <c r="CO49" i="27"/>
  <c r="CP49" i="27"/>
  <c r="CQ49" i="27"/>
  <c r="CR49" i="27"/>
  <c r="CS49" i="27"/>
  <c r="CT49" i="27"/>
  <c r="CU49" i="27"/>
  <c r="CV49" i="27"/>
  <c r="CW49" i="27"/>
  <c r="CX49" i="27"/>
  <c r="CY49" i="27"/>
  <c r="CZ49" i="27"/>
  <c r="DA49" i="27"/>
  <c r="DB49" i="27"/>
  <c r="DC49" i="27"/>
  <c r="DD49" i="27"/>
  <c r="DE49" i="27"/>
  <c r="DF49" i="27"/>
  <c r="DG49" i="27"/>
  <c r="DH49" i="27"/>
  <c r="DI49" i="27"/>
  <c r="DJ49" i="27"/>
  <c r="DK49" i="27"/>
  <c r="DL49" i="27"/>
  <c r="DM49" i="27"/>
  <c r="DN49" i="27"/>
  <c r="DO49" i="27"/>
  <c r="DP49" i="27"/>
  <c r="DQ49" i="27"/>
  <c r="DR49" i="27"/>
  <c r="DS49" i="27"/>
  <c r="DT49" i="27"/>
  <c r="DU49" i="27"/>
  <c r="DV49" i="27"/>
  <c r="DW49" i="27"/>
  <c r="DX49" i="27"/>
  <c r="DY49" i="27"/>
  <c r="DZ49" i="27"/>
  <c r="EA49" i="27"/>
  <c r="EB49" i="27"/>
  <c r="EC49" i="27"/>
  <c r="ED49" i="27"/>
  <c r="EE49" i="27"/>
  <c r="EF49" i="27"/>
  <c r="EG49" i="27"/>
  <c r="EH49" i="27"/>
  <c r="EI49" i="27"/>
  <c r="EJ49" i="27"/>
  <c r="EK49" i="27"/>
  <c r="EL49" i="27"/>
  <c r="EM49" i="27"/>
  <c r="EN49" i="27"/>
  <c r="EO49" i="27"/>
  <c r="EP49" i="27"/>
  <c r="EQ49" i="27"/>
  <c r="ER49" i="27"/>
  <c r="ES49" i="27"/>
  <c r="ET49" i="27"/>
  <c r="EU49" i="27"/>
  <c r="EV49" i="27"/>
  <c r="EW49" i="27"/>
  <c r="EX49" i="27"/>
  <c r="EY49" i="27"/>
  <c r="EZ49" i="27"/>
  <c r="FA49" i="27"/>
  <c r="FB49" i="27"/>
  <c r="FC49" i="27"/>
  <c r="FD49" i="27"/>
  <c r="FE49" i="27"/>
  <c r="FF49" i="27"/>
  <c r="FG49" i="27"/>
  <c r="FH49" i="27"/>
  <c r="FI49" i="27"/>
  <c r="FJ49" i="27"/>
  <c r="FK49" i="27"/>
  <c r="FL49" i="27"/>
  <c r="FM49" i="27"/>
  <c r="FN49" i="27"/>
  <c r="FO49" i="27"/>
  <c r="FP49" i="27"/>
  <c r="FQ49" i="27"/>
  <c r="FR49" i="27"/>
  <c r="FS49" i="27"/>
  <c r="FT49" i="27"/>
  <c r="FU49" i="27"/>
  <c r="FV49" i="27"/>
  <c r="FW49" i="27"/>
  <c r="FX49" i="27"/>
  <c r="FY49" i="27"/>
  <c r="FZ49" i="27"/>
  <c r="GA49" i="27"/>
  <c r="GB49" i="27"/>
  <c r="GC49" i="27"/>
  <c r="GD49" i="27"/>
  <c r="GE49" i="27"/>
  <c r="GF49" i="27"/>
  <c r="GG49" i="27"/>
  <c r="GH49" i="27"/>
  <c r="GI49" i="27"/>
  <c r="GJ49" i="27"/>
  <c r="GK49" i="27"/>
  <c r="GL49" i="27"/>
  <c r="GM49" i="27"/>
  <c r="GN49" i="27"/>
  <c r="GO49" i="27"/>
  <c r="GP49" i="27"/>
  <c r="GQ49" i="27"/>
  <c r="GR49" i="27"/>
  <c r="GS49" i="27"/>
  <c r="GT49" i="27"/>
  <c r="GU49" i="27"/>
  <c r="GV49" i="27"/>
  <c r="GW49" i="27"/>
  <c r="GX49" i="27"/>
  <c r="GY49" i="27"/>
  <c r="GZ49" i="27"/>
  <c r="HA49" i="27"/>
  <c r="HB49" i="27"/>
  <c r="HC49" i="27"/>
  <c r="HD49" i="27"/>
  <c r="HE49" i="27"/>
  <c r="HF49" i="27"/>
  <c r="HG49" i="27"/>
  <c r="HH49" i="27"/>
  <c r="HI49" i="27"/>
  <c r="HJ49" i="27"/>
  <c r="HK49" i="27"/>
  <c r="HL49" i="27"/>
  <c r="HM49" i="27"/>
  <c r="HN49" i="27"/>
  <c r="HO49" i="27"/>
  <c r="HP49" i="27"/>
  <c r="HQ49" i="27"/>
  <c r="HR49" i="27"/>
  <c r="HS49" i="27"/>
  <c r="HT49" i="27"/>
  <c r="HU49" i="27"/>
  <c r="HV49" i="27"/>
  <c r="HW49" i="27"/>
  <c r="HX49" i="27"/>
  <c r="HY49" i="27"/>
  <c r="HZ49" i="27"/>
  <c r="IA49" i="27"/>
  <c r="IB49" i="27"/>
  <c r="IC49" i="27"/>
  <c r="ID49" i="27"/>
  <c r="IE49" i="27"/>
  <c r="IF49" i="27"/>
  <c r="IG49" i="27"/>
  <c r="IH49" i="27"/>
  <c r="II49" i="27"/>
  <c r="IJ49" i="27"/>
  <c r="IK49" i="27"/>
  <c r="IL49" i="27"/>
  <c r="IM49" i="27"/>
  <c r="IN49" i="27"/>
  <c r="IO49" i="27"/>
  <c r="IP49" i="27"/>
  <c r="IQ49" i="27"/>
  <c r="IR49" i="27"/>
  <c r="IS49" i="27"/>
  <c r="IT49" i="27"/>
  <c r="IU49" i="27"/>
  <c r="IV49" i="27"/>
  <c r="A48" i="27"/>
  <c r="B48" i="27"/>
  <c r="C48" i="27"/>
  <c r="D48" i="27"/>
  <c r="E48" i="27"/>
  <c r="F48" i="27"/>
  <c r="G48" i="27"/>
  <c r="H48" i="27"/>
  <c r="I48" i="27"/>
  <c r="J48" i="27"/>
  <c r="K48" i="27"/>
  <c r="L48" i="27"/>
  <c r="M48" i="27"/>
  <c r="N48" i="27"/>
  <c r="O48" i="27"/>
  <c r="P48" i="27"/>
  <c r="Q48" i="27"/>
  <c r="R48" i="27"/>
  <c r="S48" i="27"/>
  <c r="T48" i="27"/>
  <c r="U48" i="27"/>
  <c r="V48" i="27"/>
  <c r="W48" i="27"/>
  <c r="X48" i="27"/>
  <c r="Y48" i="27"/>
  <c r="Z48" i="27"/>
  <c r="AA48" i="27"/>
  <c r="AB48" i="27"/>
  <c r="AC48" i="27"/>
  <c r="AD48" i="27"/>
  <c r="AE48" i="27"/>
  <c r="AF48" i="27"/>
  <c r="AG48" i="27"/>
  <c r="AH48" i="27"/>
  <c r="AI48" i="27"/>
  <c r="AJ48" i="27"/>
  <c r="AK48" i="27"/>
  <c r="AL48" i="27"/>
  <c r="AM48" i="27"/>
  <c r="AN48" i="27"/>
  <c r="AO48" i="27"/>
  <c r="AP48" i="27"/>
  <c r="AQ48" i="27"/>
  <c r="AR48" i="27"/>
  <c r="AS48" i="27"/>
  <c r="AT48" i="27"/>
  <c r="AU48" i="27"/>
  <c r="AV48" i="27"/>
  <c r="AW48" i="27"/>
  <c r="AX48" i="27"/>
  <c r="AY48" i="27"/>
  <c r="AZ48" i="27"/>
  <c r="BA48" i="27"/>
  <c r="BB48" i="27"/>
  <c r="BC48" i="27"/>
  <c r="BD48" i="27"/>
  <c r="BE48" i="27"/>
  <c r="BF48" i="27"/>
  <c r="BG48" i="27"/>
  <c r="BH48" i="27"/>
  <c r="BI48" i="27"/>
  <c r="BJ48" i="27"/>
  <c r="BK48" i="27"/>
  <c r="BL48" i="27"/>
  <c r="BM48" i="27"/>
  <c r="BN48" i="27"/>
  <c r="BO48" i="27"/>
  <c r="BP48" i="27"/>
  <c r="BQ48" i="27"/>
  <c r="BR48" i="27"/>
  <c r="BS48" i="27"/>
  <c r="BT48" i="27"/>
  <c r="BU48" i="27"/>
  <c r="BV48" i="27"/>
  <c r="BW48" i="27"/>
  <c r="BX48" i="27"/>
  <c r="BY48" i="27"/>
  <c r="BZ48" i="27"/>
  <c r="CA48" i="27"/>
  <c r="CB48" i="27"/>
  <c r="CC48" i="27"/>
  <c r="CD48" i="27"/>
  <c r="CE48" i="27"/>
  <c r="CF48" i="27"/>
  <c r="CG48" i="27"/>
  <c r="CH48" i="27"/>
  <c r="CI48" i="27"/>
  <c r="CJ48" i="27"/>
  <c r="CK48" i="27"/>
  <c r="CL48" i="27"/>
  <c r="CM48" i="27"/>
  <c r="CN48" i="27"/>
  <c r="CO48" i="27"/>
  <c r="CP48" i="27"/>
  <c r="CQ48" i="27"/>
  <c r="CR48" i="27"/>
  <c r="CS48" i="27"/>
  <c r="CT48" i="27"/>
  <c r="CU48" i="27"/>
  <c r="CV48" i="27"/>
  <c r="CW48" i="27"/>
  <c r="CX48" i="27"/>
  <c r="CY48" i="27"/>
  <c r="CZ48" i="27"/>
  <c r="DA48" i="27"/>
  <c r="DB48" i="27"/>
  <c r="DC48" i="27"/>
  <c r="DD48" i="27"/>
  <c r="DE48" i="27"/>
  <c r="DF48" i="27"/>
  <c r="DG48" i="27"/>
  <c r="DH48" i="27"/>
  <c r="DI48" i="27"/>
  <c r="DJ48" i="27"/>
  <c r="DK48" i="27"/>
  <c r="DL48" i="27"/>
  <c r="DM48" i="27"/>
  <c r="DN48" i="27"/>
  <c r="DO48" i="27"/>
  <c r="DP48" i="27"/>
  <c r="DQ48" i="27"/>
  <c r="DR48" i="27"/>
  <c r="DS48" i="27"/>
  <c r="DT48" i="27"/>
  <c r="DU48" i="27"/>
  <c r="DV48" i="27"/>
  <c r="DW48" i="27"/>
  <c r="DX48" i="27"/>
  <c r="DY48" i="27"/>
  <c r="DZ48" i="27"/>
  <c r="EA48" i="27"/>
  <c r="EB48" i="27"/>
  <c r="EC48" i="27"/>
  <c r="ED48" i="27"/>
  <c r="EE48" i="27"/>
  <c r="EF48" i="27"/>
  <c r="EG48" i="27"/>
  <c r="EH48" i="27"/>
  <c r="EI48" i="27"/>
  <c r="EJ48" i="27"/>
  <c r="EK48" i="27"/>
  <c r="EL48" i="27"/>
  <c r="EM48" i="27"/>
  <c r="EN48" i="27"/>
  <c r="EO48" i="27"/>
  <c r="EP48" i="27"/>
  <c r="EQ48" i="27"/>
  <c r="ER48" i="27"/>
  <c r="ES48" i="27"/>
  <c r="ET48" i="27"/>
  <c r="EU48" i="27"/>
  <c r="EV48" i="27"/>
  <c r="EW48" i="27"/>
  <c r="EX48" i="27"/>
  <c r="EY48" i="27"/>
  <c r="EZ48" i="27"/>
  <c r="FA48" i="27"/>
  <c r="FB48" i="27"/>
  <c r="FC48" i="27"/>
  <c r="FD48" i="27"/>
  <c r="FE48" i="27"/>
  <c r="FF48" i="27"/>
  <c r="FG48" i="27"/>
  <c r="FH48" i="27"/>
  <c r="FI48" i="27"/>
  <c r="FJ48" i="27"/>
  <c r="FK48" i="27"/>
  <c r="FL48" i="27"/>
  <c r="FM48" i="27"/>
  <c r="FN48" i="27"/>
  <c r="FO48" i="27"/>
  <c r="FP48" i="27"/>
  <c r="FQ48" i="27"/>
  <c r="FR48" i="27"/>
  <c r="FS48" i="27"/>
  <c r="FT48" i="27"/>
  <c r="FU48" i="27"/>
  <c r="FV48" i="27"/>
  <c r="FW48" i="27"/>
  <c r="FX48" i="27"/>
  <c r="FY48" i="27"/>
  <c r="FZ48" i="27"/>
  <c r="GA48" i="27"/>
  <c r="GB48" i="27"/>
  <c r="GC48" i="27"/>
  <c r="GD48" i="27"/>
  <c r="GE48" i="27"/>
  <c r="GF48" i="27"/>
  <c r="GG48" i="27"/>
  <c r="GH48" i="27"/>
  <c r="GI48" i="27"/>
  <c r="GJ48" i="27"/>
  <c r="GK48" i="27"/>
  <c r="GL48" i="27"/>
  <c r="GM48" i="27"/>
  <c r="GN48" i="27"/>
  <c r="GO48" i="27"/>
  <c r="GP48" i="27"/>
  <c r="GQ48" i="27"/>
  <c r="GR48" i="27"/>
  <c r="GS48" i="27"/>
  <c r="GT48" i="27"/>
  <c r="GU48" i="27"/>
  <c r="GV48" i="27"/>
  <c r="GW48" i="27"/>
  <c r="GX48" i="27"/>
  <c r="GY48" i="27"/>
  <c r="GZ48" i="27"/>
  <c r="HA48" i="27"/>
  <c r="HB48" i="27"/>
  <c r="HC48" i="27"/>
  <c r="HD48" i="27"/>
  <c r="HE48" i="27"/>
  <c r="HF48" i="27"/>
  <c r="HG48" i="27"/>
  <c r="HH48" i="27"/>
  <c r="HI48" i="27"/>
  <c r="HJ48" i="27"/>
  <c r="HK48" i="27"/>
  <c r="HL48" i="27"/>
  <c r="HM48" i="27"/>
  <c r="HN48" i="27"/>
  <c r="HO48" i="27"/>
  <c r="HP48" i="27"/>
  <c r="HQ48" i="27"/>
  <c r="HR48" i="27"/>
  <c r="HS48" i="27"/>
  <c r="HT48" i="27"/>
  <c r="HU48" i="27"/>
  <c r="HV48" i="27"/>
  <c r="HW48" i="27"/>
  <c r="HX48" i="27"/>
  <c r="HY48" i="27"/>
  <c r="HZ48" i="27"/>
  <c r="IA48" i="27"/>
  <c r="IB48" i="27"/>
  <c r="IC48" i="27"/>
  <c r="ID48" i="27"/>
  <c r="IE48" i="27"/>
  <c r="IF48" i="27"/>
  <c r="IG48" i="27"/>
  <c r="IH48" i="27"/>
  <c r="II48" i="27"/>
  <c r="IJ48" i="27"/>
  <c r="IK48" i="27"/>
  <c r="IL48" i="27"/>
  <c r="IM48" i="27"/>
  <c r="IN48" i="27"/>
  <c r="IO48" i="27"/>
  <c r="IP48" i="27"/>
  <c r="IQ48" i="27"/>
  <c r="IR48" i="27"/>
  <c r="IS48" i="27"/>
  <c r="IT48" i="27"/>
  <c r="IU48" i="27"/>
  <c r="IV48" i="27"/>
  <c r="A47" i="27"/>
  <c r="B47" i="27"/>
  <c r="C47" i="27"/>
  <c r="D47" i="27"/>
  <c r="E47" i="27"/>
  <c r="F47" i="27"/>
  <c r="G47" i="27"/>
  <c r="H47" i="27"/>
  <c r="I47" i="27"/>
  <c r="J47" i="27"/>
  <c r="K47" i="27"/>
  <c r="L47" i="27"/>
  <c r="M47" i="27"/>
  <c r="N47" i="27"/>
  <c r="O47" i="27"/>
  <c r="P47" i="27"/>
  <c r="Q47" i="27"/>
  <c r="R47" i="27"/>
  <c r="S47" i="27"/>
  <c r="T47" i="27"/>
  <c r="U47" i="27"/>
  <c r="V47" i="27"/>
  <c r="W47" i="27"/>
  <c r="X47" i="27"/>
  <c r="Y47" i="27"/>
  <c r="Z47" i="27"/>
  <c r="AA47" i="27"/>
  <c r="AB47" i="27"/>
  <c r="AC47" i="27"/>
  <c r="AD47" i="27"/>
  <c r="AE47" i="27"/>
  <c r="AF47" i="27"/>
  <c r="AG47" i="27"/>
  <c r="AH47" i="27"/>
  <c r="AI47" i="27"/>
  <c r="AJ47" i="27"/>
  <c r="AK47" i="27"/>
  <c r="AL47" i="27"/>
  <c r="AM47" i="27"/>
  <c r="AN47" i="27"/>
  <c r="AO47" i="27"/>
  <c r="AP47" i="27"/>
  <c r="AQ47" i="27"/>
  <c r="AR47" i="27"/>
  <c r="AS47" i="27"/>
  <c r="AT47" i="27"/>
  <c r="AU47" i="27"/>
  <c r="AV47" i="27"/>
  <c r="AW47" i="27"/>
  <c r="AX47" i="27"/>
  <c r="AY47" i="27"/>
  <c r="AZ47" i="27"/>
  <c r="BA47" i="27"/>
  <c r="BB47" i="27"/>
  <c r="BC47" i="27"/>
  <c r="BD47" i="27"/>
  <c r="BE47" i="27"/>
  <c r="BF47" i="27"/>
  <c r="BG47" i="27"/>
  <c r="BH47" i="27"/>
  <c r="BI47" i="27"/>
  <c r="BJ47" i="27"/>
  <c r="BK47" i="27"/>
  <c r="BL47" i="27"/>
  <c r="BM47" i="27"/>
  <c r="BN47" i="27"/>
  <c r="BO47" i="27"/>
  <c r="BP47" i="27"/>
  <c r="BQ47" i="27"/>
  <c r="BR47" i="27"/>
  <c r="BS47" i="27"/>
  <c r="BT47" i="27"/>
  <c r="BU47" i="27"/>
  <c r="BV47" i="27"/>
  <c r="BW47" i="27"/>
  <c r="BX47" i="27"/>
  <c r="BY47" i="27"/>
  <c r="BZ47" i="27"/>
  <c r="CA47" i="27"/>
  <c r="CB47" i="27"/>
  <c r="CC47" i="27"/>
  <c r="CD47" i="27"/>
  <c r="CE47" i="27"/>
  <c r="CF47" i="27"/>
  <c r="CG47" i="27"/>
  <c r="CH47" i="27"/>
  <c r="CI47" i="27"/>
  <c r="CJ47" i="27"/>
  <c r="CK47" i="27"/>
  <c r="CL47" i="27"/>
  <c r="CM47" i="27"/>
  <c r="CN47" i="27"/>
  <c r="CO47" i="27"/>
  <c r="CP47" i="27"/>
  <c r="CQ47" i="27"/>
  <c r="CR47" i="27"/>
  <c r="CS47" i="27"/>
  <c r="CT47" i="27"/>
  <c r="CU47" i="27"/>
  <c r="CV47" i="27"/>
  <c r="CW47" i="27"/>
  <c r="CX47" i="27"/>
  <c r="CY47" i="27"/>
  <c r="CZ47" i="27"/>
  <c r="DA47" i="27"/>
  <c r="DB47" i="27"/>
  <c r="DC47" i="27"/>
  <c r="DD47" i="27"/>
  <c r="DE47" i="27"/>
  <c r="DF47" i="27"/>
  <c r="DG47" i="27"/>
  <c r="DH47" i="27"/>
  <c r="DI47" i="27"/>
  <c r="DJ47" i="27"/>
  <c r="DK47" i="27"/>
  <c r="DL47" i="27"/>
  <c r="DM47" i="27"/>
  <c r="DN47" i="27"/>
  <c r="DO47" i="27"/>
  <c r="DP47" i="27"/>
  <c r="DQ47" i="27"/>
  <c r="DR47" i="27"/>
  <c r="DS47" i="27"/>
  <c r="DT47" i="27"/>
  <c r="DU47" i="27"/>
  <c r="DV47" i="27"/>
  <c r="DW47" i="27"/>
  <c r="DX47" i="27"/>
  <c r="DY47" i="27"/>
  <c r="DZ47" i="27"/>
  <c r="EA47" i="27"/>
  <c r="EB47" i="27"/>
  <c r="EC47" i="27"/>
  <c r="ED47" i="27"/>
  <c r="EE47" i="27"/>
  <c r="EF47" i="27"/>
  <c r="EG47" i="27"/>
  <c r="EH47" i="27"/>
  <c r="EI47" i="27"/>
  <c r="EJ47" i="27"/>
  <c r="EK47" i="27"/>
  <c r="EL47" i="27"/>
  <c r="EM47" i="27"/>
  <c r="EN47" i="27"/>
  <c r="EO47" i="27"/>
  <c r="EP47" i="27"/>
  <c r="EQ47" i="27"/>
  <c r="ER47" i="27"/>
  <c r="ES47" i="27"/>
  <c r="ET47" i="27"/>
  <c r="EU47" i="27"/>
  <c r="EV47" i="27"/>
  <c r="EW47" i="27"/>
  <c r="EX47" i="27"/>
  <c r="EY47" i="27"/>
  <c r="EZ47" i="27"/>
  <c r="FA47" i="27"/>
  <c r="FB47" i="27"/>
  <c r="FC47" i="27"/>
  <c r="FD47" i="27"/>
  <c r="FE47" i="27"/>
  <c r="FF47" i="27"/>
  <c r="FG47" i="27"/>
  <c r="FH47" i="27"/>
  <c r="FI47" i="27"/>
  <c r="FJ47" i="27"/>
  <c r="FK47" i="27"/>
  <c r="FL47" i="27"/>
  <c r="FM47" i="27"/>
  <c r="FN47" i="27"/>
  <c r="FO47" i="27"/>
  <c r="FP47" i="27"/>
  <c r="FQ47" i="27"/>
  <c r="FR47" i="27"/>
  <c r="FS47" i="27"/>
  <c r="FT47" i="27"/>
  <c r="FU47" i="27"/>
  <c r="FV47" i="27"/>
  <c r="FW47" i="27"/>
  <c r="FX47" i="27"/>
  <c r="FY47" i="27"/>
  <c r="FZ47" i="27"/>
  <c r="GA47" i="27"/>
  <c r="GB47" i="27"/>
  <c r="GC47" i="27"/>
  <c r="GD47" i="27"/>
  <c r="GE47" i="27"/>
  <c r="GF47" i="27"/>
  <c r="GG47" i="27"/>
  <c r="GH47" i="27"/>
  <c r="GI47" i="27"/>
  <c r="GJ47" i="27"/>
  <c r="GK47" i="27"/>
  <c r="GL47" i="27"/>
  <c r="GM47" i="27"/>
  <c r="GN47" i="27"/>
  <c r="GO47" i="27"/>
  <c r="GP47" i="27"/>
  <c r="GQ47" i="27"/>
  <c r="GR47" i="27"/>
  <c r="GS47" i="27"/>
  <c r="GT47" i="27"/>
  <c r="GU47" i="27"/>
  <c r="GV47" i="27"/>
  <c r="GW47" i="27"/>
  <c r="GX47" i="27"/>
  <c r="GY47" i="27"/>
  <c r="GZ47" i="27"/>
  <c r="HA47" i="27"/>
  <c r="HB47" i="27"/>
  <c r="HC47" i="27"/>
  <c r="HD47" i="27"/>
  <c r="HE47" i="27"/>
  <c r="HF47" i="27"/>
  <c r="HG47" i="27"/>
  <c r="HH47" i="27"/>
  <c r="HI47" i="27"/>
  <c r="HJ47" i="27"/>
  <c r="HK47" i="27"/>
  <c r="HL47" i="27"/>
  <c r="HM47" i="27"/>
  <c r="HN47" i="27"/>
  <c r="HO47" i="27"/>
  <c r="HP47" i="27"/>
  <c r="HQ47" i="27"/>
  <c r="HR47" i="27"/>
  <c r="HS47" i="27"/>
  <c r="HT47" i="27"/>
  <c r="HU47" i="27"/>
  <c r="HV47" i="27"/>
  <c r="HW47" i="27"/>
  <c r="HX47" i="27"/>
  <c r="HY47" i="27"/>
  <c r="HZ47" i="27"/>
  <c r="IA47" i="27"/>
  <c r="IB47" i="27"/>
  <c r="IC47" i="27"/>
  <c r="ID47" i="27"/>
  <c r="IE47" i="27"/>
  <c r="IF47" i="27"/>
  <c r="IG47" i="27"/>
  <c r="IH47" i="27"/>
  <c r="II47" i="27"/>
  <c r="IJ47" i="27"/>
  <c r="IK47" i="27"/>
  <c r="IL47" i="27"/>
  <c r="IM47" i="27"/>
  <c r="IN47" i="27"/>
  <c r="IO47" i="27"/>
  <c r="IP47" i="27"/>
  <c r="IQ47" i="27"/>
  <c r="IR47" i="27"/>
  <c r="IS47" i="27"/>
  <c r="IT47" i="27"/>
  <c r="IU47" i="27"/>
  <c r="IV47" i="27"/>
  <c r="A46" i="27"/>
  <c r="B46" i="27"/>
  <c r="C46" i="27"/>
  <c r="D46" i="27"/>
  <c r="E46" i="27"/>
  <c r="F46" i="27"/>
  <c r="G46" i="27"/>
  <c r="H46" i="27"/>
  <c r="I46" i="27"/>
  <c r="J46" i="27"/>
  <c r="K46" i="27"/>
  <c r="L46" i="27"/>
  <c r="M46" i="27"/>
  <c r="N46" i="27"/>
  <c r="O46" i="27"/>
  <c r="P46" i="27"/>
  <c r="R46" i="27"/>
  <c r="T46" i="27"/>
  <c r="V46" i="27"/>
  <c r="X46" i="27"/>
  <c r="Y46" i="27"/>
  <c r="Z46" i="27"/>
  <c r="AA46" i="27"/>
  <c r="AB46" i="27"/>
  <c r="AC46" i="27"/>
  <c r="AD46" i="27"/>
  <c r="AE46" i="27"/>
  <c r="AF46" i="27"/>
  <c r="AG46" i="27"/>
  <c r="AH46" i="27"/>
  <c r="AI46" i="27"/>
  <c r="AJ46" i="27"/>
  <c r="AK46" i="27"/>
  <c r="AL46" i="27"/>
  <c r="AM46" i="27"/>
  <c r="AN46" i="27"/>
  <c r="AO46" i="27"/>
  <c r="AP46" i="27"/>
  <c r="AQ46" i="27"/>
  <c r="AR46" i="27"/>
  <c r="AS46" i="27"/>
  <c r="AT46" i="27"/>
  <c r="AU46" i="27"/>
  <c r="AV46" i="27"/>
  <c r="AW46" i="27"/>
  <c r="AX46" i="27"/>
  <c r="AY46" i="27"/>
  <c r="AZ46" i="27"/>
  <c r="BA46" i="27"/>
  <c r="BB46" i="27"/>
  <c r="BC46" i="27"/>
  <c r="BD46" i="27"/>
  <c r="BE46" i="27"/>
  <c r="BF46" i="27"/>
  <c r="BG46" i="27"/>
  <c r="BH46" i="27"/>
  <c r="BI46" i="27"/>
  <c r="BJ46" i="27"/>
  <c r="BK46" i="27"/>
  <c r="BL46" i="27"/>
  <c r="BM46" i="27"/>
  <c r="BN46" i="27"/>
  <c r="BO46" i="27"/>
  <c r="BP46" i="27"/>
  <c r="BQ46" i="27"/>
  <c r="BR46" i="27"/>
  <c r="BS46" i="27"/>
  <c r="BT46" i="27"/>
  <c r="BU46" i="27"/>
  <c r="BV46" i="27"/>
  <c r="BW46" i="27"/>
  <c r="BX46" i="27"/>
  <c r="BY46" i="27"/>
  <c r="BZ46" i="27"/>
  <c r="CA46" i="27"/>
  <c r="CB46" i="27"/>
  <c r="CC46" i="27"/>
  <c r="CD46" i="27"/>
  <c r="CE46" i="27"/>
  <c r="CF46" i="27"/>
  <c r="CG46" i="27"/>
  <c r="CH46" i="27"/>
  <c r="CI46" i="27"/>
  <c r="CJ46" i="27"/>
  <c r="CK46" i="27"/>
  <c r="CL46" i="27"/>
  <c r="CM46" i="27"/>
  <c r="CN46" i="27"/>
  <c r="CO46" i="27"/>
  <c r="CP46" i="27"/>
  <c r="CQ46" i="27"/>
  <c r="CR46" i="27"/>
  <c r="CS46" i="27"/>
  <c r="CT46" i="27"/>
  <c r="CU46" i="27"/>
  <c r="CV46" i="27"/>
  <c r="CW46" i="27"/>
  <c r="CX46" i="27"/>
  <c r="CY46" i="27"/>
  <c r="CZ46" i="27"/>
  <c r="DA46" i="27"/>
  <c r="DB46" i="27"/>
  <c r="DC46" i="27"/>
  <c r="DD46" i="27"/>
  <c r="DE46" i="27"/>
  <c r="DF46" i="27"/>
  <c r="DG46" i="27"/>
  <c r="DH46" i="27"/>
  <c r="DI46" i="27"/>
  <c r="DJ46" i="27"/>
  <c r="DK46" i="27"/>
  <c r="DL46" i="27"/>
  <c r="DM46" i="27"/>
  <c r="DN46" i="27"/>
  <c r="DO46" i="27"/>
  <c r="DP46" i="27"/>
  <c r="DQ46" i="27"/>
  <c r="DR46" i="27"/>
  <c r="DS46" i="27"/>
  <c r="DT46" i="27"/>
  <c r="DU46" i="27"/>
  <c r="DV46" i="27"/>
  <c r="DW46" i="27"/>
  <c r="DX46" i="27"/>
  <c r="DY46" i="27"/>
  <c r="DZ46" i="27"/>
  <c r="EA46" i="27"/>
  <c r="EB46" i="27"/>
  <c r="EC46" i="27"/>
  <c r="ED46" i="27"/>
  <c r="EE46" i="27"/>
  <c r="EF46" i="27"/>
  <c r="EG46" i="27"/>
  <c r="EH46" i="27"/>
  <c r="EI46" i="27"/>
  <c r="EJ46" i="27"/>
  <c r="EK46" i="27"/>
  <c r="EL46" i="27"/>
  <c r="EM46" i="27"/>
  <c r="EN46" i="27"/>
  <c r="EO46" i="27"/>
  <c r="EP46" i="27"/>
  <c r="EQ46" i="27"/>
  <c r="ER46" i="27"/>
  <c r="ES46" i="27"/>
  <c r="ET46" i="27"/>
  <c r="EU46" i="27"/>
  <c r="EV46" i="27"/>
  <c r="EW46" i="27"/>
  <c r="EX46" i="27"/>
  <c r="EY46" i="27"/>
  <c r="EZ46" i="27"/>
  <c r="FA46" i="27"/>
  <c r="FB46" i="27"/>
  <c r="FC46" i="27"/>
  <c r="FD46" i="27"/>
  <c r="FE46" i="27"/>
  <c r="FF46" i="27"/>
  <c r="FG46" i="27"/>
  <c r="FH46" i="27"/>
  <c r="FI46" i="27"/>
  <c r="FJ46" i="27"/>
  <c r="FK46" i="27"/>
  <c r="FL46" i="27"/>
  <c r="FM46" i="27"/>
  <c r="FN46" i="27"/>
  <c r="FO46" i="27"/>
  <c r="FP46" i="27"/>
  <c r="FQ46" i="27"/>
  <c r="FR46" i="27"/>
  <c r="FS46" i="27"/>
  <c r="FT46" i="27"/>
  <c r="FU46" i="27"/>
  <c r="FV46" i="27"/>
  <c r="FW46" i="27"/>
  <c r="FX46" i="27"/>
  <c r="FY46" i="27"/>
  <c r="FZ46" i="27"/>
  <c r="GA46" i="27"/>
  <c r="GB46" i="27"/>
  <c r="GC46" i="27"/>
  <c r="GD46" i="27"/>
  <c r="GE46" i="27"/>
  <c r="GF46" i="27"/>
  <c r="GG46" i="27"/>
  <c r="GH46" i="27"/>
  <c r="GI46" i="27"/>
  <c r="GJ46" i="27"/>
  <c r="GK46" i="27"/>
  <c r="GL46" i="27"/>
  <c r="GM46" i="27"/>
  <c r="GN46" i="27"/>
  <c r="GO46" i="27"/>
  <c r="GP46" i="27"/>
  <c r="GQ46" i="27"/>
  <c r="GR46" i="27"/>
  <c r="GS46" i="27"/>
  <c r="GT46" i="27"/>
  <c r="GU46" i="27"/>
  <c r="GV46" i="27"/>
  <c r="GW46" i="27"/>
  <c r="GX46" i="27"/>
  <c r="GY46" i="27"/>
  <c r="GZ46" i="27"/>
  <c r="HA46" i="27"/>
  <c r="HB46" i="27"/>
  <c r="HC46" i="27"/>
  <c r="HD46" i="27"/>
  <c r="HE46" i="27"/>
  <c r="HF46" i="27"/>
  <c r="HG46" i="27"/>
  <c r="HH46" i="27"/>
  <c r="HI46" i="27"/>
  <c r="HJ46" i="27"/>
  <c r="HK46" i="27"/>
  <c r="HL46" i="27"/>
  <c r="HM46" i="27"/>
  <c r="HN46" i="27"/>
  <c r="HO46" i="27"/>
  <c r="HP46" i="27"/>
  <c r="HQ46" i="27"/>
  <c r="HR46" i="27"/>
  <c r="HS46" i="27"/>
  <c r="HT46" i="27"/>
  <c r="HU46" i="27"/>
  <c r="HV46" i="27"/>
  <c r="HW46" i="27"/>
  <c r="HX46" i="27"/>
  <c r="HY46" i="27"/>
  <c r="HZ46" i="27"/>
  <c r="IA46" i="27"/>
  <c r="IB46" i="27"/>
  <c r="IC46" i="27"/>
  <c r="ID46" i="27"/>
  <c r="IE46" i="27"/>
  <c r="IF46" i="27"/>
  <c r="IG46" i="27"/>
  <c r="IH46" i="27"/>
  <c r="II46" i="27"/>
  <c r="IJ46" i="27"/>
  <c r="IK46" i="27"/>
  <c r="IL46" i="27"/>
  <c r="IM46" i="27"/>
  <c r="IN46" i="27"/>
  <c r="IO46" i="27"/>
  <c r="IP46" i="27"/>
  <c r="IQ46" i="27"/>
  <c r="IR46" i="27"/>
  <c r="IS46" i="27"/>
  <c r="IT46" i="27"/>
  <c r="IU46" i="27"/>
  <c r="IV46" i="27"/>
  <c r="A45" i="27"/>
  <c r="B45" i="27"/>
  <c r="C45" i="27"/>
  <c r="D45" i="27"/>
  <c r="E45" i="27"/>
  <c r="F45" i="27"/>
  <c r="G45" i="27"/>
  <c r="H45" i="27"/>
  <c r="I45" i="27"/>
  <c r="J45" i="27"/>
  <c r="K45" i="27"/>
  <c r="L45" i="27"/>
  <c r="M45" i="27"/>
  <c r="N45" i="27"/>
  <c r="O45" i="27"/>
  <c r="P45" i="27"/>
  <c r="Q45" i="27"/>
  <c r="R45" i="27"/>
  <c r="S45" i="27"/>
  <c r="T45" i="27"/>
  <c r="U45" i="27"/>
  <c r="V45" i="27"/>
  <c r="W45" i="27"/>
  <c r="X45" i="27"/>
  <c r="Y45" i="27"/>
  <c r="Z45" i="27"/>
  <c r="AA45" i="27"/>
  <c r="AB45" i="27"/>
  <c r="AC45" i="27"/>
  <c r="AD45" i="27"/>
  <c r="AE45" i="27"/>
  <c r="AF45" i="27"/>
  <c r="AG45" i="27"/>
  <c r="AH45" i="27"/>
  <c r="AI45" i="27"/>
  <c r="AJ45" i="27"/>
  <c r="AK45" i="27"/>
  <c r="AL45" i="27"/>
  <c r="AM45" i="27"/>
  <c r="AN45" i="27"/>
  <c r="AO45" i="27"/>
  <c r="AP45" i="27"/>
  <c r="AQ45" i="27"/>
  <c r="AR45" i="27"/>
  <c r="AS45" i="27"/>
  <c r="AT45" i="27"/>
  <c r="AU45" i="27"/>
  <c r="AV45" i="27"/>
  <c r="AW45" i="27"/>
  <c r="AX45" i="27"/>
  <c r="AY45" i="27"/>
  <c r="AZ45" i="27"/>
  <c r="BA45" i="27"/>
  <c r="BB45" i="27"/>
  <c r="BC45" i="27"/>
  <c r="BD45" i="27"/>
  <c r="BE45" i="27"/>
  <c r="BF45" i="27"/>
  <c r="BG45" i="27"/>
  <c r="BH45" i="27"/>
  <c r="BI45" i="27"/>
  <c r="BJ45" i="27"/>
  <c r="BK45" i="27"/>
  <c r="BL45" i="27"/>
  <c r="BM45" i="27"/>
  <c r="BN45" i="27"/>
  <c r="BO45" i="27"/>
  <c r="BP45" i="27"/>
  <c r="BQ45" i="27"/>
  <c r="BR45" i="27"/>
  <c r="BS45" i="27"/>
  <c r="BT45" i="27"/>
  <c r="BU45" i="27"/>
  <c r="BV45" i="27"/>
  <c r="BW45" i="27"/>
  <c r="BX45" i="27"/>
  <c r="BY45" i="27"/>
  <c r="BZ45" i="27"/>
  <c r="CA45" i="27"/>
  <c r="CB45" i="27"/>
  <c r="CC45" i="27"/>
  <c r="CD45" i="27"/>
  <c r="CE45" i="27"/>
  <c r="CF45" i="27"/>
  <c r="CG45" i="27"/>
  <c r="CH45" i="27"/>
  <c r="CI45" i="27"/>
  <c r="CJ45" i="27"/>
  <c r="CK45" i="27"/>
  <c r="CL45" i="27"/>
  <c r="CM45" i="27"/>
  <c r="CN45" i="27"/>
  <c r="CO45" i="27"/>
  <c r="CP45" i="27"/>
  <c r="CQ45" i="27"/>
  <c r="CR45" i="27"/>
  <c r="CS45" i="27"/>
  <c r="CT45" i="27"/>
  <c r="CU45" i="27"/>
  <c r="CV45" i="27"/>
  <c r="CW45" i="27"/>
  <c r="CX45" i="27"/>
  <c r="CY45" i="27"/>
  <c r="CZ45" i="27"/>
  <c r="DA45" i="27"/>
  <c r="DB45" i="27"/>
  <c r="DC45" i="27"/>
  <c r="DD45" i="27"/>
  <c r="DE45" i="27"/>
  <c r="DF45" i="27"/>
  <c r="DG45" i="27"/>
  <c r="DH45" i="27"/>
  <c r="DI45" i="27"/>
  <c r="DJ45" i="27"/>
  <c r="DK45" i="27"/>
  <c r="DL45" i="27"/>
  <c r="DM45" i="27"/>
  <c r="DN45" i="27"/>
  <c r="DO45" i="27"/>
  <c r="DP45" i="27"/>
  <c r="DQ45" i="27"/>
  <c r="DR45" i="27"/>
  <c r="DS45" i="27"/>
  <c r="DT45" i="27"/>
  <c r="DU45" i="27"/>
  <c r="DV45" i="27"/>
  <c r="DW45" i="27"/>
  <c r="DX45" i="27"/>
  <c r="DY45" i="27"/>
  <c r="DZ45" i="27"/>
  <c r="EA45" i="27"/>
  <c r="EB45" i="27"/>
  <c r="EC45" i="27"/>
  <c r="ED45" i="27"/>
  <c r="EE45" i="27"/>
  <c r="EF45" i="27"/>
  <c r="EG45" i="27"/>
  <c r="EH45" i="27"/>
  <c r="EI45" i="27"/>
  <c r="EJ45" i="27"/>
  <c r="EK45" i="27"/>
  <c r="EL45" i="27"/>
  <c r="EM45" i="27"/>
  <c r="EN45" i="27"/>
  <c r="EO45" i="27"/>
  <c r="EP45" i="27"/>
  <c r="EQ45" i="27"/>
  <c r="ER45" i="27"/>
  <c r="ES45" i="27"/>
  <c r="ET45" i="27"/>
  <c r="EU45" i="27"/>
  <c r="EV45" i="27"/>
  <c r="EW45" i="27"/>
  <c r="EX45" i="27"/>
  <c r="EY45" i="27"/>
  <c r="EZ45" i="27"/>
  <c r="FA45" i="27"/>
  <c r="FB45" i="27"/>
  <c r="FC45" i="27"/>
  <c r="FD45" i="27"/>
  <c r="FE45" i="27"/>
  <c r="FF45" i="27"/>
  <c r="FG45" i="27"/>
  <c r="FH45" i="27"/>
  <c r="FI45" i="27"/>
  <c r="FJ45" i="27"/>
  <c r="FK45" i="27"/>
  <c r="FL45" i="27"/>
  <c r="FM45" i="27"/>
  <c r="FN45" i="27"/>
  <c r="FO45" i="27"/>
  <c r="FP45" i="27"/>
  <c r="FQ45" i="27"/>
  <c r="FR45" i="27"/>
  <c r="FS45" i="27"/>
  <c r="FT45" i="27"/>
  <c r="FU45" i="27"/>
  <c r="FV45" i="27"/>
  <c r="FW45" i="27"/>
  <c r="FX45" i="27"/>
  <c r="FY45" i="27"/>
  <c r="FZ45" i="27"/>
  <c r="GA45" i="27"/>
  <c r="GB45" i="27"/>
  <c r="GC45" i="27"/>
  <c r="GD45" i="27"/>
  <c r="GE45" i="27"/>
  <c r="GF45" i="27"/>
  <c r="GG45" i="27"/>
  <c r="GH45" i="27"/>
  <c r="GI45" i="27"/>
  <c r="GJ45" i="27"/>
  <c r="GK45" i="27"/>
  <c r="GL45" i="27"/>
  <c r="GM45" i="27"/>
  <c r="GN45" i="27"/>
  <c r="GO45" i="27"/>
  <c r="GP45" i="27"/>
  <c r="GQ45" i="27"/>
  <c r="GR45" i="27"/>
  <c r="GS45" i="27"/>
  <c r="GT45" i="27"/>
  <c r="GU45" i="27"/>
  <c r="GV45" i="27"/>
  <c r="GW45" i="27"/>
  <c r="GX45" i="27"/>
  <c r="GY45" i="27"/>
  <c r="GZ45" i="27"/>
  <c r="HA45" i="27"/>
  <c r="HB45" i="27"/>
  <c r="HC45" i="27"/>
  <c r="HD45" i="27"/>
  <c r="HE45" i="27"/>
  <c r="HF45" i="27"/>
  <c r="HG45" i="27"/>
  <c r="HH45" i="27"/>
  <c r="HI45" i="27"/>
  <c r="HJ45" i="27"/>
  <c r="HK45" i="27"/>
  <c r="HL45" i="27"/>
  <c r="HM45" i="27"/>
  <c r="HN45" i="27"/>
  <c r="HO45" i="27"/>
  <c r="HP45" i="27"/>
  <c r="HQ45" i="27"/>
  <c r="HR45" i="27"/>
  <c r="HS45" i="27"/>
  <c r="HT45" i="27"/>
  <c r="HU45" i="27"/>
  <c r="HV45" i="27"/>
  <c r="HW45" i="27"/>
  <c r="HX45" i="27"/>
  <c r="HY45" i="27"/>
  <c r="HZ45" i="27"/>
  <c r="IA45" i="27"/>
  <c r="IB45" i="27"/>
  <c r="IC45" i="27"/>
  <c r="ID45" i="27"/>
  <c r="IE45" i="27"/>
  <c r="IF45" i="27"/>
  <c r="IG45" i="27"/>
  <c r="IH45" i="27"/>
  <c r="II45" i="27"/>
  <c r="IJ45" i="27"/>
  <c r="IK45" i="27"/>
  <c r="IL45" i="27"/>
  <c r="IM45" i="27"/>
  <c r="IN45" i="27"/>
  <c r="IO45" i="27"/>
  <c r="IP45" i="27"/>
  <c r="IQ45" i="27"/>
  <c r="IR45" i="27"/>
  <c r="IS45" i="27"/>
  <c r="IT45" i="27"/>
  <c r="IU45" i="27"/>
  <c r="IV45" i="27"/>
  <c r="A44" i="27"/>
  <c r="B44" i="27"/>
  <c r="C44" i="27"/>
  <c r="D44" i="27"/>
  <c r="E44" i="27"/>
  <c r="F44" i="27"/>
  <c r="G44" i="27"/>
  <c r="H44" i="27"/>
  <c r="J44" i="27"/>
  <c r="K44" i="27"/>
  <c r="L44" i="27"/>
  <c r="M44" i="27"/>
  <c r="N44" i="27"/>
  <c r="O44" i="27"/>
  <c r="P44" i="27"/>
  <c r="Q44" i="27"/>
  <c r="R44" i="27"/>
  <c r="S44" i="27"/>
  <c r="T44" i="27"/>
  <c r="U44" i="27"/>
  <c r="V44" i="27"/>
  <c r="W44" i="27"/>
  <c r="X44" i="27"/>
  <c r="Y44" i="27"/>
  <c r="Z44" i="27"/>
  <c r="AA44" i="27"/>
  <c r="AB44" i="27"/>
  <c r="AC44" i="27"/>
  <c r="AD44" i="27"/>
  <c r="AE44" i="27"/>
  <c r="AF44" i="27"/>
  <c r="AG44" i="27"/>
  <c r="AH44" i="27"/>
  <c r="AI44" i="27"/>
  <c r="AJ44" i="27"/>
  <c r="AK44" i="27"/>
  <c r="AL44" i="27"/>
  <c r="AM44" i="27"/>
  <c r="AN44" i="27"/>
  <c r="AO44" i="27"/>
  <c r="AP44" i="27"/>
  <c r="AQ44" i="27"/>
  <c r="AR44" i="27"/>
  <c r="AS44" i="27"/>
  <c r="AT44" i="27"/>
  <c r="AU44" i="27"/>
  <c r="AV44" i="27"/>
  <c r="AW44" i="27"/>
  <c r="AX44" i="27"/>
  <c r="AY44" i="27"/>
  <c r="AZ44" i="27"/>
  <c r="BA44" i="27"/>
  <c r="BB44" i="27"/>
  <c r="BC44" i="27"/>
  <c r="BD44" i="27"/>
  <c r="BE44" i="27"/>
  <c r="BF44" i="27"/>
  <c r="BG44" i="27"/>
  <c r="BH44" i="27"/>
  <c r="BI44" i="27"/>
  <c r="BJ44" i="27"/>
  <c r="BK44" i="27"/>
  <c r="BL44" i="27"/>
  <c r="BM44" i="27"/>
  <c r="BN44" i="27"/>
  <c r="BO44" i="27"/>
  <c r="BP44" i="27"/>
  <c r="BQ44" i="27"/>
  <c r="BR44" i="27"/>
  <c r="BS44" i="27"/>
  <c r="BT44" i="27"/>
  <c r="BU44" i="27"/>
  <c r="BV44" i="27"/>
  <c r="BW44" i="27"/>
  <c r="BX44" i="27"/>
  <c r="BY44" i="27"/>
  <c r="BZ44" i="27"/>
  <c r="CA44" i="27"/>
  <c r="CB44" i="27"/>
  <c r="CC44" i="27"/>
  <c r="CD44" i="27"/>
  <c r="CE44" i="27"/>
  <c r="CF44" i="27"/>
  <c r="CG44" i="27"/>
  <c r="CH44" i="27"/>
  <c r="CI44" i="27"/>
  <c r="CJ44" i="27"/>
  <c r="CK44" i="27"/>
  <c r="CL44" i="27"/>
  <c r="CM44" i="27"/>
  <c r="CN44" i="27"/>
  <c r="CO44" i="27"/>
  <c r="CP44" i="27"/>
  <c r="CQ44" i="27"/>
  <c r="CR44" i="27"/>
  <c r="CS44" i="27"/>
  <c r="CT44" i="27"/>
  <c r="CU44" i="27"/>
  <c r="CV44" i="27"/>
  <c r="CW44" i="27"/>
  <c r="CX44" i="27"/>
  <c r="CY44" i="27"/>
  <c r="CZ44" i="27"/>
  <c r="DA44" i="27"/>
  <c r="DB44" i="27"/>
  <c r="DC44" i="27"/>
  <c r="DD44" i="27"/>
  <c r="DE44" i="27"/>
  <c r="DF44" i="27"/>
  <c r="DG44" i="27"/>
  <c r="DH44" i="27"/>
  <c r="DI44" i="27"/>
  <c r="DJ44" i="27"/>
  <c r="DK44" i="27"/>
  <c r="DL44" i="27"/>
  <c r="DM44" i="27"/>
  <c r="DN44" i="27"/>
  <c r="DO44" i="27"/>
  <c r="DP44" i="27"/>
  <c r="DQ44" i="27"/>
  <c r="DR44" i="27"/>
  <c r="DS44" i="27"/>
  <c r="DT44" i="27"/>
  <c r="DU44" i="27"/>
  <c r="DV44" i="27"/>
  <c r="DW44" i="27"/>
  <c r="DX44" i="27"/>
  <c r="DY44" i="27"/>
  <c r="DZ44" i="27"/>
  <c r="EA44" i="27"/>
  <c r="EB44" i="27"/>
  <c r="EC44" i="27"/>
  <c r="ED44" i="27"/>
  <c r="EE44" i="27"/>
  <c r="EF44" i="27"/>
  <c r="EG44" i="27"/>
  <c r="EH44" i="27"/>
  <c r="EI44" i="27"/>
  <c r="EJ44" i="27"/>
  <c r="EK44" i="27"/>
  <c r="EL44" i="27"/>
  <c r="EM44" i="27"/>
  <c r="EN44" i="27"/>
  <c r="EO44" i="27"/>
  <c r="EP44" i="27"/>
  <c r="EQ44" i="27"/>
  <c r="ER44" i="27"/>
  <c r="ES44" i="27"/>
  <c r="ET44" i="27"/>
  <c r="EU44" i="27"/>
  <c r="EV44" i="27"/>
  <c r="EW44" i="27"/>
  <c r="EX44" i="27"/>
  <c r="EY44" i="27"/>
  <c r="EZ44" i="27"/>
  <c r="FA44" i="27"/>
  <c r="FB44" i="27"/>
  <c r="FC44" i="27"/>
  <c r="FD44" i="27"/>
  <c r="FE44" i="27"/>
  <c r="FF44" i="27"/>
  <c r="FG44" i="27"/>
  <c r="FH44" i="27"/>
  <c r="FI44" i="27"/>
  <c r="FJ44" i="27"/>
  <c r="FK44" i="27"/>
  <c r="FL44" i="27"/>
  <c r="FM44" i="27"/>
  <c r="FN44" i="27"/>
  <c r="FO44" i="27"/>
  <c r="FP44" i="27"/>
  <c r="FQ44" i="27"/>
  <c r="FR44" i="27"/>
  <c r="FS44" i="27"/>
  <c r="FT44" i="27"/>
  <c r="FU44" i="27"/>
  <c r="FV44" i="27"/>
  <c r="FW44" i="27"/>
  <c r="FX44" i="27"/>
  <c r="FY44" i="27"/>
  <c r="FZ44" i="27"/>
  <c r="GA44" i="27"/>
  <c r="GB44" i="27"/>
  <c r="GC44" i="27"/>
  <c r="GD44" i="27"/>
  <c r="GE44" i="27"/>
  <c r="GF44" i="27"/>
  <c r="GG44" i="27"/>
  <c r="GH44" i="27"/>
  <c r="GI44" i="27"/>
  <c r="GJ44" i="27"/>
  <c r="GK44" i="27"/>
  <c r="GL44" i="27"/>
  <c r="GM44" i="27"/>
  <c r="GN44" i="27"/>
  <c r="GO44" i="27"/>
  <c r="GP44" i="27"/>
  <c r="GQ44" i="27"/>
  <c r="GR44" i="27"/>
  <c r="GS44" i="27"/>
  <c r="GT44" i="27"/>
  <c r="GU44" i="27"/>
  <c r="GV44" i="27"/>
  <c r="GW44" i="27"/>
  <c r="GX44" i="27"/>
  <c r="GY44" i="27"/>
  <c r="GZ44" i="27"/>
  <c r="HA44" i="27"/>
  <c r="HB44" i="27"/>
  <c r="HC44" i="27"/>
  <c r="HD44" i="27"/>
  <c r="HE44" i="27"/>
  <c r="HF44" i="27"/>
  <c r="HG44" i="27"/>
  <c r="HH44" i="27"/>
  <c r="HI44" i="27"/>
  <c r="HJ44" i="27"/>
  <c r="HK44" i="27"/>
  <c r="HL44" i="27"/>
  <c r="HM44" i="27"/>
  <c r="HN44" i="27"/>
  <c r="HO44" i="27"/>
  <c r="HP44" i="27"/>
  <c r="HQ44" i="27"/>
  <c r="HR44" i="27"/>
  <c r="HS44" i="27"/>
  <c r="HT44" i="27"/>
  <c r="HU44" i="27"/>
  <c r="HV44" i="27"/>
  <c r="HW44" i="27"/>
  <c r="HX44" i="27"/>
  <c r="HY44" i="27"/>
  <c r="HZ44" i="27"/>
  <c r="IA44" i="27"/>
  <c r="IB44" i="27"/>
  <c r="IC44" i="27"/>
  <c r="ID44" i="27"/>
  <c r="IE44" i="27"/>
  <c r="IF44" i="27"/>
  <c r="IG44" i="27"/>
  <c r="IH44" i="27"/>
  <c r="II44" i="27"/>
  <c r="IJ44" i="27"/>
  <c r="IK44" i="27"/>
  <c r="IL44" i="27"/>
  <c r="IM44" i="27"/>
  <c r="IN44" i="27"/>
  <c r="IO44" i="27"/>
  <c r="IP44" i="27"/>
  <c r="IQ44" i="27"/>
  <c r="IR44" i="27"/>
  <c r="IS44" i="27"/>
  <c r="IT44" i="27"/>
  <c r="IU44" i="27"/>
  <c r="IV44" i="27"/>
  <c r="A43" i="27"/>
  <c r="B43" i="27"/>
  <c r="C43" i="27"/>
  <c r="D43" i="27"/>
  <c r="E43" i="27"/>
  <c r="F43" i="27"/>
  <c r="G43" i="27"/>
  <c r="H43" i="27"/>
  <c r="I43" i="27"/>
  <c r="J43" i="27"/>
  <c r="K43" i="27"/>
  <c r="L43" i="27"/>
  <c r="M43" i="27"/>
  <c r="N43" i="27"/>
  <c r="O43" i="27"/>
  <c r="P43" i="27"/>
  <c r="Q43" i="27"/>
  <c r="R43" i="27"/>
  <c r="S43" i="27"/>
  <c r="T43" i="27"/>
  <c r="U43" i="27"/>
  <c r="V43" i="27"/>
  <c r="W43" i="27"/>
  <c r="X43" i="27"/>
  <c r="Y43" i="27"/>
  <c r="Z43" i="27"/>
  <c r="AA43" i="27"/>
  <c r="AB43" i="27"/>
  <c r="AC43" i="27"/>
  <c r="AD43" i="27"/>
  <c r="AE43" i="27"/>
  <c r="AF43" i="27"/>
  <c r="AG43" i="27"/>
  <c r="AH43" i="27"/>
  <c r="AI43" i="27"/>
  <c r="AJ43" i="27"/>
  <c r="AK43" i="27"/>
  <c r="AL43" i="27"/>
  <c r="AM43" i="27"/>
  <c r="AN43" i="27"/>
  <c r="AO43" i="27"/>
  <c r="AP43" i="27"/>
  <c r="AQ43" i="27"/>
  <c r="AR43" i="27"/>
  <c r="AS43" i="27"/>
  <c r="AT43" i="27"/>
  <c r="AU43" i="27"/>
  <c r="AV43" i="27"/>
  <c r="AW43" i="27"/>
  <c r="AX43" i="27"/>
  <c r="AY43" i="27"/>
  <c r="AZ43" i="27"/>
  <c r="BA43" i="27"/>
  <c r="BB43" i="27"/>
  <c r="BC43" i="27"/>
  <c r="BD43" i="27"/>
  <c r="BE43" i="27"/>
  <c r="BF43" i="27"/>
  <c r="BG43" i="27"/>
  <c r="BH43" i="27"/>
  <c r="BI43" i="27"/>
  <c r="BJ43" i="27"/>
  <c r="BK43" i="27"/>
  <c r="BL43" i="27"/>
  <c r="BM43" i="27"/>
  <c r="BN43" i="27"/>
  <c r="BO43" i="27"/>
  <c r="BP43" i="27"/>
  <c r="BQ43" i="27"/>
  <c r="BR43" i="27"/>
  <c r="BS43" i="27"/>
  <c r="BT43" i="27"/>
  <c r="BU43" i="27"/>
  <c r="BV43" i="27"/>
  <c r="BW43" i="27"/>
  <c r="BX43" i="27"/>
  <c r="BY43" i="27"/>
  <c r="BZ43" i="27"/>
  <c r="CA43" i="27"/>
  <c r="CB43" i="27"/>
  <c r="CC43" i="27"/>
  <c r="CD43" i="27"/>
  <c r="CE43" i="27"/>
  <c r="CF43" i="27"/>
  <c r="CG43" i="27"/>
  <c r="CH43" i="27"/>
  <c r="CI43" i="27"/>
  <c r="CJ43" i="27"/>
  <c r="CK43" i="27"/>
  <c r="CL43" i="27"/>
  <c r="CM43" i="27"/>
  <c r="CN43" i="27"/>
  <c r="CO43" i="27"/>
  <c r="CP43" i="27"/>
  <c r="CQ43" i="27"/>
  <c r="CR43" i="27"/>
  <c r="CS43" i="27"/>
  <c r="CT43" i="27"/>
  <c r="CU43" i="27"/>
  <c r="CV43" i="27"/>
  <c r="CW43" i="27"/>
  <c r="CX43" i="27"/>
  <c r="CY43" i="27"/>
  <c r="CZ43" i="27"/>
  <c r="DA43" i="27"/>
  <c r="DB43" i="27"/>
  <c r="DC43" i="27"/>
  <c r="DD43" i="27"/>
  <c r="DE43" i="27"/>
  <c r="DF43" i="27"/>
  <c r="DG43" i="27"/>
  <c r="DH43" i="27"/>
  <c r="DI43" i="27"/>
  <c r="DJ43" i="27"/>
  <c r="DK43" i="27"/>
  <c r="DL43" i="27"/>
  <c r="DM43" i="27"/>
  <c r="DN43" i="27"/>
  <c r="DO43" i="27"/>
  <c r="DP43" i="27"/>
  <c r="DQ43" i="27"/>
  <c r="DR43" i="27"/>
  <c r="DS43" i="27"/>
  <c r="DT43" i="27"/>
  <c r="DU43" i="27"/>
  <c r="DV43" i="27"/>
  <c r="DW43" i="27"/>
  <c r="DX43" i="27"/>
  <c r="DY43" i="27"/>
  <c r="DZ43" i="27"/>
  <c r="EA43" i="27"/>
  <c r="EB43" i="27"/>
  <c r="EC43" i="27"/>
  <c r="ED43" i="27"/>
  <c r="EE43" i="27"/>
  <c r="EF43" i="27"/>
  <c r="EG43" i="27"/>
  <c r="EH43" i="27"/>
  <c r="EI43" i="27"/>
  <c r="EJ43" i="27"/>
  <c r="EK43" i="27"/>
  <c r="EL43" i="27"/>
  <c r="EM43" i="27"/>
  <c r="EN43" i="27"/>
  <c r="EO43" i="27"/>
  <c r="EP43" i="27"/>
  <c r="EQ43" i="27"/>
  <c r="ER43" i="27"/>
  <c r="ES43" i="27"/>
  <c r="ET43" i="27"/>
  <c r="EU43" i="27"/>
  <c r="EV43" i="27"/>
  <c r="EW43" i="27"/>
  <c r="EX43" i="27"/>
  <c r="EY43" i="27"/>
  <c r="EZ43" i="27"/>
  <c r="FA43" i="27"/>
  <c r="FB43" i="27"/>
  <c r="FC43" i="27"/>
  <c r="FD43" i="27"/>
  <c r="FE43" i="27"/>
  <c r="FF43" i="27"/>
  <c r="FG43" i="27"/>
  <c r="FH43" i="27"/>
  <c r="FI43" i="27"/>
  <c r="FJ43" i="27"/>
  <c r="FK43" i="27"/>
  <c r="FL43" i="27"/>
  <c r="FM43" i="27"/>
  <c r="FN43" i="27"/>
  <c r="FO43" i="27"/>
  <c r="FP43" i="27"/>
  <c r="FQ43" i="27"/>
  <c r="FR43" i="27"/>
  <c r="FS43" i="27"/>
  <c r="FT43" i="27"/>
  <c r="FU43" i="27"/>
  <c r="FV43" i="27"/>
  <c r="FW43" i="27"/>
  <c r="FX43" i="27"/>
  <c r="FY43" i="27"/>
  <c r="FZ43" i="27"/>
  <c r="GA43" i="27"/>
  <c r="GB43" i="27"/>
  <c r="GC43" i="27"/>
  <c r="GD43" i="27"/>
  <c r="GE43" i="27"/>
  <c r="GF43" i="27"/>
  <c r="GG43" i="27"/>
  <c r="GH43" i="27"/>
  <c r="GI43" i="27"/>
  <c r="GJ43" i="27"/>
  <c r="GK43" i="27"/>
  <c r="GL43" i="27"/>
  <c r="GM43" i="27"/>
  <c r="GN43" i="27"/>
  <c r="GO43" i="27"/>
  <c r="GP43" i="27"/>
  <c r="GQ43" i="27"/>
  <c r="GR43" i="27"/>
  <c r="GS43" i="27"/>
  <c r="GT43" i="27"/>
  <c r="GU43" i="27"/>
  <c r="GV43" i="27"/>
  <c r="GW43" i="27"/>
  <c r="GX43" i="27"/>
  <c r="GY43" i="27"/>
  <c r="GZ43" i="27"/>
  <c r="HA43" i="27"/>
  <c r="HB43" i="27"/>
  <c r="HC43" i="27"/>
  <c r="HD43" i="27"/>
  <c r="HE43" i="27"/>
  <c r="HF43" i="27"/>
  <c r="HG43" i="27"/>
  <c r="HH43" i="27"/>
  <c r="HI43" i="27"/>
  <c r="HJ43" i="27"/>
  <c r="HK43" i="27"/>
  <c r="HL43" i="27"/>
  <c r="HM43" i="27"/>
  <c r="HN43" i="27"/>
  <c r="HO43" i="27"/>
  <c r="HP43" i="27"/>
  <c r="HQ43" i="27"/>
  <c r="HR43" i="27"/>
  <c r="HS43" i="27"/>
  <c r="HT43" i="27"/>
  <c r="HU43" i="27"/>
  <c r="HV43" i="27"/>
  <c r="HW43" i="27"/>
  <c r="HX43" i="27"/>
  <c r="HY43" i="27"/>
  <c r="HZ43" i="27"/>
  <c r="IA43" i="27"/>
  <c r="IB43" i="27"/>
  <c r="IC43" i="27"/>
  <c r="ID43" i="27"/>
  <c r="IE43" i="27"/>
  <c r="IF43" i="27"/>
  <c r="IG43" i="27"/>
  <c r="IH43" i="27"/>
  <c r="II43" i="27"/>
  <c r="IJ43" i="27"/>
  <c r="IK43" i="27"/>
  <c r="IL43" i="27"/>
  <c r="IM43" i="27"/>
  <c r="IN43" i="27"/>
  <c r="IO43" i="27"/>
  <c r="IP43" i="27"/>
  <c r="IQ43" i="27"/>
  <c r="IR43" i="27"/>
  <c r="IS43" i="27"/>
  <c r="IT43" i="27"/>
  <c r="IU43" i="27"/>
  <c r="IV43" i="27"/>
  <c r="A42" i="27"/>
  <c r="B42" i="27"/>
  <c r="C42" i="27"/>
  <c r="D42" i="27"/>
  <c r="E42" i="27"/>
  <c r="F42" i="27"/>
  <c r="G42" i="27"/>
  <c r="H42" i="27"/>
  <c r="I42" i="27"/>
  <c r="J42" i="27"/>
  <c r="K42" i="27"/>
  <c r="L42" i="27"/>
  <c r="M42" i="27"/>
  <c r="N42" i="27"/>
  <c r="O42" i="27"/>
  <c r="P42" i="27"/>
  <c r="Q42" i="27"/>
  <c r="R42" i="27"/>
  <c r="S42" i="27"/>
  <c r="T42" i="27"/>
  <c r="U42" i="27"/>
  <c r="V42" i="27"/>
  <c r="W42" i="27"/>
  <c r="X42" i="27"/>
  <c r="Y42" i="27"/>
  <c r="Z42" i="27"/>
  <c r="AA42" i="27"/>
  <c r="AB42" i="27"/>
  <c r="AC42" i="27"/>
  <c r="AD42" i="27"/>
  <c r="AE42" i="27"/>
  <c r="AF42" i="27"/>
  <c r="AG42" i="27"/>
  <c r="AH42" i="27"/>
  <c r="AI42" i="27"/>
  <c r="AJ42" i="27"/>
  <c r="AK42" i="27"/>
  <c r="AL42" i="27"/>
  <c r="AM42" i="27"/>
  <c r="AN42" i="27"/>
  <c r="AO42" i="27"/>
  <c r="AP42" i="27"/>
  <c r="AQ42" i="27"/>
  <c r="AR42" i="27"/>
  <c r="AS42" i="27"/>
  <c r="AT42" i="27"/>
  <c r="AU42" i="27"/>
  <c r="AV42" i="27"/>
  <c r="AW42" i="27"/>
  <c r="AX42" i="27"/>
  <c r="AY42" i="27"/>
  <c r="AZ42" i="27"/>
  <c r="BA42" i="27"/>
  <c r="BB42" i="27"/>
  <c r="BC42" i="27"/>
  <c r="BD42" i="27"/>
  <c r="BE42" i="27"/>
  <c r="BF42" i="27"/>
  <c r="BG42" i="27"/>
  <c r="BH42" i="27"/>
  <c r="BI42" i="27"/>
  <c r="BJ42" i="27"/>
  <c r="BK42" i="27"/>
  <c r="BL42" i="27"/>
  <c r="BM42" i="27"/>
  <c r="BN42" i="27"/>
  <c r="BO42" i="27"/>
  <c r="BP42" i="27"/>
  <c r="BQ42" i="27"/>
  <c r="BR42" i="27"/>
  <c r="BS42" i="27"/>
  <c r="BT42" i="27"/>
  <c r="BU42" i="27"/>
  <c r="BV42" i="27"/>
  <c r="BW42" i="27"/>
  <c r="BX42" i="27"/>
  <c r="BY42" i="27"/>
  <c r="BZ42" i="27"/>
  <c r="CA42" i="27"/>
  <c r="CB42" i="27"/>
  <c r="CC42" i="27"/>
  <c r="CD42" i="27"/>
  <c r="CE42" i="27"/>
  <c r="CF42" i="27"/>
  <c r="CG42" i="27"/>
  <c r="CH42" i="27"/>
  <c r="CI42" i="27"/>
  <c r="CJ42" i="27"/>
  <c r="CK42" i="27"/>
  <c r="CL42" i="27"/>
  <c r="CM42" i="27"/>
  <c r="CN42" i="27"/>
  <c r="CO42" i="27"/>
  <c r="CP42" i="27"/>
  <c r="CQ42" i="27"/>
  <c r="CR42" i="27"/>
  <c r="CS42" i="27"/>
  <c r="CT42" i="27"/>
  <c r="CU42" i="27"/>
  <c r="CV42" i="27"/>
  <c r="CW42" i="27"/>
  <c r="CX42" i="27"/>
  <c r="CY42" i="27"/>
  <c r="CZ42" i="27"/>
  <c r="DA42" i="27"/>
  <c r="DB42" i="27"/>
  <c r="DC42" i="27"/>
  <c r="DD42" i="27"/>
  <c r="DE42" i="27"/>
  <c r="DF42" i="27"/>
  <c r="DG42" i="27"/>
  <c r="DH42" i="27"/>
  <c r="DI42" i="27"/>
  <c r="DJ42" i="27"/>
  <c r="DK42" i="27"/>
  <c r="DL42" i="27"/>
  <c r="DM42" i="27"/>
  <c r="DN42" i="27"/>
  <c r="DO42" i="27"/>
  <c r="DP42" i="27"/>
  <c r="DQ42" i="27"/>
  <c r="DR42" i="27"/>
  <c r="DS42" i="27"/>
  <c r="DT42" i="27"/>
  <c r="DU42" i="27"/>
  <c r="DV42" i="27"/>
  <c r="DW42" i="27"/>
  <c r="DX42" i="27"/>
  <c r="DY42" i="27"/>
  <c r="DZ42" i="27"/>
  <c r="EA42" i="27"/>
  <c r="EB42" i="27"/>
  <c r="EC42" i="27"/>
  <c r="ED42" i="27"/>
  <c r="EE42" i="27"/>
  <c r="EF42" i="27"/>
  <c r="EG42" i="27"/>
  <c r="EH42" i="27"/>
  <c r="EI42" i="27"/>
  <c r="EJ42" i="27"/>
  <c r="EK42" i="27"/>
  <c r="EL42" i="27"/>
  <c r="EM42" i="27"/>
  <c r="EN42" i="27"/>
  <c r="EO42" i="27"/>
  <c r="EP42" i="27"/>
  <c r="EQ42" i="27"/>
  <c r="ER42" i="27"/>
  <c r="ES42" i="27"/>
  <c r="ET42" i="27"/>
  <c r="EU42" i="27"/>
  <c r="EV42" i="27"/>
  <c r="EW42" i="27"/>
  <c r="EX42" i="27"/>
  <c r="EY42" i="27"/>
  <c r="EZ42" i="27"/>
  <c r="FA42" i="27"/>
  <c r="FB42" i="27"/>
  <c r="FC42" i="27"/>
  <c r="FD42" i="27"/>
  <c r="FE42" i="27"/>
  <c r="FF42" i="27"/>
  <c r="FG42" i="27"/>
  <c r="FH42" i="27"/>
  <c r="FI42" i="27"/>
  <c r="FJ42" i="27"/>
  <c r="FK42" i="27"/>
  <c r="FL42" i="27"/>
  <c r="FM42" i="27"/>
  <c r="FN42" i="27"/>
  <c r="FO42" i="27"/>
  <c r="FP42" i="27"/>
  <c r="FQ42" i="27"/>
  <c r="FR42" i="27"/>
  <c r="FS42" i="27"/>
  <c r="FT42" i="27"/>
  <c r="FU42" i="27"/>
  <c r="FV42" i="27"/>
  <c r="FW42" i="27"/>
  <c r="FX42" i="27"/>
  <c r="FY42" i="27"/>
  <c r="FZ42" i="27"/>
  <c r="GA42" i="27"/>
  <c r="GB42" i="27"/>
  <c r="GC42" i="27"/>
  <c r="GD42" i="27"/>
  <c r="GE42" i="27"/>
  <c r="GF42" i="27"/>
  <c r="GG42" i="27"/>
  <c r="GH42" i="27"/>
  <c r="GI42" i="27"/>
  <c r="GJ42" i="27"/>
  <c r="GK42" i="27"/>
  <c r="GL42" i="27"/>
  <c r="GM42" i="27"/>
  <c r="GN42" i="27"/>
  <c r="GO42" i="27"/>
  <c r="GP42" i="27"/>
  <c r="GQ42" i="27"/>
  <c r="GR42" i="27"/>
  <c r="GS42" i="27"/>
  <c r="GT42" i="27"/>
  <c r="GU42" i="27"/>
  <c r="GV42" i="27"/>
  <c r="GW42" i="27"/>
  <c r="GX42" i="27"/>
  <c r="GY42" i="27"/>
  <c r="GZ42" i="27"/>
  <c r="HA42" i="27"/>
  <c r="HB42" i="27"/>
  <c r="HC42" i="27"/>
  <c r="HD42" i="27"/>
  <c r="HE42" i="27"/>
  <c r="HF42" i="27"/>
  <c r="HG42" i="27"/>
  <c r="HH42" i="27"/>
  <c r="HI42" i="27"/>
  <c r="HJ42" i="27"/>
  <c r="HK42" i="27"/>
  <c r="HL42" i="27"/>
  <c r="HM42" i="27"/>
  <c r="HN42" i="27"/>
  <c r="HO42" i="27"/>
  <c r="HP42" i="27"/>
  <c r="HQ42" i="27"/>
  <c r="HR42" i="27"/>
  <c r="HS42" i="27"/>
  <c r="HT42" i="27"/>
  <c r="HU42" i="27"/>
  <c r="HV42" i="27"/>
  <c r="HW42" i="27"/>
  <c r="HX42" i="27"/>
  <c r="HY42" i="27"/>
  <c r="HZ42" i="27"/>
  <c r="IA42" i="27"/>
  <c r="IB42" i="27"/>
  <c r="IC42" i="27"/>
  <c r="ID42" i="27"/>
  <c r="IE42" i="27"/>
  <c r="IG42" i="27"/>
  <c r="II42" i="27"/>
  <c r="IK42" i="27"/>
  <c r="IL42" i="27"/>
  <c r="IM42" i="27"/>
  <c r="IN42" i="27"/>
  <c r="IO42" i="27"/>
  <c r="IP42" i="27"/>
  <c r="IQ42" i="27"/>
  <c r="IR42" i="27"/>
  <c r="IS42" i="27"/>
  <c r="IT42" i="27"/>
  <c r="IU42" i="27"/>
  <c r="IV42" i="27"/>
  <c r="A41" i="27"/>
  <c r="B41" i="27"/>
  <c r="C41" i="27"/>
  <c r="D41" i="27"/>
  <c r="E41" i="27"/>
  <c r="F41" i="27"/>
  <c r="G41" i="27"/>
  <c r="H41" i="27"/>
  <c r="I41" i="27"/>
  <c r="J41" i="27"/>
  <c r="K41" i="27"/>
  <c r="L41" i="27"/>
  <c r="M41" i="27"/>
  <c r="N41" i="27"/>
  <c r="O41" i="27"/>
  <c r="P41" i="27"/>
  <c r="Q41" i="27"/>
  <c r="R41" i="27"/>
  <c r="S41" i="27"/>
  <c r="T41" i="27"/>
  <c r="U41" i="27"/>
  <c r="V41" i="27"/>
  <c r="W41" i="27"/>
  <c r="X41" i="27"/>
  <c r="Y41" i="27"/>
  <c r="Z41" i="27"/>
  <c r="AA41" i="27"/>
  <c r="AB41" i="27"/>
  <c r="AC41" i="27"/>
  <c r="AD41" i="27"/>
  <c r="AE41" i="27"/>
  <c r="AF41" i="27"/>
  <c r="AG41" i="27"/>
  <c r="AH41" i="27"/>
  <c r="AI41" i="27"/>
  <c r="AJ41" i="27"/>
  <c r="AK41" i="27"/>
  <c r="AL41" i="27"/>
  <c r="AM41" i="27"/>
  <c r="AN41" i="27"/>
  <c r="AO41" i="27"/>
  <c r="AP41" i="27"/>
  <c r="AQ41" i="27"/>
  <c r="AR41" i="27"/>
  <c r="AS41" i="27"/>
  <c r="AT41" i="27"/>
  <c r="AU41" i="27"/>
  <c r="AV41" i="27"/>
  <c r="AW41" i="27"/>
  <c r="AX41" i="27"/>
  <c r="AY41" i="27"/>
  <c r="AZ41" i="27"/>
  <c r="BA41" i="27"/>
  <c r="BB41" i="27"/>
  <c r="BC41" i="27"/>
  <c r="BD41" i="27"/>
  <c r="BE41" i="27"/>
  <c r="BF41" i="27"/>
  <c r="BG41" i="27"/>
  <c r="BH41" i="27"/>
  <c r="BI41" i="27"/>
  <c r="BJ41" i="27"/>
  <c r="BK41" i="27"/>
  <c r="BL41" i="27"/>
  <c r="BM41" i="27"/>
  <c r="BN41" i="27"/>
  <c r="BO41" i="27"/>
  <c r="BP41" i="27"/>
  <c r="BQ41" i="27"/>
  <c r="BR41" i="27"/>
  <c r="BS41" i="27"/>
  <c r="BT41" i="27"/>
  <c r="BU41" i="27"/>
  <c r="BV41" i="27"/>
  <c r="BW41" i="27"/>
  <c r="BX41" i="27"/>
  <c r="BY41" i="27"/>
  <c r="BZ41" i="27"/>
  <c r="CA41" i="27"/>
  <c r="CB41" i="27"/>
  <c r="CC41" i="27"/>
  <c r="CD41" i="27"/>
  <c r="CE41" i="27"/>
  <c r="CF41" i="27"/>
  <c r="CG41" i="27"/>
  <c r="CH41" i="27"/>
  <c r="CI41" i="27"/>
  <c r="CJ41" i="27"/>
  <c r="CK41" i="27"/>
  <c r="CL41" i="27"/>
  <c r="CM41" i="27"/>
  <c r="CN41" i="27"/>
  <c r="CO41" i="27"/>
  <c r="CP41" i="27"/>
  <c r="CQ41" i="27"/>
  <c r="CR41" i="27"/>
  <c r="CS41" i="27"/>
  <c r="CT41" i="27"/>
  <c r="CU41" i="27"/>
  <c r="CV41" i="27"/>
  <c r="CW41" i="27"/>
  <c r="CX41" i="27"/>
  <c r="CY41" i="27"/>
  <c r="CZ41" i="27"/>
  <c r="DA41" i="27"/>
  <c r="DB41" i="27"/>
  <c r="DC41" i="27"/>
  <c r="DD41" i="27"/>
  <c r="DE41" i="27"/>
  <c r="DF41" i="27"/>
  <c r="DG41" i="27"/>
  <c r="DH41" i="27"/>
  <c r="DI41" i="27"/>
  <c r="DJ41" i="27"/>
  <c r="DK41" i="27"/>
  <c r="DL41" i="27"/>
  <c r="DM41" i="27"/>
  <c r="DN41" i="27"/>
  <c r="DO41" i="27"/>
  <c r="DP41" i="27"/>
  <c r="DQ41" i="27"/>
  <c r="DR41" i="27"/>
  <c r="DS41" i="27"/>
  <c r="DT41" i="27"/>
  <c r="DU41" i="27"/>
  <c r="DV41" i="27"/>
  <c r="DW41" i="27"/>
  <c r="DX41" i="27"/>
  <c r="DY41" i="27"/>
  <c r="DZ41" i="27"/>
  <c r="EA41" i="27"/>
  <c r="EB41" i="27"/>
  <c r="EC41" i="27"/>
  <c r="ED41" i="27"/>
  <c r="EE41" i="27"/>
  <c r="EF41" i="27"/>
  <c r="EG41" i="27"/>
  <c r="EH41" i="27"/>
  <c r="EI41" i="27"/>
  <c r="EJ41" i="27"/>
  <c r="EK41" i="27"/>
  <c r="EL41" i="27"/>
  <c r="EM41" i="27"/>
  <c r="EN41" i="27"/>
  <c r="EO41" i="27"/>
  <c r="EP41" i="27"/>
  <c r="EQ41" i="27"/>
  <c r="ER41" i="27"/>
  <c r="ES41" i="27"/>
  <c r="ET41" i="27"/>
  <c r="EU41" i="27"/>
  <c r="EV41" i="27"/>
  <c r="EW41" i="27"/>
  <c r="EX41" i="27"/>
  <c r="EY41" i="27"/>
  <c r="EZ41" i="27"/>
  <c r="FA41" i="27"/>
  <c r="FB41" i="27"/>
  <c r="FC41" i="27"/>
  <c r="FD41" i="27"/>
  <c r="FE41" i="27"/>
  <c r="FF41" i="27"/>
  <c r="FG41" i="27"/>
  <c r="FH41" i="27"/>
  <c r="FI41" i="27"/>
  <c r="FJ41" i="27"/>
  <c r="FK41" i="27"/>
  <c r="FL41" i="27"/>
  <c r="FM41" i="27"/>
  <c r="FN41" i="27"/>
  <c r="FO41" i="27"/>
  <c r="FP41" i="27"/>
  <c r="FQ41" i="27"/>
  <c r="FR41" i="27"/>
  <c r="FS41" i="27"/>
  <c r="FT41" i="27"/>
  <c r="FU41" i="27"/>
  <c r="FV41" i="27"/>
  <c r="FW41" i="27"/>
  <c r="FX41" i="27"/>
  <c r="FY41" i="27"/>
  <c r="FZ41" i="27"/>
  <c r="GA41" i="27"/>
  <c r="GB41" i="27"/>
  <c r="GC41" i="27"/>
  <c r="GD41" i="27"/>
  <c r="GE41" i="27"/>
  <c r="GF41" i="27"/>
  <c r="GG41" i="27"/>
  <c r="GH41" i="27"/>
  <c r="GI41" i="27"/>
  <c r="GJ41" i="27"/>
  <c r="GK41" i="27"/>
  <c r="GL41" i="27"/>
  <c r="GM41" i="27"/>
  <c r="GN41" i="27"/>
  <c r="GO41" i="27"/>
  <c r="GP41" i="27"/>
  <c r="GQ41" i="27"/>
  <c r="GR41" i="27"/>
  <c r="GS41" i="27"/>
  <c r="GT41" i="27"/>
  <c r="GU41" i="27"/>
  <c r="GV41" i="27"/>
  <c r="GW41" i="27"/>
  <c r="GX41" i="27"/>
  <c r="GY41" i="27"/>
  <c r="GZ41" i="27"/>
  <c r="HA41" i="27"/>
  <c r="HB41" i="27"/>
  <c r="HC41" i="27"/>
  <c r="HD41" i="27"/>
  <c r="HE41" i="27"/>
  <c r="HF41" i="27"/>
  <c r="HG41" i="27"/>
  <c r="HH41" i="27"/>
  <c r="HI41" i="27"/>
  <c r="HJ41" i="27"/>
  <c r="HK41" i="27"/>
  <c r="HL41" i="27"/>
  <c r="HM41" i="27"/>
  <c r="HN41" i="27"/>
  <c r="HO41" i="27"/>
  <c r="HP41" i="27"/>
  <c r="HQ41" i="27"/>
  <c r="HR41" i="27"/>
  <c r="HS41" i="27"/>
  <c r="HT41" i="27"/>
  <c r="HU41" i="27"/>
  <c r="HV41" i="27"/>
  <c r="HW41" i="27"/>
  <c r="HX41" i="27"/>
  <c r="HY41" i="27"/>
  <c r="HZ41" i="27"/>
  <c r="IA41" i="27"/>
  <c r="IB41" i="27"/>
  <c r="IC41" i="27"/>
  <c r="ID41" i="27"/>
  <c r="IE41" i="27"/>
  <c r="IF41" i="27"/>
  <c r="IG41" i="27"/>
  <c r="IH41" i="27"/>
  <c r="II41" i="27"/>
  <c r="IJ41" i="27"/>
  <c r="IK41" i="27"/>
  <c r="IL41" i="27"/>
  <c r="IM41" i="27"/>
  <c r="IN41" i="27"/>
  <c r="IO41" i="27"/>
  <c r="IP41" i="27"/>
  <c r="IQ41" i="27"/>
  <c r="IR41" i="27"/>
  <c r="IS41" i="27"/>
  <c r="IT41" i="27"/>
  <c r="IU41" i="27"/>
  <c r="IV41" i="27"/>
  <c r="A40" i="27"/>
  <c r="B40" i="27"/>
  <c r="C40" i="27"/>
  <c r="D40" i="27"/>
  <c r="E40" i="27"/>
  <c r="F40" i="27"/>
  <c r="G40" i="27"/>
  <c r="H40" i="27"/>
  <c r="I40" i="27"/>
  <c r="J40" i="27"/>
  <c r="K40" i="27"/>
  <c r="L40" i="27"/>
  <c r="M40" i="27"/>
  <c r="N40" i="27"/>
  <c r="O40" i="27"/>
  <c r="P40" i="27"/>
  <c r="Q40" i="27"/>
  <c r="R40" i="27"/>
  <c r="S40" i="27"/>
  <c r="T40" i="27"/>
  <c r="U40" i="27"/>
  <c r="V40" i="27"/>
  <c r="W40" i="27"/>
  <c r="X40" i="27"/>
  <c r="Y40" i="27"/>
  <c r="Z40" i="27"/>
  <c r="AA40" i="27"/>
  <c r="AB40" i="27"/>
  <c r="AC40" i="27"/>
  <c r="AD40" i="27"/>
  <c r="AE40" i="27"/>
  <c r="AF40" i="27"/>
  <c r="AG40" i="27"/>
  <c r="AH40" i="27"/>
  <c r="AI40" i="27"/>
  <c r="AJ40" i="27"/>
  <c r="AK40" i="27"/>
  <c r="AL40" i="27"/>
  <c r="AM40" i="27"/>
  <c r="AN40" i="27"/>
  <c r="AO40" i="27"/>
  <c r="AP40" i="27"/>
  <c r="AQ40" i="27"/>
  <c r="AR40" i="27"/>
  <c r="AS40" i="27"/>
  <c r="AT40" i="27"/>
  <c r="AU40" i="27"/>
  <c r="AV40" i="27"/>
  <c r="AW40" i="27"/>
  <c r="AX40" i="27"/>
  <c r="AY40" i="27"/>
  <c r="AZ40" i="27"/>
  <c r="BA40" i="27"/>
  <c r="BB40" i="27"/>
  <c r="BC40" i="27"/>
  <c r="BD40" i="27"/>
  <c r="BE40" i="27"/>
  <c r="BF40" i="27"/>
  <c r="BG40" i="27"/>
  <c r="BH40" i="27"/>
  <c r="BI40" i="27"/>
  <c r="BJ40" i="27"/>
  <c r="BK40" i="27"/>
  <c r="BL40" i="27"/>
  <c r="BM40" i="27"/>
  <c r="BN40" i="27"/>
  <c r="BO40" i="27"/>
  <c r="BP40" i="27"/>
  <c r="BQ40" i="27"/>
  <c r="BR40" i="27"/>
  <c r="BS40" i="27"/>
  <c r="BT40" i="27"/>
  <c r="BU40" i="27"/>
  <c r="BV40" i="27"/>
  <c r="BW40" i="27"/>
  <c r="BX40" i="27"/>
  <c r="BY40" i="27"/>
  <c r="BZ40" i="27"/>
  <c r="CA40" i="27"/>
  <c r="CB40" i="27"/>
  <c r="CC40" i="27"/>
  <c r="CD40" i="27"/>
  <c r="CE40" i="27"/>
  <c r="CF40" i="27"/>
  <c r="CG40" i="27"/>
  <c r="CH40" i="27"/>
  <c r="CI40" i="27"/>
  <c r="CJ40" i="27"/>
  <c r="CK40" i="27"/>
  <c r="CL40" i="27"/>
  <c r="CM40" i="27"/>
  <c r="CN40" i="27"/>
  <c r="CO40" i="27"/>
  <c r="CP40" i="27"/>
  <c r="CQ40" i="27"/>
  <c r="CR40" i="27"/>
  <c r="CS40" i="27"/>
  <c r="CT40" i="27"/>
  <c r="CU40" i="27"/>
  <c r="CV40" i="27"/>
  <c r="CW40" i="27"/>
  <c r="CX40" i="27"/>
  <c r="CY40" i="27"/>
  <c r="CZ40" i="27"/>
  <c r="DA40" i="27"/>
  <c r="DB40" i="27"/>
  <c r="DC40" i="27"/>
  <c r="DD40" i="27"/>
  <c r="DE40" i="27"/>
  <c r="DF40" i="27"/>
  <c r="DG40" i="27"/>
  <c r="DH40" i="27"/>
  <c r="DI40" i="27"/>
  <c r="DJ40" i="27"/>
  <c r="DK40" i="27"/>
  <c r="DL40" i="27"/>
  <c r="DM40" i="27"/>
  <c r="DN40" i="27"/>
  <c r="DO40" i="27"/>
  <c r="DP40" i="27"/>
  <c r="DQ40" i="27"/>
  <c r="DR40" i="27"/>
  <c r="DS40" i="27"/>
  <c r="DT40" i="27"/>
  <c r="DU40" i="27"/>
  <c r="DV40" i="27"/>
  <c r="DW40" i="27"/>
  <c r="DX40" i="27"/>
  <c r="DY40" i="27"/>
  <c r="DZ40" i="27"/>
  <c r="EA40" i="27"/>
  <c r="EB40" i="27"/>
  <c r="EC40" i="27"/>
  <c r="ED40" i="27"/>
  <c r="EE40" i="27"/>
  <c r="EF40" i="27"/>
  <c r="EG40" i="27"/>
  <c r="EH40" i="27"/>
  <c r="EI40" i="27"/>
  <c r="EJ40" i="27"/>
  <c r="EK40" i="27"/>
  <c r="EL40" i="27"/>
  <c r="EM40" i="27"/>
  <c r="EN40" i="27"/>
  <c r="EO40" i="27"/>
  <c r="EP40" i="27"/>
  <c r="EQ40" i="27"/>
  <c r="ER40" i="27"/>
  <c r="ES40" i="27"/>
  <c r="ET40" i="27"/>
  <c r="EU40" i="27"/>
  <c r="EV40" i="27"/>
  <c r="EW40" i="27"/>
  <c r="EX40" i="27"/>
  <c r="EY40" i="27"/>
  <c r="EZ40" i="27"/>
  <c r="FA40" i="27"/>
  <c r="FB40" i="27"/>
  <c r="FC40" i="27"/>
  <c r="FD40" i="27"/>
  <c r="FE40" i="27"/>
  <c r="FF40" i="27"/>
  <c r="FG40" i="27"/>
  <c r="FH40" i="27"/>
  <c r="FI40" i="27"/>
  <c r="FJ40" i="27"/>
  <c r="FK40" i="27"/>
  <c r="FL40" i="27"/>
  <c r="FM40" i="27"/>
  <c r="FN40" i="27"/>
  <c r="FO40" i="27"/>
  <c r="FP40" i="27"/>
  <c r="FQ40" i="27"/>
  <c r="FR40" i="27"/>
  <c r="FS40" i="27"/>
  <c r="FT40" i="27"/>
  <c r="FU40" i="27"/>
  <c r="FV40" i="27"/>
  <c r="FW40" i="27"/>
  <c r="FX40" i="27"/>
  <c r="FY40" i="27"/>
  <c r="FZ40" i="27"/>
  <c r="GA40" i="27"/>
  <c r="GB40" i="27"/>
  <c r="GC40" i="27"/>
  <c r="GD40" i="27"/>
  <c r="GE40" i="27"/>
  <c r="GF40" i="27"/>
  <c r="GG40" i="27"/>
  <c r="GH40" i="27"/>
  <c r="GI40" i="27"/>
  <c r="GJ40" i="27"/>
  <c r="GK40" i="27"/>
  <c r="GL40" i="27"/>
  <c r="GM40" i="27"/>
  <c r="GN40" i="27"/>
  <c r="GO40" i="27"/>
  <c r="GP40" i="27"/>
  <c r="GQ40" i="27"/>
  <c r="GR40" i="27"/>
  <c r="GS40" i="27"/>
  <c r="GT40" i="27"/>
  <c r="GU40" i="27"/>
  <c r="GV40" i="27"/>
  <c r="GW40" i="27"/>
  <c r="GX40" i="27"/>
  <c r="GY40" i="27"/>
  <c r="GZ40" i="27"/>
  <c r="HA40" i="27"/>
  <c r="HB40" i="27"/>
  <c r="HC40" i="27"/>
  <c r="HD40" i="27"/>
  <c r="HE40" i="27"/>
  <c r="HF40" i="27"/>
  <c r="HG40" i="27"/>
  <c r="HH40" i="27"/>
  <c r="HI40" i="27"/>
  <c r="HJ40" i="27"/>
  <c r="HK40" i="27"/>
  <c r="HL40" i="27"/>
  <c r="HM40" i="27"/>
  <c r="HN40" i="27"/>
  <c r="HO40" i="27"/>
  <c r="HP40" i="27"/>
  <c r="HQ40" i="27"/>
  <c r="HR40" i="27"/>
  <c r="HS40" i="27"/>
  <c r="HT40" i="27"/>
  <c r="HU40" i="27"/>
  <c r="HV40" i="27"/>
  <c r="HW40" i="27"/>
  <c r="HX40" i="27"/>
  <c r="HY40" i="27"/>
  <c r="HZ40" i="27"/>
  <c r="IA40" i="27"/>
  <c r="IB40" i="27"/>
  <c r="IC40" i="27"/>
  <c r="ID40" i="27"/>
  <c r="IE40" i="27"/>
  <c r="IF40" i="27"/>
  <c r="IG40" i="27"/>
  <c r="IH40" i="27"/>
  <c r="II40" i="27"/>
  <c r="IJ40" i="27"/>
  <c r="IK40" i="27"/>
  <c r="IL40" i="27"/>
  <c r="IM40" i="27"/>
  <c r="IN40" i="27"/>
  <c r="IO40" i="27"/>
  <c r="IP40" i="27"/>
  <c r="IQ40" i="27"/>
  <c r="IR40" i="27"/>
  <c r="IS40" i="27"/>
  <c r="IT40" i="27"/>
  <c r="IU40" i="27"/>
  <c r="IV40" i="27"/>
  <c r="A39" i="27"/>
  <c r="B39" i="27"/>
  <c r="C39" i="27"/>
  <c r="D39" i="27"/>
  <c r="E39" i="27"/>
  <c r="F39" i="27"/>
  <c r="G39" i="27"/>
  <c r="H39" i="27"/>
  <c r="I39" i="27"/>
  <c r="J39" i="27"/>
  <c r="K39" i="27"/>
  <c r="L39" i="27"/>
  <c r="M39" i="27"/>
  <c r="N39" i="27"/>
  <c r="O39" i="27"/>
  <c r="P39" i="27"/>
  <c r="Q39" i="27"/>
  <c r="R39" i="27"/>
  <c r="S39" i="27"/>
  <c r="T39" i="27"/>
  <c r="U39" i="27"/>
  <c r="V39" i="27"/>
  <c r="W39" i="27"/>
  <c r="X39" i="27"/>
  <c r="Y39" i="27"/>
  <c r="Z39" i="27"/>
  <c r="AA39" i="27"/>
  <c r="AB39" i="27"/>
  <c r="AC39" i="27"/>
  <c r="AD39" i="27"/>
  <c r="AE39" i="27"/>
  <c r="AF39" i="27"/>
  <c r="AG39" i="27"/>
  <c r="AH39" i="27"/>
  <c r="AI39" i="27"/>
  <c r="AJ39" i="27"/>
  <c r="AK39" i="27"/>
  <c r="AL39" i="27"/>
  <c r="AM39" i="27"/>
  <c r="AN39" i="27"/>
  <c r="AO39" i="27"/>
  <c r="AP39" i="27"/>
  <c r="AQ39" i="27"/>
  <c r="AR39" i="27"/>
  <c r="AS39" i="27"/>
  <c r="AT39" i="27"/>
  <c r="AU39" i="27"/>
  <c r="AV39" i="27"/>
  <c r="AW39" i="27"/>
  <c r="AX39" i="27"/>
  <c r="AY39" i="27"/>
  <c r="AZ39" i="27"/>
  <c r="BA39" i="27"/>
  <c r="BB39" i="27"/>
  <c r="BC39" i="27"/>
  <c r="BD39" i="27"/>
  <c r="BE39" i="27"/>
  <c r="BF39" i="27"/>
  <c r="BG39" i="27"/>
  <c r="BH39" i="27"/>
  <c r="BI39" i="27"/>
  <c r="BJ39" i="27"/>
  <c r="BK39" i="27"/>
  <c r="BL39" i="27"/>
  <c r="BM39" i="27"/>
  <c r="BN39" i="27"/>
  <c r="BO39" i="27"/>
  <c r="BP39" i="27"/>
  <c r="BQ39" i="27"/>
  <c r="BR39" i="27"/>
  <c r="BS39" i="27"/>
  <c r="BT39" i="27"/>
  <c r="BU39" i="27"/>
  <c r="BV39" i="27"/>
  <c r="BW39" i="27"/>
  <c r="BX39" i="27"/>
  <c r="BY39" i="27"/>
  <c r="BZ39" i="27"/>
  <c r="CA39" i="27"/>
  <c r="CB39" i="27"/>
  <c r="CC39" i="27"/>
  <c r="CD39" i="27"/>
  <c r="CE39" i="27"/>
  <c r="CF39" i="27"/>
  <c r="CG39" i="27"/>
  <c r="CH39" i="27"/>
  <c r="CI39" i="27"/>
  <c r="CJ39" i="27"/>
  <c r="CK39" i="27"/>
  <c r="CL39" i="27"/>
  <c r="CM39" i="27"/>
  <c r="CN39" i="27"/>
  <c r="CO39" i="27"/>
  <c r="CP39" i="27"/>
  <c r="CQ39" i="27"/>
  <c r="CR39" i="27"/>
  <c r="CS39" i="27"/>
  <c r="CT39" i="27"/>
  <c r="CU39" i="27"/>
  <c r="CV39" i="27"/>
  <c r="CW39" i="27"/>
  <c r="CX39" i="27"/>
  <c r="CY39" i="27"/>
  <c r="CZ39" i="27"/>
  <c r="DA39" i="27"/>
  <c r="DB39" i="27"/>
  <c r="DC39" i="27"/>
  <c r="DD39" i="27"/>
  <c r="DE39" i="27"/>
  <c r="DF39" i="27"/>
  <c r="DG39" i="27"/>
  <c r="DH39" i="27"/>
  <c r="DI39" i="27"/>
  <c r="DJ39" i="27"/>
  <c r="DK39" i="27"/>
  <c r="DL39" i="27"/>
  <c r="DM39" i="27"/>
  <c r="DN39" i="27"/>
  <c r="DO39" i="27"/>
  <c r="DP39" i="27"/>
  <c r="DQ39" i="27"/>
  <c r="DR39" i="27"/>
  <c r="DS39" i="27"/>
  <c r="DT39" i="27"/>
  <c r="DU39" i="27"/>
  <c r="DV39" i="27"/>
  <c r="DW39" i="27"/>
  <c r="DX39" i="27"/>
  <c r="DY39" i="27"/>
  <c r="DZ39" i="27"/>
  <c r="EA39" i="27"/>
  <c r="EB39" i="27"/>
  <c r="EC39" i="27"/>
  <c r="ED39" i="27"/>
  <c r="EE39" i="27"/>
  <c r="EF39" i="27"/>
  <c r="EG39" i="27"/>
  <c r="EH39" i="27"/>
  <c r="EI39" i="27"/>
  <c r="EJ39" i="27"/>
  <c r="EK39" i="27"/>
  <c r="EL39" i="27"/>
  <c r="EM39" i="27"/>
  <c r="EN39" i="27"/>
  <c r="EO39" i="27"/>
  <c r="EP39" i="27"/>
  <c r="EQ39" i="27"/>
  <c r="ER39" i="27"/>
  <c r="ES39" i="27"/>
  <c r="ET39" i="27"/>
  <c r="EU39" i="27"/>
  <c r="EV39" i="27"/>
  <c r="EW39" i="27"/>
  <c r="EX39" i="27"/>
  <c r="EY39" i="27"/>
  <c r="EZ39" i="27"/>
  <c r="FA39" i="27"/>
  <c r="FB39" i="27"/>
  <c r="FC39" i="27"/>
  <c r="FD39" i="27"/>
  <c r="FE39" i="27"/>
  <c r="FF39" i="27"/>
  <c r="FG39" i="27"/>
  <c r="FH39" i="27"/>
  <c r="FI39" i="27"/>
  <c r="FJ39" i="27"/>
  <c r="FK39" i="27"/>
  <c r="FL39" i="27"/>
  <c r="FM39" i="27"/>
  <c r="FN39" i="27"/>
  <c r="FO39" i="27"/>
  <c r="FP39" i="27"/>
  <c r="FQ39" i="27"/>
  <c r="FR39" i="27"/>
  <c r="FS39" i="27"/>
  <c r="FT39" i="27"/>
  <c r="FU39" i="27"/>
  <c r="FV39" i="27"/>
  <c r="FW39" i="27"/>
  <c r="FX39" i="27"/>
  <c r="FY39" i="27"/>
  <c r="FZ39" i="27"/>
  <c r="GA39" i="27"/>
  <c r="GB39" i="27"/>
  <c r="GC39" i="27"/>
  <c r="GD39" i="27"/>
  <c r="GE39" i="27"/>
  <c r="GF39" i="27"/>
  <c r="GG39" i="27"/>
  <c r="GH39" i="27"/>
  <c r="GI39" i="27"/>
  <c r="GJ39" i="27"/>
  <c r="GK39" i="27"/>
  <c r="GL39" i="27"/>
  <c r="GM39" i="27"/>
  <c r="GN39" i="27"/>
  <c r="GO39" i="27"/>
  <c r="GP39" i="27"/>
  <c r="GQ39" i="27"/>
  <c r="GR39" i="27"/>
  <c r="GS39" i="27"/>
  <c r="GT39" i="27"/>
  <c r="GU39" i="27"/>
  <c r="GV39" i="27"/>
  <c r="GW39" i="27"/>
  <c r="GX39" i="27"/>
  <c r="GY39" i="27"/>
  <c r="GZ39" i="27"/>
  <c r="HA39" i="27"/>
  <c r="HB39" i="27"/>
  <c r="HC39" i="27"/>
  <c r="HD39" i="27"/>
  <c r="HE39" i="27"/>
  <c r="HF39" i="27"/>
  <c r="HG39" i="27"/>
  <c r="HH39" i="27"/>
  <c r="HI39" i="27"/>
  <c r="HJ39" i="27"/>
  <c r="HK39" i="27"/>
  <c r="HL39" i="27"/>
  <c r="HN39" i="27"/>
  <c r="HP39" i="27"/>
  <c r="HQ39" i="27"/>
  <c r="HR39" i="27"/>
  <c r="HS39" i="27"/>
  <c r="HT39" i="27"/>
  <c r="HU39" i="27"/>
  <c r="HV39" i="27"/>
  <c r="HW39" i="27"/>
  <c r="HX39" i="27"/>
  <c r="HY39" i="27"/>
  <c r="HZ39" i="27"/>
  <c r="IA39" i="27"/>
  <c r="IB39" i="27"/>
  <c r="IC39" i="27"/>
  <c r="ID39" i="27"/>
  <c r="IE39" i="27"/>
  <c r="IF39" i="27"/>
  <c r="IG39" i="27"/>
  <c r="IH39" i="27"/>
  <c r="II39" i="27"/>
  <c r="IJ39" i="27"/>
  <c r="IK39" i="27"/>
  <c r="IL39" i="27"/>
  <c r="IM39" i="27"/>
  <c r="IN39" i="27"/>
  <c r="IO39" i="27"/>
  <c r="IP39" i="27"/>
  <c r="IQ39" i="27"/>
  <c r="IR39" i="27"/>
  <c r="IS39" i="27"/>
  <c r="IT39" i="27"/>
  <c r="IU39" i="27"/>
  <c r="IV39" i="27"/>
  <c r="A38" i="27"/>
  <c r="B38" i="27"/>
  <c r="C38" i="27"/>
  <c r="D38" i="27"/>
  <c r="E38" i="27"/>
  <c r="F38" i="27"/>
  <c r="G38" i="27"/>
  <c r="H38" i="27"/>
  <c r="I38" i="27"/>
  <c r="J38" i="27"/>
  <c r="K38" i="27"/>
  <c r="L38" i="27"/>
  <c r="M38" i="27"/>
  <c r="N38" i="27"/>
  <c r="O38" i="27"/>
  <c r="P38" i="27"/>
  <c r="Q38" i="27"/>
  <c r="R38" i="27"/>
  <c r="S38" i="27"/>
  <c r="T38" i="27"/>
  <c r="U38" i="27"/>
  <c r="V38" i="27"/>
  <c r="W38" i="27"/>
  <c r="X38" i="27"/>
  <c r="Y38" i="27"/>
  <c r="Z38" i="27"/>
  <c r="AA38" i="27"/>
  <c r="AB38" i="27"/>
  <c r="AC38" i="27"/>
  <c r="AD38" i="27"/>
  <c r="AE38" i="27"/>
  <c r="AF38" i="27"/>
  <c r="AG38" i="27"/>
  <c r="AH38" i="27"/>
  <c r="AI38" i="27"/>
  <c r="AJ38" i="27"/>
  <c r="AK38" i="27"/>
  <c r="AL38" i="27"/>
  <c r="AM38" i="27"/>
  <c r="AN38" i="27"/>
  <c r="AO38" i="27"/>
  <c r="AP38" i="27"/>
  <c r="AQ38" i="27"/>
  <c r="AR38" i="27"/>
  <c r="AS38" i="27"/>
  <c r="AT38" i="27"/>
  <c r="AU38" i="27"/>
  <c r="AV38" i="27"/>
  <c r="AW38" i="27"/>
  <c r="AX38" i="27"/>
  <c r="AY38" i="27"/>
  <c r="AZ38" i="27"/>
  <c r="BA38" i="27"/>
  <c r="BB38" i="27"/>
  <c r="BC38" i="27"/>
  <c r="BD38" i="27"/>
  <c r="BE38" i="27"/>
  <c r="BF38" i="27"/>
  <c r="BG38" i="27"/>
  <c r="BH38" i="27"/>
  <c r="BI38" i="27"/>
  <c r="BJ38" i="27"/>
  <c r="BK38" i="27"/>
  <c r="BL38" i="27"/>
  <c r="BM38" i="27"/>
  <c r="BN38" i="27"/>
  <c r="BO38" i="27"/>
  <c r="BP38" i="27"/>
  <c r="BQ38" i="27"/>
  <c r="BR38" i="27"/>
  <c r="BS38" i="27"/>
  <c r="BT38" i="27"/>
  <c r="BU38" i="27"/>
  <c r="BV38" i="27"/>
  <c r="BW38" i="27"/>
  <c r="BX38" i="27"/>
  <c r="BY38" i="27"/>
  <c r="BZ38" i="27"/>
  <c r="CA38" i="27"/>
  <c r="CB38" i="27"/>
  <c r="CC38" i="27"/>
  <c r="CD38" i="27"/>
  <c r="CE38" i="27"/>
  <c r="CF38" i="27"/>
  <c r="CG38" i="27"/>
  <c r="CH38" i="27"/>
  <c r="CI38" i="27"/>
  <c r="CJ38" i="27"/>
  <c r="CK38" i="27"/>
  <c r="CL38" i="27"/>
  <c r="CM38" i="27"/>
  <c r="CN38" i="27"/>
  <c r="CO38" i="27"/>
  <c r="CP38" i="27"/>
  <c r="CQ38" i="27"/>
  <c r="CR38" i="27"/>
  <c r="CS38" i="27"/>
  <c r="CT38" i="27"/>
  <c r="CU38" i="27"/>
  <c r="CV38" i="27"/>
  <c r="CW38" i="27"/>
  <c r="CX38" i="27"/>
  <c r="CY38" i="27"/>
  <c r="CZ38" i="27"/>
  <c r="DA38" i="27"/>
  <c r="DB38" i="27"/>
  <c r="DC38" i="27"/>
  <c r="DD38" i="27"/>
  <c r="DE38" i="27"/>
  <c r="DF38" i="27"/>
  <c r="DG38" i="27"/>
  <c r="DH38" i="27"/>
  <c r="DI38" i="27"/>
  <c r="DJ38" i="27"/>
  <c r="DK38" i="27"/>
  <c r="DL38" i="27"/>
  <c r="DM38" i="27"/>
  <c r="DN38" i="27"/>
  <c r="DO38" i="27"/>
  <c r="DP38" i="27"/>
  <c r="DQ38" i="27"/>
  <c r="DR38" i="27"/>
  <c r="DS38" i="27"/>
  <c r="DT38" i="27"/>
  <c r="DU38" i="27"/>
  <c r="DV38" i="27"/>
  <c r="DW38" i="27"/>
  <c r="DX38" i="27"/>
  <c r="DY38" i="27"/>
  <c r="DZ38" i="27"/>
  <c r="EA38" i="27"/>
  <c r="EB38" i="27"/>
  <c r="EC38" i="27"/>
  <c r="ED38" i="27"/>
  <c r="EE38" i="27"/>
  <c r="EF38" i="27"/>
  <c r="EG38" i="27"/>
  <c r="EH38" i="27"/>
  <c r="EI38" i="27"/>
  <c r="EJ38" i="27"/>
  <c r="EK38" i="27"/>
  <c r="EL38" i="27"/>
  <c r="EM38" i="27"/>
  <c r="EN38" i="27"/>
  <c r="EO38" i="27"/>
  <c r="EP38" i="27"/>
  <c r="EQ38" i="27"/>
  <c r="ER38" i="27"/>
  <c r="ES38" i="27"/>
  <c r="ET38" i="27"/>
  <c r="EU38" i="27"/>
  <c r="EV38" i="27"/>
  <c r="EW38" i="27"/>
  <c r="EX38" i="27"/>
  <c r="EY38" i="27"/>
  <c r="EZ38" i="27"/>
  <c r="FA38" i="27"/>
  <c r="FB38" i="27"/>
  <c r="FC38" i="27"/>
  <c r="FD38" i="27"/>
  <c r="FE38" i="27"/>
  <c r="FF38" i="27"/>
  <c r="FG38" i="27"/>
  <c r="FH38" i="27"/>
  <c r="FI38" i="27"/>
  <c r="FJ38" i="27"/>
  <c r="FK38" i="27"/>
  <c r="FL38" i="27"/>
  <c r="FM38" i="27"/>
  <c r="FN38" i="27"/>
  <c r="FO38" i="27"/>
  <c r="FP38" i="27"/>
  <c r="FQ38" i="27"/>
  <c r="FR38" i="27"/>
  <c r="FS38" i="27"/>
  <c r="FT38" i="27"/>
  <c r="FU38" i="27"/>
  <c r="FV38" i="27"/>
  <c r="FW38" i="27"/>
  <c r="FX38" i="27"/>
  <c r="FY38" i="27"/>
  <c r="FZ38" i="27"/>
  <c r="GA38" i="27"/>
  <c r="GB38" i="27"/>
  <c r="GC38" i="27"/>
  <c r="GD38" i="27"/>
  <c r="GE38" i="27"/>
  <c r="GF38" i="27"/>
  <c r="GG38" i="27"/>
  <c r="GH38" i="27"/>
  <c r="GI38" i="27"/>
  <c r="GJ38" i="27"/>
  <c r="GK38" i="27"/>
  <c r="GL38" i="27"/>
  <c r="GM38" i="27"/>
  <c r="GN38" i="27"/>
  <c r="GO38" i="27"/>
  <c r="GP38" i="27"/>
  <c r="GQ38" i="27"/>
  <c r="GR38" i="27"/>
  <c r="GS38" i="27"/>
  <c r="GT38" i="27"/>
  <c r="GU38" i="27"/>
  <c r="GV38" i="27"/>
  <c r="GW38" i="27"/>
  <c r="GX38" i="27"/>
  <c r="GY38" i="27"/>
  <c r="GZ38" i="27"/>
  <c r="HA38" i="27"/>
  <c r="HB38" i="27"/>
  <c r="HC38" i="27"/>
  <c r="HD38" i="27"/>
  <c r="HE38" i="27"/>
  <c r="HF38" i="27"/>
  <c r="HG38" i="27"/>
  <c r="HH38" i="27"/>
  <c r="HI38" i="27"/>
  <c r="HJ38" i="27"/>
  <c r="HK38" i="27"/>
  <c r="HL38" i="27"/>
  <c r="HM38" i="27"/>
  <c r="HN38" i="27"/>
  <c r="HO38" i="27"/>
  <c r="HP38" i="27"/>
  <c r="HQ38" i="27"/>
  <c r="HR38" i="27"/>
  <c r="HS38" i="27"/>
  <c r="HT38" i="27"/>
  <c r="HU38" i="27"/>
  <c r="HV38" i="27"/>
  <c r="HW38" i="27"/>
  <c r="HX38" i="27"/>
  <c r="HY38" i="27"/>
  <c r="HZ38" i="27"/>
  <c r="IA38" i="27"/>
  <c r="IB38" i="27"/>
  <c r="IC38" i="27"/>
  <c r="ID38" i="27"/>
  <c r="IE38" i="27"/>
  <c r="IF38" i="27"/>
  <c r="IG38" i="27"/>
  <c r="IH38" i="27"/>
  <c r="II38" i="27"/>
  <c r="IJ38" i="27"/>
  <c r="IK38" i="27"/>
  <c r="IL38" i="27"/>
  <c r="IM38" i="27"/>
  <c r="IN38" i="27"/>
  <c r="IO38" i="27"/>
  <c r="IP38" i="27"/>
  <c r="IQ38" i="27"/>
  <c r="IR38" i="27"/>
  <c r="IS38" i="27"/>
  <c r="IT38" i="27"/>
  <c r="IU38" i="27"/>
  <c r="IV38" i="27"/>
  <c r="A37" i="27"/>
  <c r="B37" i="27"/>
  <c r="C37" i="27"/>
  <c r="D37" i="27"/>
  <c r="E37" i="27"/>
  <c r="F37" i="27"/>
  <c r="G37" i="27"/>
  <c r="H37" i="27"/>
  <c r="I37" i="27"/>
  <c r="J37" i="27"/>
  <c r="K37" i="27"/>
  <c r="L37" i="27"/>
  <c r="M37" i="27"/>
  <c r="N37" i="27"/>
  <c r="O37" i="27"/>
  <c r="P37" i="27"/>
  <c r="Q37" i="27"/>
  <c r="R37" i="27"/>
  <c r="S37" i="27"/>
  <c r="T37" i="27"/>
  <c r="U37" i="27"/>
  <c r="V37" i="27"/>
  <c r="W37" i="27"/>
  <c r="X37" i="27"/>
  <c r="Y37" i="27"/>
  <c r="Z37" i="27"/>
  <c r="AA37" i="27"/>
  <c r="AB37" i="27"/>
  <c r="AC37" i="27"/>
  <c r="AD37" i="27"/>
  <c r="AE37" i="27"/>
  <c r="AH37" i="27"/>
  <c r="AI37" i="27"/>
  <c r="AJ37" i="27"/>
  <c r="AK37" i="27"/>
  <c r="AL37" i="27"/>
  <c r="AO37" i="27"/>
  <c r="AP37" i="27"/>
  <c r="AQ37" i="27"/>
  <c r="AR37" i="27"/>
  <c r="AS37" i="27"/>
  <c r="AT37" i="27"/>
  <c r="AU37" i="27"/>
  <c r="AV37" i="27"/>
  <c r="AW37" i="27"/>
  <c r="AX37" i="27"/>
  <c r="AY37" i="27"/>
  <c r="AZ37" i="27"/>
  <c r="BA37" i="27"/>
  <c r="BB37" i="27"/>
  <c r="BC37" i="27"/>
  <c r="BD37" i="27"/>
  <c r="BE37" i="27"/>
  <c r="BF37" i="27"/>
  <c r="BG37" i="27"/>
  <c r="BH37" i="27"/>
  <c r="BI37" i="27"/>
  <c r="BJ37" i="27"/>
  <c r="BK37" i="27"/>
  <c r="BL37" i="27"/>
  <c r="BM37" i="27"/>
  <c r="BN37" i="27"/>
  <c r="BO37" i="27"/>
  <c r="BP37" i="27"/>
  <c r="BQ37" i="27"/>
  <c r="BR37" i="27"/>
  <c r="BS37" i="27"/>
  <c r="BT37" i="27"/>
  <c r="BU37" i="27"/>
  <c r="BV37" i="27"/>
  <c r="BW37" i="27"/>
  <c r="BX37" i="27"/>
  <c r="BY37" i="27"/>
  <c r="BZ37" i="27"/>
  <c r="CA37" i="27"/>
  <c r="CB37" i="27"/>
  <c r="CC37" i="27"/>
  <c r="CD37" i="27"/>
  <c r="CE37" i="27"/>
  <c r="CF37" i="27"/>
  <c r="CG37" i="27"/>
  <c r="CH37" i="27"/>
  <c r="CI37" i="27"/>
  <c r="CJ37" i="27"/>
  <c r="CK37" i="27"/>
  <c r="CL37" i="27"/>
  <c r="CM37" i="27"/>
  <c r="CN37" i="27"/>
  <c r="CO37" i="27"/>
  <c r="CP37" i="27"/>
  <c r="CQ37" i="27"/>
  <c r="CR37" i="27"/>
  <c r="CS37" i="27"/>
  <c r="CT37" i="27"/>
  <c r="CU37" i="27"/>
  <c r="CV37" i="27"/>
  <c r="CW37" i="27"/>
  <c r="CX37" i="27"/>
  <c r="CY37" i="27"/>
  <c r="CZ37" i="27"/>
  <c r="DA37" i="27"/>
  <c r="DB37" i="27"/>
  <c r="DC37" i="27"/>
  <c r="DD37" i="27"/>
  <c r="DE37" i="27"/>
  <c r="DF37" i="27"/>
  <c r="DG37" i="27"/>
  <c r="DH37" i="27"/>
  <c r="DI37" i="27"/>
  <c r="DJ37" i="27"/>
  <c r="DK37" i="27"/>
  <c r="DL37" i="27"/>
  <c r="DM37" i="27"/>
  <c r="DN37" i="27"/>
  <c r="DO37" i="27"/>
  <c r="DP37" i="27"/>
  <c r="DQ37" i="27"/>
  <c r="DR37" i="27"/>
  <c r="DS37" i="27"/>
  <c r="DT37" i="27"/>
  <c r="DU37" i="27"/>
  <c r="DV37" i="27"/>
  <c r="DW37" i="27"/>
  <c r="DX37" i="27"/>
  <c r="DY37" i="27"/>
  <c r="DZ37" i="27"/>
  <c r="EA37" i="27"/>
  <c r="EB37" i="27"/>
  <c r="EC37" i="27"/>
  <c r="ED37" i="27"/>
  <c r="EE37" i="27"/>
  <c r="EF37" i="27"/>
  <c r="EG37" i="27"/>
  <c r="EH37" i="27"/>
  <c r="EI37" i="27"/>
  <c r="EJ37" i="27"/>
  <c r="EK37" i="27"/>
  <c r="EL37" i="27"/>
  <c r="EM37" i="27"/>
  <c r="EN37" i="27"/>
  <c r="EO37" i="27"/>
  <c r="EP37" i="27"/>
  <c r="EQ37" i="27"/>
  <c r="ER37" i="27"/>
  <c r="ES37" i="27"/>
  <c r="ET37" i="27"/>
  <c r="EU37" i="27"/>
  <c r="EV37" i="27"/>
  <c r="EW37" i="27"/>
  <c r="EX37" i="27"/>
  <c r="EY37" i="27"/>
  <c r="EZ37" i="27"/>
  <c r="FA37" i="27"/>
  <c r="FB37" i="27"/>
  <c r="FC37" i="27"/>
  <c r="FD37" i="27"/>
  <c r="FE37" i="27"/>
  <c r="FF37" i="27"/>
  <c r="FG37" i="27"/>
  <c r="FH37" i="27"/>
  <c r="FI37" i="27"/>
  <c r="FJ37" i="27"/>
  <c r="FK37" i="27"/>
  <c r="FL37" i="27"/>
  <c r="FM37" i="27"/>
  <c r="FN37" i="27"/>
  <c r="FO37" i="27"/>
  <c r="FP37" i="27"/>
  <c r="FQ37" i="27"/>
  <c r="FR37" i="27"/>
  <c r="FS37" i="27"/>
  <c r="FT37" i="27"/>
  <c r="FU37" i="27"/>
  <c r="FV37" i="27"/>
  <c r="FW37" i="27"/>
  <c r="FX37" i="27"/>
  <c r="FY37" i="27"/>
  <c r="FZ37" i="27"/>
  <c r="GA37" i="27"/>
  <c r="GB37" i="27"/>
  <c r="GC37" i="27"/>
  <c r="GD37" i="27"/>
  <c r="GE37" i="27"/>
  <c r="GF37" i="27"/>
  <c r="GG37" i="27"/>
  <c r="GH37" i="27"/>
  <c r="GI37" i="27"/>
  <c r="GJ37" i="27"/>
  <c r="GK37" i="27"/>
  <c r="GL37" i="27"/>
  <c r="GM37" i="27"/>
  <c r="GN37" i="27"/>
  <c r="GO37" i="27"/>
  <c r="GP37" i="27"/>
  <c r="GQ37" i="27"/>
  <c r="GR37" i="27"/>
  <c r="GS37" i="27"/>
  <c r="GT37" i="27"/>
  <c r="GU37" i="27"/>
  <c r="GV37" i="27"/>
  <c r="GW37" i="27"/>
  <c r="GX37" i="27"/>
  <c r="GY37" i="27"/>
  <c r="GZ37" i="27"/>
  <c r="HA37" i="27"/>
  <c r="HB37" i="27"/>
  <c r="HC37" i="27"/>
  <c r="HD37" i="27"/>
  <c r="HE37" i="27"/>
  <c r="HF37" i="27"/>
  <c r="HG37" i="27"/>
  <c r="HH37" i="27"/>
  <c r="HI37" i="27"/>
  <c r="HJ37" i="27"/>
  <c r="HK37" i="27"/>
  <c r="HL37" i="27"/>
  <c r="HM37" i="27"/>
  <c r="HN37" i="27"/>
  <c r="HO37" i="27"/>
  <c r="HP37" i="27"/>
  <c r="HQ37" i="27"/>
  <c r="HR37" i="27"/>
  <c r="HS37" i="27"/>
  <c r="HT37" i="27"/>
  <c r="HU37" i="27"/>
  <c r="HV37" i="27"/>
  <c r="HW37" i="27"/>
  <c r="HX37" i="27"/>
  <c r="HY37" i="27"/>
  <c r="HZ37" i="27"/>
  <c r="IA37" i="27"/>
  <c r="IB37" i="27"/>
  <c r="IC37" i="27"/>
  <c r="ID37" i="27"/>
  <c r="IE37" i="27"/>
  <c r="IF37" i="27"/>
  <c r="IG37" i="27"/>
  <c r="IH37" i="27"/>
  <c r="II37" i="27"/>
  <c r="IJ37" i="27"/>
  <c r="IK37" i="27"/>
  <c r="IL37" i="27"/>
  <c r="IM37" i="27"/>
  <c r="IN37" i="27"/>
  <c r="IO37" i="27"/>
  <c r="IP37" i="27"/>
  <c r="IQ37" i="27"/>
  <c r="IR37" i="27"/>
  <c r="IS37" i="27"/>
  <c r="IT37" i="27"/>
  <c r="IU37" i="27"/>
  <c r="IV37" i="27"/>
  <c r="A36" i="27"/>
  <c r="B36" i="27"/>
  <c r="C36" i="27"/>
  <c r="D36" i="27"/>
  <c r="E36" i="27"/>
  <c r="F36" i="27"/>
  <c r="G36" i="27"/>
  <c r="H36" i="27"/>
  <c r="I36" i="27"/>
  <c r="J36" i="27"/>
  <c r="K36" i="27"/>
  <c r="L36" i="27"/>
  <c r="M36" i="27"/>
  <c r="N36" i="27"/>
  <c r="O36" i="27"/>
  <c r="P36" i="27"/>
  <c r="Q36" i="27"/>
  <c r="R36" i="27"/>
  <c r="S36" i="27"/>
  <c r="T36" i="27"/>
  <c r="U36" i="27"/>
  <c r="V36" i="27"/>
  <c r="W36" i="27"/>
  <c r="X36" i="27"/>
  <c r="Y36" i="27"/>
  <c r="Z36" i="27"/>
  <c r="AA36" i="27"/>
  <c r="AB36" i="27"/>
  <c r="AC36" i="27"/>
  <c r="AD36" i="27"/>
  <c r="AE36" i="27"/>
  <c r="AF36" i="27"/>
  <c r="AG36" i="27"/>
  <c r="AH36" i="27"/>
  <c r="AI36" i="27"/>
  <c r="AJ36" i="27"/>
  <c r="AK36" i="27"/>
  <c r="AL36" i="27"/>
  <c r="AM36" i="27"/>
  <c r="AN36" i="27"/>
  <c r="AO36" i="27"/>
  <c r="AP36" i="27"/>
  <c r="AQ36" i="27"/>
  <c r="AR36" i="27"/>
  <c r="AS36" i="27"/>
  <c r="AT36" i="27"/>
  <c r="AU36" i="27"/>
  <c r="AV36" i="27"/>
  <c r="AW36" i="27"/>
  <c r="AX36" i="27"/>
  <c r="AY36" i="27"/>
  <c r="AZ36" i="27"/>
  <c r="BA36" i="27"/>
  <c r="BB36" i="27"/>
  <c r="BC36" i="27"/>
  <c r="BD36" i="27"/>
  <c r="BE36" i="27"/>
  <c r="BF36" i="27"/>
  <c r="BG36" i="27"/>
  <c r="BH36" i="27"/>
  <c r="BI36" i="27"/>
  <c r="BJ36" i="27"/>
  <c r="BK36" i="27"/>
  <c r="BL36" i="27"/>
  <c r="BM36" i="27"/>
  <c r="BN36" i="27"/>
  <c r="BO36" i="27"/>
  <c r="BP36" i="27"/>
  <c r="BQ36" i="27"/>
  <c r="BR36" i="27"/>
  <c r="BS36" i="27"/>
  <c r="BT36" i="27"/>
  <c r="BU36" i="27"/>
  <c r="BV36" i="27"/>
  <c r="BW36" i="27"/>
  <c r="BX36" i="27"/>
  <c r="BY36" i="27"/>
  <c r="BZ36" i="27"/>
  <c r="CA36" i="27"/>
  <c r="CB36" i="27"/>
  <c r="CC36" i="27"/>
  <c r="CD36" i="27"/>
  <c r="CE36" i="27"/>
  <c r="CF36" i="27"/>
  <c r="CG36" i="27"/>
  <c r="CH36" i="27"/>
  <c r="CI36" i="27"/>
  <c r="CJ36" i="27"/>
  <c r="CK36" i="27"/>
  <c r="CL36" i="27"/>
  <c r="CM36" i="27"/>
  <c r="CN36" i="27"/>
  <c r="CO36" i="27"/>
  <c r="CP36" i="27"/>
  <c r="CQ36" i="27"/>
  <c r="CR36" i="27"/>
  <c r="CS36" i="27"/>
  <c r="CT36" i="27"/>
  <c r="CU36" i="27"/>
  <c r="CV36" i="27"/>
  <c r="CW36" i="27"/>
  <c r="CX36" i="27"/>
  <c r="CY36" i="27"/>
  <c r="CZ36" i="27"/>
  <c r="DA36" i="27"/>
  <c r="DB36" i="27"/>
  <c r="DC36" i="27"/>
  <c r="DD36" i="27"/>
  <c r="DE36" i="27"/>
  <c r="DF36" i="27"/>
  <c r="DG36" i="27"/>
  <c r="DH36" i="27"/>
  <c r="DI36" i="27"/>
  <c r="DJ36" i="27"/>
  <c r="DK36" i="27"/>
  <c r="DL36" i="27"/>
  <c r="DM36" i="27"/>
  <c r="DN36" i="27"/>
  <c r="DO36" i="27"/>
  <c r="DP36" i="27"/>
  <c r="DQ36" i="27"/>
  <c r="DR36" i="27"/>
  <c r="DS36" i="27"/>
  <c r="DT36" i="27"/>
  <c r="DU36" i="27"/>
  <c r="DV36" i="27"/>
  <c r="DW36" i="27"/>
  <c r="DX36" i="27"/>
  <c r="DY36" i="27"/>
  <c r="DZ36" i="27"/>
  <c r="EA36" i="27"/>
  <c r="EB36" i="27"/>
  <c r="EC36" i="27"/>
  <c r="ED36" i="27"/>
  <c r="EE36" i="27"/>
  <c r="EF36" i="27"/>
  <c r="EG36" i="27"/>
  <c r="EH36" i="27"/>
  <c r="EI36" i="27"/>
  <c r="EJ36" i="27"/>
  <c r="EK36" i="27"/>
  <c r="EL36" i="27"/>
  <c r="EM36" i="27"/>
  <c r="EN36" i="27"/>
  <c r="EO36" i="27"/>
  <c r="EP36" i="27"/>
  <c r="EQ36" i="27"/>
  <c r="ER36" i="27"/>
  <c r="ES36" i="27"/>
  <c r="ET36" i="27"/>
  <c r="EU36" i="27"/>
  <c r="EV36" i="27"/>
  <c r="EW36" i="27"/>
  <c r="EX36" i="27"/>
  <c r="EY36" i="27"/>
  <c r="EZ36" i="27"/>
  <c r="FA36" i="27"/>
  <c r="FB36" i="27"/>
  <c r="FC36" i="27"/>
  <c r="FD36" i="27"/>
  <c r="FE36" i="27"/>
  <c r="FF36" i="27"/>
  <c r="FG36" i="27"/>
  <c r="FH36" i="27"/>
  <c r="FI36" i="27"/>
  <c r="FJ36" i="27"/>
  <c r="FK36" i="27"/>
  <c r="FL36" i="27"/>
  <c r="FM36" i="27"/>
  <c r="FN36" i="27"/>
  <c r="FO36" i="27"/>
  <c r="FP36" i="27"/>
  <c r="FQ36" i="27"/>
  <c r="FR36" i="27"/>
  <c r="FS36" i="27"/>
  <c r="FT36" i="27"/>
  <c r="FU36" i="27"/>
  <c r="FV36" i="27"/>
  <c r="FW36" i="27"/>
  <c r="FX36" i="27"/>
  <c r="FY36" i="27"/>
  <c r="FZ36" i="27"/>
  <c r="GA36" i="27"/>
  <c r="GB36" i="27"/>
  <c r="GC36" i="27"/>
  <c r="GD36" i="27"/>
  <c r="GE36" i="27"/>
  <c r="GF36" i="27"/>
  <c r="GG36" i="27"/>
  <c r="GH36" i="27"/>
  <c r="GI36" i="27"/>
  <c r="GJ36" i="27"/>
  <c r="GK36" i="27"/>
  <c r="GL36" i="27"/>
  <c r="GM36" i="27"/>
  <c r="GN36" i="27"/>
  <c r="GO36" i="27"/>
  <c r="GP36" i="27"/>
  <c r="GQ36" i="27"/>
  <c r="GR36" i="27"/>
  <c r="GS36" i="27"/>
  <c r="GT36" i="27"/>
  <c r="GU36" i="27"/>
  <c r="GV36" i="27"/>
  <c r="GW36" i="27"/>
  <c r="GX36" i="27"/>
  <c r="GY36" i="27"/>
  <c r="GZ36" i="27"/>
  <c r="HA36" i="27"/>
  <c r="HB36" i="27"/>
  <c r="HC36" i="27"/>
  <c r="HD36" i="27"/>
  <c r="HE36" i="27"/>
  <c r="HF36" i="27"/>
  <c r="HG36" i="27"/>
  <c r="HH36" i="27"/>
  <c r="HI36" i="27"/>
  <c r="HJ36" i="27"/>
  <c r="HK36" i="27"/>
  <c r="HL36" i="27"/>
  <c r="HM36" i="27"/>
  <c r="HN36" i="27"/>
  <c r="HO36" i="27"/>
  <c r="HP36" i="27"/>
  <c r="HQ36" i="27"/>
  <c r="HR36" i="27"/>
  <c r="HS36" i="27"/>
  <c r="HT36" i="27"/>
  <c r="HU36" i="27"/>
  <c r="HV36" i="27"/>
  <c r="HW36" i="27"/>
  <c r="HX36" i="27"/>
  <c r="HY36" i="27"/>
  <c r="HZ36" i="27"/>
  <c r="IA36" i="27"/>
  <c r="IB36" i="27"/>
  <c r="IC36" i="27"/>
  <c r="ID36" i="27"/>
  <c r="IE36" i="27"/>
  <c r="IF36" i="27"/>
  <c r="IG36" i="27"/>
  <c r="IH36" i="27"/>
  <c r="II36" i="27"/>
  <c r="IJ36" i="27"/>
  <c r="IK36" i="27"/>
  <c r="IL36" i="27"/>
  <c r="IM36" i="27"/>
  <c r="IN36" i="27"/>
  <c r="IO36" i="27"/>
  <c r="IP36" i="27"/>
  <c r="IQ36" i="27"/>
  <c r="IR36" i="27"/>
  <c r="IS36" i="27"/>
  <c r="IT36" i="27"/>
  <c r="IU36" i="27"/>
  <c r="IV36" i="27"/>
  <c r="A35" i="27"/>
  <c r="B35" i="27"/>
  <c r="C35" i="27"/>
  <c r="D35" i="27"/>
  <c r="E35" i="27"/>
  <c r="F35" i="27"/>
  <c r="G35" i="27"/>
  <c r="H35" i="27"/>
  <c r="I35" i="27"/>
  <c r="J35" i="27"/>
  <c r="K35" i="27"/>
  <c r="L35" i="27"/>
  <c r="M35" i="27"/>
  <c r="N35" i="27"/>
  <c r="O35" i="27"/>
  <c r="P35" i="27"/>
  <c r="Q35" i="27"/>
  <c r="R35" i="27"/>
  <c r="S35" i="27"/>
  <c r="T35" i="27"/>
  <c r="U35" i="27"/>
  <c r="V35" i="27"/>
  <c r="W35" i="27"/>
  <c r="X35" i="27"/>
  <c r="Y35" i="27"/>
  <c r="Z35" i="27"/>
  <c r="AA35" i="27"/>
  <c r="AB35" i="27"/>
  <c r="AC35" i="27"/>
  <c r="AD35" i="27"/>
  <c r="AE35" i="27"/>
  <c r="AF35" i="27"/>
  <c r="AG35" i="27"/>
  <c r="AH35" i="27"/>
  <c r="AI35" i="27"/>
  <c r="AJ35" i="27"/>
  <c r="AK35" i="27"/>
  <c r="AL35" i="27"/>
  <c r="AM35" i="27"/>
  <c r="AN35" i="27"/>
  <c r="AO35" i="27"/>
  <c r="AP35" i="27"/>
  <c r="AQ35" i="27"/>
  <c r="AR35" i="27"/>
  <c r="AS35" i="27"/>
  <c r="AT35" i="27"/>
  <c r="AU35" i="27"/>
  <c r="AV35" i="27"/>
  <c r="AW35" i="27"/>
  <c r="AX35" i="27"/>
  <c r="AY35" i="27"/>
  <c r="AZ35" i="27"/>
  <c r="BA35" i="27"/>
  <c r="BB35" i="27"/>
  <c r="BC35" i="27"/>
  <c r="BD35" i="27"/>
  <c r="BE35" i="27"/>
  <c r="BF35" i="27"/>
  <c r="BG35" i="27"/>
  <c r="BH35" i="27"/>
  <c r="BI35" i="27"/>
  <c r="BJ35" i="27"/>
  <c r="BK35" i="27"/>
  <c r="BL35" i="27"/>
  <c r="BM35" i="27"/>
  <c r="BN35" i="27"/>
  <c r="BO35" i="27"/>
  <c r="BP35" i="27"/>
  <c r="BQ35" i="27"/>
  <c r="BR35" i="27"/>
  <c r="BS35" i="27"/>
  <c r="BT35" i="27"/>
  <c r="BU35" i="27"/>
  <c r="BV35" i="27"/>
  <c r="BW35" i="27"/>
  <c r="BX35" i="27"/>
  <c r="BY35" i="27"/>
  <c r="BZ35" i="27"/>
  <c r="CA35" i="27"/>
  <c r="CB35" i="27"/>
  <c r="CC35" i="27"/>
  <c r="CD35" i="27"/>
  <c r="CE35" i="27"/>
  <c r="CF35" i="27"/>
  <c r="CG35" i="27"/>
  <c r="CH35" i="27"/>
  <c r="CI35" i="27"/>
  <c r="CJ35" i="27"/>
  <c r="CK35" i="27"/>
  <c r="CL35" i="27"/>
  <c r="CM35" i="27"/>
  <c r="CN35" i="27"/>
  <c r="CO35" i="27"/>
  <c r="CP35" i="27"/>
  <c r="CQ35" i="27"/>
  <c r="CR35" i="27"/>
  <c r="CS35" i="27"/>
  <c r="CT35" i="27"/>
  <c r="CU35" i="27"/>
  <c r="CV35" i="27"/>
  <c r="CW35" i="27"/>
  <c r="CX35" i="27"/>
  <c r="CY35" i="27"/>
  <c r="CZ35" i="27"/>
  <c r="DA35" i="27"/>
  <c r="DB35" i="27"/>
  <c r="DC35" i="27"/>
  <c r="DD35" i="27"/>
  <c r="DE35" i="27"/>
  <c r="DF35" i="27"/>
  <c r="DG35" i="27"/>
  <c r="DH35" i="27"/>
  <c r="DI35" i="27"/>
  <c r="DJ35" i="27"/>
  <c r="DK35" i="27"/>
  <c r="DL35" i="27"/>
  <c r="DM35" i="27"/>
  <c r="DN35" i="27"/>
  <c r="DO35" i="27"/>
  <c r="DP35" i="27"/>
  <c r="DQ35" i="27"/>
  <c r="DR35" i="27"/>
  <c r="DS35" i="27"/>
  <c r="DT35" i="27"/>
  <c r="DU35" i="27"/>
  <c r="DV35" i="27"/>
  <c r="DW35" i="27"/>
  <c r="DX35" i="27"/>
  <c r="DY35" i="27"/>
  <c r="DZ35" i="27"/>
  <c r="EA35" i="27"/>
  <c r="EB35" i="27"/>
  <c r="EC35" i="27"/>
  <c r="ED35" i="27"/>
  <c r="EE35" i="27"/>
  <c r="EF35" i="27"/>
  <c r="EG35" i="27"/>
  <c r="EH35" i="27"/>
  <c r="EI35" i="27"/>
  <c r="EJ35" i="27"/>
  <c r="EK35" i="27"/>
  <c r="EL35" i="27"/>
  <c r="EM35" i="27"/>
  <c r="EN35" i="27"/>
  <c r="EO35" i="27"/>
  <c r="EP35" i="27"/>
  <c r="EQ35" i="27"/>
  <c r="ER35" i="27"/>
  <c r="ES35" i="27"/>
  <c r="ET35" i="27"/>
  <c r="EU35" i="27"/>
  <c r="EV35" i="27"/>
  <c r="EW35" i="27"/>
  <c r="EX35" i="27"/>
  <c r="EY35" i="27"/>
  <c r="EZ35" i="27"/>
  <c r="FA35" i="27"/>
  <c r="FB35" i="27"/>
  <c r="FC35" i="27"/>
  <c r="FD35" i="27"/>
  <c r="FE35" i="27"/>
  <c r="FF35" i="27"/>
  <c r="FG35" i="27"/>
  <c r="FH35" i="27"/>
  <c r="FI35" i="27"/>
  <c r="FJ35" i="27"/>
  <c r="FK35" i="27"/>
  <c r="FL35" i="27"/>
  <c r="FM35" i="27"/>
  <c r="FN35" i="27"/>
  <c r="FO35" i="27"/>
  <c r="FP35" i="27"/>
  <c r="FQ35" i="27"/>
  <c r="FR35" i="27"/>
  <c r="FS35" i="27"/>
  <c r="FT35" i="27"/>
  <c r="FU35" i="27"/>
  <c r="FV35" i="27"/>
  <c r="FW35" i="27"/>
  <c r="FX35" i="27"/>
  <c r="FY35" i="27"/>
  <c r="FZ35" i="27"/>
  <c r="GA35" i="27"/>
  <c r="GB35" i="27"/>
  <c r="GC35" i="27"/>
  <c r="GD35" i="27"/>
  <c r="GE35" i="27"/>
  <c r="GF35" i="27"/>
  <c r="GG35" i="27"/>
  <c r="GH35" i="27"/>
  <c r="GI35" i="27"/>
  <c r="GJ35" i="27"/>
  <c r="GK35" i="27"/>
  <c r="GL35" i="27"/>
  <c r="GM35" i="27"/>
  <c r="GN35" i="27"/>
  <c r="GO35" i="27"/>
  <c r="GP35" i="27"/>
  <c r="GQ35" i="27"/>
  <c r="GR35" i="27"/>
  <c r="GS35" i="27"/>
  <c r="GT35" i="27"/>
  <c r="GU35" i="27"/>
  <c r="GV35" i="27"/>
  <c r="GW35" i="27"/>
  <c r="GX35" i="27"/>
  <c r="GY35" i="27"/>
  <c r="GZ35" i="27"/>
  <c r="HA35" i="27"/>
  <c r="HB35" i="27"/>
  <c r="HC35" i="27"/>
  <c r="HD35" i="27"/>
  <c r="HE35" i="27"/>
  <c r="HF35" i="27"/>
  <c r="HG35" i="27"/>
  <c r="HH35" i="27"/>
  <c r="HI35" i="27"/>
  <c r="HJ35" i="27"/>
  <c r="HK35" i="27"/>
  <c r="HL35" i="27"/>
  <c r="HM35" i="27"/>
  <c r="HN35" i="27"/>
  <c r="HO35" i="27"/>
  <c r="HP35" i="27"/>
  <c r="HQ35" i="27"/>
  <c r="HR35" i="27"/>
  <c r="HS35" i="27"/>
  <c r="HT35" i="27"/>
  <c r="HU35" i="27"/>
  <c r="HV35" i="27"/>
  <c r="HW35" i="27"/>
  <c r="HX35" i="27"/>
  <c r="HY35" i="27"/>
  <c r="HZ35" i="27"/>
  <c r="IA35" i="27"/>
  <c r="IB35" i="27"/>
  <c r="IC35" i="27"/>
  <c r="ID35" i="27"/>
  <c r="IE35" i="27"/>
  <c r="IF35" i="27"/>
  <c r="IG35" i="27"/>
  <c r="IH35" i="27"/>
  <c r="II35" i="27"/>
  <c r="IJ35" i="27"/>
  <c r="IK35" i="27"/>
  <c r="IL35" i="27"/>
  <c r="IM35" i="27"/>
  <c r="IN35" i="27"/>
  <c r="IO35" i="27"/>
  <c r="IP35" i="27"/>
  <c r="IQ35" i="27"/>
  <c r="IR35" i="27"/>
  <c r="IS35" i="27"/>
  <c r="IT35" i="27"/>
  <c r="IU35" i="27"/>
  <c r="IV35" i="27"/>
  <c r="A34" i="27"/>
  <c r="B34" i="27"/>
  <c r="C34" i="27"/>
  <c r="D34" i="27"/>
  <c r="E34" i="27"/>
  <c r="F34" i="27"/>
  <c r="G34" i="27"/>
  <c r="H34" i="27"/>
  <c r="I34" i="27"/>
  <c r="J34" i="27"/>
  <c r="K34" i="27"/>
  <c r="M34" i="27"/>
  <c r="N34" i="27"/>
  <c r="O34" i="27"/>
  <c r="P34" i="27"/>
  <c r="Q34" i="27"/>
  <c r="R34" i="27"/>
  <c r="S34" i="27"/>
  <c r="T34" i="27"/>
  <c r="U34" i="27"/>
  <c r="V34" i="27"/>
  <c r="W34" i="27"/>
  <c r="X34" i="27"/>
  <c r="Y34" i="27"/>
  <c r="Z34" i="27"/>
  <c r="AA34" i="27"/>
  <c r="AB34" i="27"/>
  <c r="AC34" i="27"/>
  <c r="AD34" i="27"/>
  <c r="AE34" i="27"/>
  <c r="AF34" i="27"/>
  <c r="AG34" i="27"/>
  <c r="AH34" i="27"/>
  <c r="AI34" i="27"/>
  <c r="AJ34" i="27"/>
  <c r="AK34" i="27"/>
  <c r="AL34" i="27"/>
  <c r="AM34" i="27"/>
  <c r="AN34" i="27"/>
  <c r="AO34" i="27"/>
  <c r="AP34" i="27"/>
  <c r="AQ34" i="27"/>
  <c r="AR34" i="27"/>
  <c r="AS34" i="27"/>
  <c r="AT34" i="27"/>
  <c r="AU34" i="27"/>
  <c r="AV34" i="27"/>
  <c r="AW34" i="27"/>
  <c r="AX34" i="27"/>
  <c r="AY34" i="27"/>
  <c r="AZ34" i="27"/>
  <c r="BA34" i="27"/>
  <c r="BB34" i="27"/>
  <c r="BC34" i="27"/>
  <c r="BD34" i="27"/>
  <c r="BE34" i="27"/>
  <c r="BF34" i="27"/>
  <c r="BG34" i="27"/>
  <c r="BH34" i="27"/>
  <c r="BI34" i="27"/>
  <c r="BJ34" i="27"/>
  <c r="BK34" i="27"/>
  <c r="BL34" i="27"/>
  <c r="BM34" i="27"/>
  <c r="BN34" i="27"/>
  <c r="BO34" i="27"/>
  <c r="BP34" i="27"/>
  <c r="BQ34" i="27"/>
  <c r="BR34" i="27"/>
  <c r="BS34" i="27"/>
  <c r="BT34" i="27"/>
  <c r="BU34" i="27"/>
  <c r="BV34" i="27"/>
  <c r="BW34" i="27"/>
  <c r="BX34" i="27"/>
  <c r="BY34" i="27"/>
  <c r="BZ34" i="27"/>
  <c r="CA34" i="27"/>
  <c r="CB34" i="27"/>
  <c r="CC34" i="27"/>
  <c r="CD34" i="27"/>
  <c r="CE34" i="27"/>
  <c r="CF34" i="27"/>
  <c r="CG34" i="27"/>
  <c r="CH34" i="27"/>
  <c r="CI34" i="27"/>
  <c r="CJ34" i="27"/>
  <c r="CK34" i="27"/>
  <c r="CL34" i="27"/>
  <c r="CM34" i="27"/>
  <c r="CN34" i="27"/>
  <c r="CO34" i="27"/>
  <c r="CP34" i="27"/>
  <c r="CQ34" i="27"/>
  <c r="CR34" i="27"/>
  <c r="CS34" i="27"/>
  <c r="CT34" i="27"/>
  <c r="CU34" i="27"/>
  <c r="CV34" i="27"/>
  <c r="CW34" i="27"/>
  <c r="CX34" i="27"/>
  <c r="CY34" i="27"/>
  <c r="CZ34" i="27"/>
  <c r="DA34" i="27"/>
  <c r="DB34" i="27"/>
  <c r="DC34" i="27"/>
  <c r="DD34" i="27"/>
  <c r="DE34" i="27"/>
  <c r="DF34" i="27"/>
  <c r="DG34" i="27"/>
  <c r="DH34" i="27"/>
  <c r="DI34" i="27"/>
  <c r="DJ34" i="27"/>
  <c r="DK34" i="27"/>
  <c r="DL34" i="27"/>
  <c r="DM34" i="27"/>
  <c r="DN34" i="27"/>
  <c r="DO34" i="27"/>
  <c r="DP34" i="27"/>
  <c r="DQ34" i="27"/>
  <c r="DR34" i="27"/>
  <c r="DS34" i="27"/>
  <c r="DT34" i="27"/>
  <c r="DU34" i="27"/>
  <c r="DV34" i="27"/>
  <c r="DW34" i="27"/>
  <c r="DX34" i="27"/>
  <c r="DY34" i="27"/>
  <c r="DZ34" i="27"/>
  <c r="EA34" i="27"/>
  <c r="EB34" i="27"/>
  <c r="EC34" i="27"/>
  <c r="ED34" i="27"/>
  <c r="EE34" i="27"/>
  <c r="EF34" i="27"/>
  <c r="EG34" i="27"/>
  <c r="EH34" i="27"/>
  <c r="EI34" i="27"/>
  <c r="EJ34" i="27"/>
  <c r="EK34" i="27"/>
  <c r="EL34" i="27"/>
  <c r="EM34" i="27"/>
  <c r="EN34" i="27"/>
  <c r="EO34" i="27"/>
  <c r="EP34" i="27"/>
  <c r="EQ34" i="27"/>
  <c r="ER34" i="27"/>
  <c r="ES34" i="27"/>
  <c r="ET34" i="27"/>
  <c r="EU34" i="27"/>
  <c r="EV34" i="27"/>
  <c r="EW34" i="27"/>
  <c r="EX34" i="27"/>
  <c r="EY34" i="27"/>
  <c r="EZ34" i="27"/>
  <c r="FA34" i="27"/>
  <c r="FB34" i="27"/>
  <c r="FC34" i="27"/>
  <c r="FD34" i="27"/>
  <c r="FE34" i="27"/>
  <c r="FF34" i="27"/>
  <c r="FG34" i="27"/>
  <c r="FH34" i="27"/>
  <c r="FI34" i="27"/>
  <c r="FJ34" i="27"/>
  <c r="FK34" i="27"/>
  <c r="FL34" i="27"/>
  <c r="FM34" i="27"/>
  <c r="FN34" i="27"/>
  <c r="FO34" i="27"/>
  <c r="FP34" i="27"/>
  <c r="FQ34" i="27"/>
  <c r="FR34" i="27"/>
  <c r="FS34" i="27"/>
  <c r="FT34" i="27"/>
  <c r="FU34" i="27"/>
  <c r="FV34" i="27"/>
  <c r="FW34" i="27"/>
  <c r="FX34" i="27"/>
  <c r="FY34" i="27"/>
  <c r="FZ34" i="27"/>
  <c r="GA34" i="27"/>
  <c r="GB34" i="27"/>
  <c r="GC34" i="27"/>
  <c r="GD34" i="27"/>
  <c r="GE34" i="27"/>
  <c r="GF34" i="27"/>
  <c r="GG34" i="27"/>
  <c r="GH34" i="27"/>
  <c r="GI34" i="27"/>
  <c r="GJ34" i="27"/>
  <c r="GK34" i="27"/>
  <c r="GL34" i="27"/>
  <c r="GM34" i="27"/>
  <c r="GN34" i="27"/>
  <c r="GO34" i="27"/>
  <c r="GP34" i="27"/>
  <c r="GQ34" i="27"/>
  <c r="GR34" i="27"/>
  <c r="GS34" i="27"/>
  <c r="GT34" i="27"/>
  <c r="GU34" i="27"/>
  <c r="GV34" i="27"/>
  <c r="GW34" i="27"/>
  <c r="GX34" i="27"/>
  <c r="GY34" i="27"/>
  <c r="GZ34" i="27"/>
  <c r="HA34" i="27"/>
  <c r="HB34" i="27"/>
  <c r="HC34" i="27"/>
  <c r="HD34" i="27"/>
  <c r="HE34" i="27"/>
  <c r="HF34" i="27"/>
  <c r="HG34" i="27"/>
  <c r="HH34" i="27"/>
  <c r="HI34" i="27"/>
  <c r="HJ34" i="27"/>
  <c r="HK34" i="27"/>
  <c r="HL34" i="27"/>
  <c r="HM34" i="27"/>
  <c r="HN34" i="27"/>
  <c r="HO34" i="27"/>
  <c r="HP34" i="27"/>
  <c r="HQ34" i="27"/>
  <c r="HR34" i="27"/>
  <c r="HS34" i="27"/>
  <c r="HT34" i="27"/>
  <c r="HU34" i="27"/>
  <c r="HV34" i="27"/>
  <c r="HW34" i="27"/>
  <c r="HX34" i="27"/>
  <c r="HY34" i="27"/>
  <c r="HZ34" i="27"/>
  <c r="IA34" i="27"/>
  <c r="IB34" i="27"/>
  <c r="IC34" i="27"/>
  <c r="ID34" i="27"/>
  <c r="IE34" i="27"/>
  <c r="IF34" i="27"/>
  <c r="IG34" i="27"/>
  <c r="IH34" i="27"/>
  <c r="II34" i="27"/>
  <c r="IJ34" i="27"/>
  <c r="IK34" i="27"/>
  <c r="IL34" i="27"/>
  <c r="IM34" i="27"/>
  <c r="IN34" i="27"/>
  <c r="IO34" i="27"/>
  <c r="IP34" i="27"/>
  <c r="IQ34" i="27"/>
  <c r="IR34" i="27"/>
  <c r="IS34" i="27"/>
  <c r="IT34" i="27"/>
  <c r="IU34" i="27"/>
  <c r="IV34" i="27"/>
  <c r="A33" i="27"/>
  <c r="B33" i="27"/>
  <c r="C33" i="27"/>
  <c r="D33" i="27"/>
  <c r="E33" i="27"/>
  <c r="F33" i="27"/>
  <c r="G33" i="27"/>
  <c r="H33" i="27"/>
  <c r="I33" i="27"/>
  <c r="J33" i="27"/>
  <c r="K33" i="27"/>
  <c r="L33" i="27"/>
  <c r="M33" i="27"/>
  <c r="N33" i="27"/>
  <c r="O33" i="27"/>
  <c r="P33" i="27"/>
  <c r="Q33" i="27"/>
  <c r="R33" i="27"/>
  <c r="S33" i="27"/>
  <c r="T33" i="27"/>
  <c r="U33" i="27"/>
  <c r="V33" i="27"/>
  <c r="W33" i="27"/>
  <c r="X33" i="27"/>
  <c r="Y33" i="27"/>
  <c r="Z33" i="27"/>
  <c r="AA33" i="27"/>
  <c r="AB33" i="27"/>
  <c r="AC33" i="27"/>
  <c r="AD33" i="27"/>
  <c r="AE33" i="27"/>
  <c r="AF33" i="27"/>
  <c r="AG33" i="27"/>
  <c r="AH33" i="27"/>
  <c r="AI33" i="27"/>
  <c r="AJ33" i="27"/>
  <c r="AK33" i="27"/>
  <c r="AL33" i="27"/>
  <c r="AM33" i="27"/>
  <c r="AN33" i="27"/>
  <c r="AO33" i="27"/>
  <c r="AP33" i="27"/>
  <c r="AQ33" i="27"/>
  <c r="AR33" i="27"/>
  <c r="AS33" i="27"/>
  <c r="AT33" i="27"/>
  <c r="AU33" i="27"/>
  <c r="AV33" i="27"/>
  <c r="AW33" i="27"/>
  <c r="AX33" i="27"/>
  <c r="AY33" i="27"/>
  <c r="AZ33" i="27"/>
  <c r="BA33" i="27"/>
  <c r="BB33" i="27"/>
  <c r="BC33" i="27"/>
  <c r="BD33" i="27"/>
  <c r="BE33" i="27"/>
  <c r="BF33" i="27"/>
  <c r="BG33" i="27"/>
  <c r="BH33" i="27"/>
  <c r="BI33" i="27"/>
  <c r="BJ33" i="27"/>
  <c r="BK33" i="27"/>
  <c r="BL33" i="27"/>
  <c r="BM33" i="27"/>
  <c r="BN33" i="27"/>
  <c r="BO33" i="27"/>
  <c r="BP33" i="27"/>
  <c r="BQ33" i="27"/>
  <c r="BR33" i="27"/>
  <c r="BS33" i="27"/>
  <c r="BT33" i="27"/>
  <c r="BU33" i="27"/>
  <c r="BV33" i="27"/>
  <c r="BW33" i="27"/>
  <c r="BX33" i="27"/>
  <c r="BY33" i="27"/>
  <c r="BZ33" i="27"/>
  <c r="CA33" i="27"/>
  <c r="CB33" i="27"/>
  <c r="CC33" i="27"/>
  <c r="CD33" i="27"/>
  <c r="CE33" i="27"/>
  <c r="CF33" i="27"/>
  <c r="CG33" i="27"/>
  <c r="CH33" i="27"/>
  <c r="CI33" i="27"/>
  <c r="CJ33" i="27"/>
  <c r="CK33" i="27"/>
  <c r="CL33" i="27"/>
  <c r="CM33" i="27"/>
  <c r="CN33" i="27"/>
  <c r="CO33" i="27"/>
  <c r="CP33" i="27"/>
  <c r="CQ33" i="27"/>
  <c r="CR33" i="27"/>
  <c r="CS33" i="27"/>
  <c r="CT33" i="27"/>
  <c r="CU33" i="27"/>
  <c r="CV33" i="27"/>
  <c r="CW33" i="27"/>
  <c r="CX33" i="27"/>
  <c r="CY33" i="27"/>
  <c r="CZ33" i="27"/>
  <c r="DA33" i="27"/>
  <c r="DB33" i="27"/>
  <c r="DC33" i="27"/>
  <c r="DD33" i="27"/>
  <c r="DE33" i="27"/>
  <c r="DF33" i="27"/>
  <c r="DG33" i="27"/>
  <c r="DH33" i="27"/>
  <c r="DI33" i="27"/>
  <c r="DJ33" i="27"/>
  <c r="DK33" i="27"/>
  <c r="DL33" i="27"/>
  <c r="DM33" i="27"/>
  <c r="DN33" i="27"/>
  <c r="DO33" i="27"/>
  <c r="DP33" i="27"/>
  <c r="DQ33" i="27"/>
  <c r="DR33" i="27"/>
  <c r="DS33" i="27"/>
  <c r="DT33" i="27"/>
  <c r="DU33" i="27"/>
  <c r="DV33" i="27"/>
  <c r="DW33" i="27"/>
  <c r="DX33" i="27"/>
  <c r="DY33" i="27"/>
  <c r="DZ33" i="27"/>
  <c r="EA33" i="27"/>
  <c r="EB33" i="27"/>
  <c r="EC33" i="27"/>
  <c r="ED33" i="27"/>
  <c r="EE33" i="27"/>
  <c r="EF33" i="27"/>
  <c r="EG33" i="27"/>
  <c r="EH33" i="27"/>
  <c r="EI33" i="27"/>
  <c r="EJ33" i="27"/>
  <c r="EK33" i="27"/>
  <c r="EL33" i="27"/>
  <c r="EM33" i="27"/>
  <c r="EN33" i="27"/>
  <c r="EO33" i="27"/>
  <c r="EP33" i="27"/>
  <c r="ES33" i="27"/>
  <c r="ET33" i="27"/>
  <c r="EU33" i="27"/>
  <c r="EV33" i="27"/>
  <c r="EW33" i="27"/>
  <c r="EZ33" i="27"/>
  <c r="FA33" i="27"/>
  <c r="FB33" i="27"/>
  <c r="FC33" i="27"/>
  <c r="FD33" i="27"/>
  <c r="FE33" i="27"/>
  <c r="FF33" i="27"/>
  <c r="FG33" i="27"/>
  <c r="FH33" i="27"/>
  <c r="FI33" i="27"/>
  <c r="FJ33" i="27"/>
  <c r="FK33" i="27"/>
  <c r="FL33" i="27"/>
  <c r="FM33" i="27"/>
  <c r="FN33" i="27"/>
  <c r="FO33" i="27"/>
  <c r="FP33" i="27"/>
  <c r="FQ33" i="27"/>
  <c r="FR33" i="27"/>
  <c r="FS33" i="27"/>
  <c r="FT33" i="27"/>
  <c r="FU33" i="27"/>
  <c r="FV33" i="27"/>
  <c r="FW33" i="27"/>
  <c r="FX33" i="27"/>
  <c r="FY33" i="27"/>
  <c r="FZ33" i="27"/>
  <c r="GA33" i="27"/>
  <c r="GB33" i="27"/>
  <c r="GC33" i="27"/>
  <c r="GD33" i="27"/>
  <c r="GE33" i="27"/>
  <c r="GF33" i="27"/>
  <c r="GG33" i="27"/>
  <c r="GH33" i="27"/>
  <c r="GI33" i="27"/>
  <c r="GJ33" i="27"/>
  <c r="GK33" i="27"/>
  <c r="GL33" i="27"/>
  <c r="GM33" i="27"/>
  <c r="GN33" i="27"/>
  <c r="GO33" i="27"/>
  <c r="GP33" i="27"/>
  <c r="GQ33" i="27"/>
  <c r="GR33" i="27"/>
  <c r="GS33" i="27"/>
  <c r="GT33" i="27"/>
  <c r="GU33" i="27"/>
  <c r="GV33" i="27"/>
  <c r="GW33" i="27"/>
  <c r="GX33" i="27"/>
  <c r="GY33" i="27"/>
  <c r="GZ33" i="27"/>
  <c r="HA33" i="27"/>
  <c r="HB33" i="27"/>
  <c r="HC33" i="27"/>
  <c r="HD33" i="27"/>
  <c r="HE33" i="27"/>
  <c r="HF33" i="27"/>
  <c r="HG33" i="27"/>
  <c r="HH33" i="27"/>
  <c r="HI33" i="27"/>
  <c r="HJ33" i="27"/>
  <c r="HK33" i="27"/>
  <c r="HL33" i="27"/>
  <c r="HM33" i="27"/>
  <c r="HN33" i="27"/>
  <c r="HO33" i="27"/>
  <c r="HP33" i="27"/>
  <c r="HQ33" i="27"/>
  <c r="HR33" i="27"/>
  <c r="HS33" i="27"/>
  <c r="HT33" i="27"/>
  <c r="HU33" i="27"/>
  <c r="HV33" i="27"/>
  <c r="HW33" i="27"/>
  <c r="HX33" i="27"/>
  <c r="HY33" i="27"/>
  <c r="HZ33" i="27"/>
  <c r="IA33" i="27"/>
  <c r="IB33" i="27"/>
  <c r="IC33" i="27"/>
  <c r="ID33" i="27"/>
  <c r="IE33" i="27"/>
  <c r="IF33" i="27"/>
  <c r="IG33" i="27"/>
  <c r="IH33" i="27"/>
  <c r="II33" i="27"/>
  <c r="IJ33" i="27"/>
  <c r="IK33" i="27"/>
  <c r="IL33" i="27"/>
  <c r="IM33" i="27"/>
  <c r="IN33" i="27"/>
  <c r="IO33" i="27"/>
  <c r="IP33" i="27"/>
  <c r="IQ33" i="27"/>
  <c r="IR33" i="27"/>
  <c r="IS33" i="27"/>
  <c r="IT33" i="27"/>
  <c r="IU33" i="27"/>
  <c r="IV33" i="27"/>
  <c r="A32" i="27"/>
  <c r="B32" i="27"/>
  <c r="C32" i="27"/>
  <c r="D32" i="27"/>
  <c r="E32" i="27"/>
  <c r="F32" i="27"/>
  <c r="G32" i="27"/>
  <c r="H32" i="27"/>
  <c r="I32" i="27"/>
  <c r="J32" i="27"/>
  <c r="K32" i="27"/>
  <c r="L32" i="27"/>
  <c r="M32" i="27"/>
  <c r="N32" i="27"/>
  <c r="O32" i="27"/>
  <c r="P32" i="27"/>
  <c r="Q32" i="27"/>
  <c r="R32" i="27"/>
  <c r="S32" i="27"/>
  <c r="T32" i="27"/>
  <c r="U32" i="27"/>
  <c r="V32" i="27"/>
  <c r="W32" i="27"/>
  <c r="X32" i="27"/>
  <c r="Y32" i="27"/>
  <c r="Z32" i="27"/>
  <c r="AA32" i="27"/>
  <c r="AB32" i="27"/>
  <c r="AC32" i="27"/>
  <c r="AD32" i="27"/>
  <c r="AE32" i="27"/>
  <c r="AF32" i="27"/>
  <c r="AG32" i="27"/>
  <c r="AH32" i="27"/>
  <c r="AI32" i="27"/>
  <c r="AJ32" i="27"/>
  <c r="AK32" i="27"/>
  <c r="AL32" i="27"/>
  <c r="AM32" i="27"/>
  <c r="AN32" i="27"/>
  <c r="AO32" i="27"/>
  <c r="AP32" i="27"/>
  <c r="AQ32" i="27"/>
  <c r="AR32" i="27"/>
  <c r="AS32" i="27"/>
  <c r="AT32" i="27"/>
  <c r="AU32" i="27"/>
  <c r="AV32" i="27"/>
  <c r="AW32" i="27"/>
  <c r="AX32" i="27"/>
  <c r="AY32" i="27"/>
  <c r="AZ32" i="27"/>
  <c r="BA32" i="27"/>
  <c r="BB32" i="27"/>
  <c r="BC32" i="27"/>
  <c r="BD32" i="27"/>
  <c r="BE32" i="27"/>
  <c r="BF32" i="27"/>
  <c r="BG32" i="27"/>
  <c r="BH32" i="27"/>
  <c r="BI32" i="27"/>
  <c r="BJ32" i="27"/>
  <c r="BK32" i="27"/>
  <c r="BL32" i="27"/>
  <c r="BM32" i="27"/>
  <c r="BN32" i="27"/>
  <c r="BO32" i="27"/>
  <c r="BP32" i="27"/>
  <c r="BQ32" i="27"/>
  <c r="BR32" i="27"/>
  <c r="BS32" i="27"/>
  <c r="BT32" i="27"/>
  <c r="BU32" i="27"/>
  <c r="BV32" i="27"/>
  <c r="BW32" i="27"/>
  <c r="BX32" i="27"/>
  <c r="BY32" i="27"/>
  <c r="BZ32" i="27"/>
  <c r="CA32" i="27"/>
  <c r="CB32" i="27"/>
  <c r="CC32" i="27"/>
  <c r="CD32" i="27"/>
  <c r="CE32" i="27"/>
  <c r="CF32" i="27"/>
  <c r="CG32" i="27"/>
  <c r="CH32" i="27"/>
  <c r="CI32" i="27"/>
  <c r="CJ32" i="27"/>
  <c r="CK32" i="27"/>
  <c r="CL32" i="27"/>
  <c r="CM32" i="27"/>
  <c r="CN32" i="27"/>
  <c r="CO32" i="27"/>
  <c r="CP32" i="27"/>
  <c r="CQ32" i="27"/>
  <c r="CR32" i="27"/>
  <c r="CS32" i="27"/>
  <c r="CT32" i="27"/>
  <c r="CU32" i="27"/>
  <c r="CV32" i="27"/>
  <c r="CW32" i="27"/>
  <c r="CX32" i="27"/>
  <c r="CY32" i="27"/>
  <c r="CZ32" i="27"/>
  <c r="DA32" i="27"/>
  <c r="DB32" i="27"/>
  <c r="DC32" i="27"/>
  <c r="DD32" i="27"/>
  <c r="DE32" i="27"/>
  <c r="DF32" i="27"/>
  <c r="DG32" i="27"/>
  <c r="DH32" i="27"/>
  <c r="DI32" i="27"/>
  <c r="DJ32" i="27"/>
  <c r="DK32" i="27"/>
  <c r="DL32" i="27"/>
  <c r="DM32" i="27"/>
  <c r="DN32" i="27"/>
  <c r="DO32" i="27"/>
  <c r="DP32" i="27"/>
  <c r="DQ32" i="27"/>
  <c r="DR32" i="27"/>
  <c r="DS32" i="27"/>
  <c r="DT32" i="27"/>
  <c r="DU32" i="27"/>
  <c r="DV32" i="27"/>
  <c r="DW32" i="27"/>
  <c r="DX32" i="27"/>
  <c r="DY32" i="27"/>
  <c r="DZ32" i="27"/>
  <c r="EA32" i="27"/>
  <c r="EB32" i="27"/>
  <c r="EC32" i="27"/>
  <c r="ED32" i="27"/>
  <c r="EE32" i="27"/>
  <c r="EF32" i="27"/>
  <c r="EG32" i="27"/>
  <c r="EH32" i="27"/>
  <c r="EI32" i="27"/>
  <c r="EJ32" i="27"/>
  <c r="EK32" i="27"/>
  <c r="EL32" i="27"/>
  <c r="EM32" i="27"/>
  <c r="EN32" i="27"/>
  <c r="EO32" i="27"/>
  <c r="EP32" i="27"/>
  <c r="EQ32" i="27"/>
  <c r="ER32" i="27"/>
  <c r="ES32" i="27"/>
  <c r="ET32" i="27"/>
  <c r="EU32" i="27"/>
  <c r="EV32" i="27"/>
  <c r="EW32" i="27"/>
  <c r="EX32" i="27"/>
  <c r="EY32" i="27"/>
  <c r="EZ32" i="27"/>
  <c r="FA32" i="27"/>
  <c r="FB32" i="27"/>
  <c r="FC32" i="27"/>
  <c r="FD32" i="27"/>
  <c r="FE32" i="27"/>
  <c r="FF32" i="27"/>
  <c r="FG32" i="27"/>
  <c r="FH32" i="27"/>
  <c r="FI32" i="27"/>
  <c r="FJ32" i="27"/>
  <c r="FK32" i="27"/>
  <c r="FL32" i="27"/>
  <c r="FM32" i="27"/>
  <c r="FN32" i="27"/>
  <c r="FO32" i="27"/>
  <c r="FP32" i="27"/>
  <c r="FQ32" i="27"/>
  <c r="FR32" i="27"/>
  <c r="FS32" i="27"/>
  <c r="FT32" i="27"/>
  <c r="FU32" i="27"/>
  <c r="FV32" i="27"/>
  <c r="FW32" i="27"/>
  <c r="FX32" i="27"/>
  <c r="FY32" i="27"/>
  <c r="FZ32" i="27"/>
  <c r="GA32" i="27"/>
  <c r="GB32" i="27"/>
  <c r="GC32" i="27"/>
  <c r="GD32" i="27"/>
  <c r="GE32" i="27"/>
  <c r="GF32" i="27"/>
  <c r="GG32" i="27"/>
  <c r="GH32" i="27"/>
  <c r="GI32" i="27"/>
  <c r="GJ32" i="27"/>
  <c r="GK32" i="27"/>
  <c r="GL32" i="27"/>
  <c r="GM32" i="27"/>
  <c r="GN32" i="27"/>
  <c r="GO32" i="27"/>
  <c r="GP32" i="27"/>
  <c r="GQ32" i="27"/>
  <c r="GR32" i="27"/>
  <c r="GS32" i="27"/>
  <c r="GT32" i="27"/>
  <c r="GU32" i="27"/>
  <c r="GV32" i="27"/>
  <c r="GW32" i="27"/>
  <c r="GX32" i="27"/>
  <c r="GY32" i="27"/>
  <c r="GZ32" i="27"/>
  <c r="HA32" i="27"/>
  <c r="HB32" i="27"/>
  <c r="HC32" i="27"/>
  <c r="HD32" i="27"/>
  <c r="HE32" i="27"/>
  <c r="HF32" i="27"/>
  <c r="HG32" i="27"/>
  <c r="HH32" i="27"/>
  <c r="HI32" i="27"/>
  <c r="HJ32" i="27"/>
  <c r="HK32" i="27"/>
  <c r="HL32" i="27"/>
  <c r="HM32" i="27"/>
  <c r="HN32" i="27"/>
  <c r="HO32" i="27"/>
  <c r="HP32" i="27"/>
  <c r="HQ32" i="27"/>
  <c r="HR32" i="27"/>
  <c r="HS32" i="27"/>
  <c r="HT32" i="27"/>
  <c r="HU32" i="27"/>
  <c r="HV32" i="27"/>
  <c r="HW32" i="27"/>
  <c r="HX32" i="27"/>
  <c r="HY32" i="27"/>
  <c r="HZ32" i="27"/>
  <c r="IA32" i="27"/>
  <c r="IB32" i="27"/>
  <c r="IC32" i="27"/>
  <c r="ID32" i="27"/>
  <c r="IE32" i="27"/>
  <c r="IF32" i="27"/>
  <c r="IG32" i="27"/>
  <c r="IH32" i="27"/>
  <c r="II32" i="27"/>
  <c r="IJ32" i="27"/>
  <c r="IK32" i="27"/>
  <c r="IL32" i="27"/>
  <c r="IM32" i="27"/>
  <c r="IN32" i="27"/>
  <c r="IO32" i="27"/>
  <c r="IP32" i="27"/>
  <c r="IQ32" i="27"/>
  <c r="IR32" i="27"/>
  <c r="IS32" i="27"/>
  <c r="IT32" i="27"/>
  <c r="IU32" i="27"/>
  <c r="IV32" i="27"/>
  <c r="A31" i="27"/>
  <c r="B31" i="27"/>
  <c r="C31" i="27"/>
  <c r="D31" i="27"/>
  <c r="E31" i="27"/>
  <c r="F31" i="27"/>
  <c r="G31" i="27"/>
  <c r="H31" i="27"/>
  <c r="I31" i="27"/>
  <c r="J31" i="27"/>
  <c r="K31" i="27"/>
  <c r="L31" i="27"/>
  <c r="M31" i="27"/>
  <c r="N31" i="27"/>
  <c r="O31" i="27"/>
  <c r="P31" i="27"/>
  <c r="Q31" i="27"/>
  <c r="R31" i="27"/>
  <c r="S31" i="27"/>
  <c r="T31" i="27"/>
  <c r="U31" i="27"/>
  <c r="V31" i="27"/>
  <c r="W31" i="27"/>
  <c r="X31" i="27"/>
  <c r="Y31" i="27"/>
  <c r="Z31" i="27"/>
  <c r="AA31" i="27"/>
  <c r="AB31" i="27"/>
  <c r="AC31" i="27"/>
  <c r="AD31" i="27"/>
  <c r="AE31" i="27"/>
  <c r="AF31" i="27"/>
  <c r="AG31" i="27"/>
  <c r="AH31" i="27"/>
  <c r="AI31" i="27"/>
  <c r="AJ31" i="27"/>
  <c r="AK31" i="27"/>
  <c r="AL31" i="27"/>
  <c r="AM31" i="27"/>
  <c r="AN31" i="27"/>
  <c r="AO31" i="27"/>
  <c r="AP31" i="27"/>
  <c r="AQ31" i="27"/>
  <c r="AR31" i="27"/>
  <c r="AS31" i="27"/>
  <c r="AT31" i="27"/>
  <c r="AU31" i="27"/>
  <c r="AV31" i="27"/>
  <c r="AW31" i="27"/>
  <c r="AX31" i="27"/>
  <c r="AY31" i="27"/>
  <c r="AZ31" i="27"/>
  <c r="BA31" i="27"/>
  <c r="BB31" i="27"/>
  <c r="BC31" i="27"/>
  <c r="BD31" i="27"/>
  <c r="BE31" i="27"/>
  <c r="BF31" i="27"/>
  <c r="BG31" i="27"/>
  <c r="BH31" i="27"/>
  <c r="BI31" i="27"/>
  <c r="BJ31" i="27"/>
  <c r="BK31" i="27"/>
  <c r="BL31" i="27"/>
  <c r="BM31" i="27"/>
  <c r="BN31" i="27"/>
  <c r="BO31" i="27"/>
  <c r="BP31" i="27"/>
  <c r="BQ31" i="27"/>
  <c r="BR31" i="27"/>
  <c r="BS31" i="27"/>
  <c r="BT31" i="27"/>
  <c r="BU31" i="27"/>
  <c r="BV31" i="27"/>
  <c r="BW31" i="27"/>
  <c r="BX31" i="27"/>
  <c r="BY31" i="27"/>
  <c r="BZ31" i="27"/>
  <c r="CA31" i="27"/>
  <c r="CB31" i="27"/>
  <c r="CC31" i="27"/>
  <c r="CD31" i="27"/>
  <c r="CE31" i="27"/>
  <c r="CF31" i="27"/>
  <c r="CG31" i="27"/>
  <c r="CH31" i="27"/>
  <c r="CI31" i="27"/>
  <c r="CJ31" i="27"/>
  <c r="CK31" i="27"/>
  <c r="CL31" i="27"/>
  <c r="CM31" i="27"/>
  <c r="CN31" i="27"/>
  <c r="CO31" i="27"/>
  <c r="CP31" i="27"/>
  <c r="CQ31" i="27"/>
  <c r="CR31" i="27"/>
  <c r="CS31" i="27"/>
  <c r="CT31" i="27"/>
  <c r="CU31" i="27"/>
  <c r="CV31" i="27"/>
  <c r="CW31" i="27"/>
  <c r="CX31" i="27"/>
  <c r="CY31" i="27"/>
  <c r="CZ31" i="27"/>
  <c r="DA31" i="27"/>
  <c r="DB31" i="27"/>
  <c r="DC31" i="27"/>
  <c r="DD31" i="27"/>
  <c r="DE31" i="27"/>
  <c r="DF31" i="27"/>
  <c r="DG31" i="27"/>
  <c r="DH31" i="27"/>
  <c r="DI31" i="27"/>
  <c r="DJ31" i="27"/>
  <c r="DK31" i="27"/>
  <c r="DL31" i="27"/>
  <c r="DM31" i="27"/>
  <c r="DN31" i="27"/>
  <c r="DO31" i="27"/>
  <c r="DP31" i="27"/>
  <c r="DQ31" i="27"/>
  <c r="DR31" i="27"/>
  <c r="DS31" i="27"/>
  <c r="DT31" i="27"/>
  <c r="DU31" i="27"/>
  <c r="DV31" i="27"/>
  <c r="DW31" i="27"/>
  <c r="DX31" i="27"/>
  <c r="DY31" i="27"/>
  <c r="DZ31" i="27"/>
  <c r="EA31" i="27"/>
  <c r="EB31" i="27"/>
  <c r="EC31" i="27"/>
  <c r="ED31" i="27"/>
  <c r="EE31" i="27"/>
  <c r="EF31" i="27"/>
  <c r="EG31" i="27"/>
  <c r="EH31" i="27"/>
  <c r="EI31" i="27"/>
  <c r="EJ31" i="27"/>
  <c r="EK31" i="27"/>
  <c r="EL31" i="27"/>
  <c r="EM31" i="27"/>
  <c r="EN31" i="27"/>
  <c r="EO31" i="27"/>
  <c r="EP31" i="27"/>
  <c r="EQ31" i="27"/>
  <c r="ER31" i="27"/>
  <c r="ES31" i="27"/>
  <c r="ET31" i="27"/>
  <c r="EU31" i="27"/>
  <c r="EV31" i="27"/>
  <c r="EW31" i="27"/>
  <c r="EX31" i="27"/>
  <c r="EY31" i="27"/>
  <c r="EZ31" i="27"/>
  <c r="FA31" i="27"/>
  <c r="FB31" i="27"/>
  <c r="FC31" i="27"/>
  <c r="FD31" i="27"/>
  <c r="FE31" i="27"/>
  <c r="FF31" i="27"/>
  <c r="FG31" i="27"/>
  <c r="FH31" i="27"/>
  <c r="FI31" i="27"/>
  <c r="FJ31" i="27"/>
  <c r="FK31" i="27"/>
  <c r="FL31" i="27"/>
  <c r="FM31" i="27"/>
  <c r="FN31" i="27"/>
  <c r="FO31" i="27"/>
  <c r="FP31" i="27"/>
  <c r="FQ31" i="27"/>
  <c r="FR31" i="27"/>
  <c r="FS31" i="27"/>
  <c r="FT31" i="27"/>
  <c r="FU31" i="27"/>
  <c r="FV31" i="27"/>
  <c r="FW31" i="27"/>
  <c r="FX31" i="27"/>
  <c r="FY31" i="27"/>
  <c r="FZ31" i="27"/>
  <c r="GA31" i="27"/>
  <c r="GB31" i="27"/>
  <c r="GC31" i="27"/>
  <c r="GD31" i="27"/>
  <c r="GE31" i="27"/>
  <c r="GF31" i="27"/>
  <c r="GG31" i="27"/>
  <c r="GH31" i="27"/>
  <c r="GI31" i="27"/>
  <c r="GJ31" i="27"/>
  <c r="GK31" i="27"/>
  <c r="GL31" i="27"/>
  <c r="GM31" i="27"/>
  <c r="GN31" i="27"/>
  <c r="GO31" i="27"/>
  <c r="GP31" i="27"/>
  <c r="GQ31" i="27"/>
  <c r="GR31" i="27"/>
  <c r="GS31" i="27"/>
  <c r="GT31" i="27"/>
  <c r="GU31" i="27"/>
  <c r="GV31" i="27"/>
  <c r="GW31" i="27"/>
  <c r="GX31" i="27"/>
  <c r="GY31" i="27"/>
  <c r="GZ31" i="27"/>
  <c r="HA31" i="27"/>
  <c r="HB31" i="27"/>
  <c r="HC31" i="27"/>
  <c r="HD31" i="27"/>
  <c r="HE31" i="27"/>
  <c r="HF31" i="27"/>
  <c r="HG31" i="27"/>
  <c r="HH31" i="27"/>
  <c r="HI31" i="27"/>
  <c r="HJ31" i="27"/>
  <c r="HK31" i="27"/>
  <c r="HL31" i="27"/>
  <c r="HM31" i="27"/>
  <c r="HN31" i="27"/>
  <c r="HO31" i="27"/>
  <c r="HP31" i="27"/>
  <c r="HQ31" i="27"/>
  <c r="HR31" i="27"/>
  <c r="HS31" i="27"/>
  <c r="HT31" i="27"/>
  <c r="HU31" i="27"/>
  <c r="HV31" i="27"/>
  <c r="HW31" i="27"/>
  <c r="HX31" i="27"/>
  <c r="HY31" i="27"/>
  <c r="HZ31" i="27"/>
  <c r="IA31" i="27"/>
  <c r="IB31" i="27"/>
  <c r="IC31" i="27"/>
  <c r="ID31" i="27"/>
  <c r="IE31" i="27"/>
  <c r="IF31" i="27"/>
  <c r="IG31" i="27"/>
  <c r="IH31" i="27"/>
  <c r="II31" i="27"/>
  <c r="IJ31" i="27"/>
  <c r="IK31" i="27"/>
  <c r="IL31" i="27"/>
  <c r="IM31" i="27"/>
  <c r="IN31" i="27"/>
  <c r="IO31" i="27"/>
  <c r="IP31" i="27"/>
  <c r="IQ31" i="27"/>
  <c r="IR31" i="27"/>
  <c r="IS31" i="27"/>
  <c r="IT31" i="27"/>
  <c r="IU31" i="27"/>
  <c r="IV31" i="27"/>
  <c r="A30" i="27"/>
  <c r="B30" i="27"/>
  <c r="C30" i="27"/>
  <c r="D30" i="27"/>
  <c r="E30" i="27"/>
  <c r="F30" i="27"/>
  <c r="G30" i="27"/>
  <c r="I30" i="27"/>
  <c r="K30" i="27"/>
  <c r="M30" i="27"/>
  <c r="O30" i="27"/>
  <c r="P30" i="27"/>
  <c r="Q30" i="27"/>
  <c r="R30" i="27"/>
  <c r="S30" i="27"/>
  <c r="T30" i="27"/>
  <c r="U30" i="27"/>
  <c r="V30" i="27"/>
  <c r="W30" i="27"/>
  <c r="X30" i="27"/>
  <c r="Y30" i="27"/>
  <c r="Z30" i="27"/>
  <c r="AA30" i="27"/>
  <c r="AB30" i="27"/>
  <c r="AC30" i="27"/>
  <c r="AD30" i="27"/>
  <c r="AE30" i="27"/>
  <c r="AF30" i="27"/>
  <c r="AG30" i="27"/>
  <c r="AH30" i="27"/>
  <c r="AI30" i="27"/>
  <c r="AJ30" i="27"/>
  <c r="AK30" i="27"/>
  <c r="AL30" i="27"/>
  <c r="AM30" i="27"/>
  <c r="AN30" i="27"/>
  <c r="AO30" i="27"/>
  <c r="AP30" i="27"/>
  <c r="AQ30" i="27"/>
  <c r="AR30" i="27"/>
  <c r="AS30" i="27"/>
  <c r="AT30" i="27"/>
  <c r="AU30" i="27"/>
  <c r="AV30" i="27"/>
  <c r="AW30" i="27"/>
  <c r="AX30" i="27"/>
  <c r="AY30" i="27"/>
  <c r="AZ30" i="27"/>
  <c r="BA30" i="27"/>
  <c r="BB30" i="27"/>
  <c r="BC30" i="27"/>
  <c r="BD30" i="27"/>
  <c r="BE30" i="27"/>
  <c r="BF30" i="27"/>
  <c r="BG30" i="27"/>
  <c r="BH30" i="27"/>
  <c r="BI30" i="27"/>
  <c r="BJ30" i="27"/>
  <c r="BK30" i="27"/>
  <c r="BL30" i="27"/>
  <c r="BM30" i="27"/>
  <c r="BN30" i="27"/>
  <c r="BO30" i="27"/>
  <c r="BP30" i="27"/>
  <c r="BQ30" i="27"/>
  <c r="BR30" i="27"/>
  <c r="BS30" i="27"/>
  <c r="BT30" i="27"/>
  <c r="BU30" i="27"/>
  <c r="BV30" i="27"/>
  <c r="BW30" i="27"/>
  <c r="BX30" i="27"/>
  <c r="BY30" i="27"/>
  <c r="BZ30" i="27"/>
  <c r="CA30" i="27"/>
  <c r="CB30" i="27"/>
  <c r="CC30" i="27"/>
  <c r="CD30" i="27"/>
  <c r="CE30" i="27"/>
  <c r="CF30" i="27"/>
  <c r="CG30" i="27"/>
  <c r="CH30" i="27"/>
  <c r="CI30" i="27"/>
  <c r="CJ30" i="27"/>
  <c r="CK30" i="27"/>
  <c r="CL30" i="27"/>
  <c r="CM30" i="27"/>
  <c r="CN30" i="27"/>
  <c r="CO30" i="27"/>
  <c r="CP30" i="27"/>
  <c r="CQ30" i="27"/>
  <c r="CR30" i="27"/>
  <c r="CS30" i="27"/>
  <c r="CT30" i="27"/>
  <c r="CU30" i="27"/>
  <c r="CV30" i="27"/>
  <c r="CW30" i="27"/>
  <c r="CX30" i="27"/>
  <c r="CY30" i="27"/>
  <c r="CZ30" i="27"/>
  <c r="DA30" i="27"/>
  <c r="DB30" i="27"/>
  <c r="DC30" i="27"/>
  <c r="DD30" i="27"/>
  <c r="DE30" i="27"/>
  <c r="DF30" i="27"/>
  <c r="DG30" i="27"/>
  <c r="DH30" i="27"/>
  <c r="DI30" i="27"/>
  <c r="DJ30" i="27"/>
  <c r="DK30" i="27"/>
  <c r="DL30" i="27"/>
  <c r="DM30" i="27"/>
  <c r="DN30" i="27"/>
  <c r="DO30" i="27"/>
  <c r="DP30" i="27"/>
  <c r="DQ30" i="27"/>
  <c r="DR30" i="27"/>
  <c r="DS30" i="27"/>
  <c r="DT30" i="27"/>
  <c r="DU30" i="27"/>
  <c r="DV30" i="27"/>
  <c r="DW30" i="27"/>
  <c r="DX30" i="27"/>
  <c r="DY30" i="27"/>
  <c r="DZ30" i="27"/>
  <c r="EA30" i="27"/>
  <c r="EB30" i="27"/>
  <c r="EC30" i="27"/>
  <c r="ED30" i="27"/>
  <c r="EE30" i="27"/>
  <c r="EF30" i="27"/>
  <c r="EG30" i="27"/>
  <c r="EH30" i="27"/>
  <c r="EI30" i="27"/>
  <c r="EJ30" i="27"/>
  <c r="EK30" i="27"/>
  <c r="EL30" i="27"/>
  <c r="EM30" i="27"/>
  <c r="EN30" i="27"/>
  <c r="EO30" i="27"/>
  <c r="EP30" i="27"/>
  <c r="EQ30" i="27"/>
  <c r="ER30" i="27"/>
  <c r="ES30" i="27"/>
  <c r="ET30" i="27"/>
  <c r="EU30" i="27"/>
  <c r="EV30" i="27"/>
  <c r="EW30" i="27"/>
  <c r="EX30" i="27"/>
  <c r="EY30" i="27"/>
  <c r="EZ30" i="27"/>
  <c r="FA30" i="27"/>
  <c r="FB30" i="27"/>
  <c r="FC30" i="27"/>
  <c r="FD30" i="27"/>
  <c r="FE30" i="27"/>
  <c r="FF30" i="27"/>
  <c r="FG30" i="27"/>
  <c r="FH30" i="27"/>
  <c r="FI30" i="27"/>
  <c r="FJ30" i="27"/>
  <c r="FK30" i="27"/>
  <c r="FL30" i="27"/>
  <c r="FM30" i="27"/>
  <c r="FN30" i="27"/>
  <c r="FO30" i="27"/>
  <c r="FP30" i="27"/>
  <c r="FQ30" i="27"/>
  <c r="FR30" i="27"/>
  <c r="FS30" i="27"/>
  <c r="FT30" i="27"/>
  <c r="FU30" i="27"/>
  <c r="FV30" i="27"/>
  <c r="FW30" i="27"/>
  <c r="FX30" i="27"/>
  <c r="FY30" i="27"/>
  <c r="FZ30" i="27"/>
  <c r="GA30" i="27"/>
  <c r="GB30" i="27"/>
  <c r="GC30" i="27"/>
  <c r="GD30" i="27"/>
  <c r="GE30" i="27"/>
  <c r="GF30" i="27"/>
  <c r="GG30" i="27"/>
  <c r="GH30" i="27"/>
  <c r="GI30" i="27"/>
  <c r="GJ30" i="27"/>
  <c r="GK30" i="27"/>
  <c r="GL30" i="27"/>
  <c r="GM30" i="27"/>
  <c r="GN30" i="27"/>
  <c r="GO30" i="27"/>
  <c r="GP30" i="27"/>
  <c r="GQ30" i="27"/>
  <c r="GR30" i="27"/>
  <c r="GS30" i="27"/>
  <c r="GT30" i="27"/>
  <c r="GU30" i="27"/>
  <c r="GV30" i="27"/>
  <c r="GW30" i="27"/>
  <c r="GX30" i="27"/>
  <c r="GY30" i="27"/>
  <c r="GZ30" i="27"/>
  <c r="HA30" i="27"/>
  <c r="HB30" i="27"/>
  <c r="HC30" i="27"/>
  <c r="HD30" i="27"/>
  <c r="HE30" i="27"/>
  <c r="HF30" i="27"/>
  <c r="HG30" i="27"/>
  <c r="HH30" i="27"/>
  <c r="HI30" i="27"/>
  <c r="HJ30" i="27"/>
  <c r="HK30" i="27"/>
  <c r="HL30" i="27"/>
  <c r="HM30" i="27"/>
  <c r="HN30" i="27"/>
  <c r="HO30" i="27"/>
  <c r="HP30" i="27"/>
  <c r="HQ30" i="27"/>
  <c r="HR30" i="27"/>
  <c r="HS30" i="27"/>
  <c r="HT30" i="27"/>
  <c r="HU30" i="27"/>
  <c r="HV30" i="27"/>
  <c r="HW30" i="27"/>
  <c r="HX30" i="27"/>
  <c r="HY30" i="27"/>
  <c r="HZ30" i="27"/>
  <c r="IA30" i="27"/>
  <c r="IB30" i="27"/>
  <c r="IC30" i="27"/>
  <c r="ID30" i="27"/>
  <c r="IE30" i="27"/>
  <c r="IF30" i="27"/>
  <c r="IG30" i="27"/>
  <c r="IH30" i="27"/>
  <c r="II30" i="27"/>
  <c r="IJ30" i="27"/>
  <c r="IK30" i="27"/>
  <c r="IL30" i="27"/>
  <c r="IM30" i="27"/>
  <c r="IN30" i="27"/>
  <c r="IO30" i="27"/>
  <c r="IP30" i="27"/>
  <c r="IQ30" i="27"/>
  <c r="IR30" i="27"/>
  <c r="IS30" i="27"/>
  <c r="IT30" i="27"/>
  <c r="IU30" i="27"/>
  <c r="IV30" i="27"/>
  <c r="A29" i="27"/>
  <c r="B29" i="27"/>
  <c r="C29" i="27"/>
  <c r="D29" i="27"/>
  <c r="E29" i="27"/>
  <c r="F29" i="27"/>
  <c r="G29" i="27"/>
  <c r="H29" i="27"/>
  <c r="I29" i="27"/>
  <c r="J29" i="27"/>
  <c r="K29" i="27"/>
  <c r="L29" i="27"/>
  <c r="M29" i="27"/>
  <c r="N29" i="27"/>
  <c r="O29" i="27"/>
  <c r="P29" i="27"/>
  <c r="Q29" i="27"/>
  <c r="R29" i="27"/>
  <c r="S29" i="27"/>
  <c r="T29" i="27"/>
  <c r="U29" i="27"/>
  <c r="V29" i="27"/>
  <c r="W29" i="27"/>
  <c r="X29" i="27"/>
  <c r="Y29" i="27"/>
  <c r="Z29" i="27"/>
  <c r="AA29" i="27"/>
  <c r="AB29" i="27"/>
  <c r="AC29" i="27"/>
  <c r="AD29" i="27"/>
  <c r="AE29" i="27"/>
  <c r="AF29" i="27"/>
  <c r="AG29" i="27"/>
  <c r="AH29" i="27"/>
  <c r="AI29" i="27"/>
  <c r="AJ29" i="27"/>
  <c r="AK29" i="27"/>
  <c r="AL29" i="27"/>
  <c r="AM29" i="27"/>
  <c r="AN29" i="27"/>
  <c r="AO29" i="27"/>
  <c r="AP29" i="27"/>
  <c r="AQ29" i="27"/>
  <c r="AR29" i="27"/>
  <c r="AS29" i="27"/>
  <c r="AT29" i="27"/>
  <c r="AU29" i="27"/>
  <c r="AV29" i="27"/>
  <c r="AW29" i="27"/>
  <c r="AX29" i="27"/>
  <c r="AY29" i="27"/>
  <c r="AZ29" i="27"/>
  <c r="BA29" i="27"/>
  <c r="BB29" i="27"/>
  <c r="BC29" i="27"/>
  <c r="BD29" i="27"/>
  <c r="BE29" i="27"/>
  <c r="BF29" i="27"/>
  <c r="BG29" i="27"/>
  <c r="BH29" i="27"/>
  <c r="BI29" i="27"/>
  <c r="BJ29" i="27"/>
  <c r="BK29" i="27"/>
  <c r="BL29" i="27"/>
  <c r="BM29" i="27"/>
  <c r="BN29" i="27"/>
  <c r="BO29" i="27"/>
  <c r="BP29" i="27"/>
  <c r="BQ29" i="27"/>
  <c r="BR29" i="27"/>
  <c r="BS29" i="27"/>
  <c r="BT29" i="27"/>
  <c r="BU29" i="27"/>
  <c r="BV29" i="27"/>
  <c r="BW29" i="27"/>
  <c r="BX29" i="27"/>
  <c r="BY29" i="27"/>
  <c r="BZ29" i="27"/>
  <c r="CA29" i="27"/>
  <c r="CB29" i="27"/>
  <c r="CC29" i="27"/>
  <c r="CD29" i="27"/>
  <c r="CE29" i="27"/>
  <c r="CF29" i="27"/>
  <c r="CG29" i="27"/>
  <c r="CH29" i="27"/>
  <c r="CI29" i="27"/>
  <c r="CJ29" i="27"/>
  <c r="CK29" i="27"/>
  <c r="CL29" i="27"/>
  <c r="CM29" i="27"/>
  <c r="CN29" i="27"/>
  <c r="CO29" i="27"/>
  <c r="CP29" i="27"/>
  <c r="CQ29" i="27"/>
  <c r="CR29" i="27"/>
  <c r="CS29" i="27"/>
  <c r="CT29" i="27"/>
  <c r="CU29" i="27"/>
  <c r="CV29" i="27"/>
  <c r="CW29" i="27"/>
  <c r="CX29" i="27"/>
  <c r="CY29" i="27"/>
  <c r="CZ29" i="27"/>
  <c r="DA29" i="27"/>
  <c r="DB29" i="27"/>
  <c r="DC29" i="27"/>
  <c r="DD29" i="27"/>
  <c r="DE29" i="27"/>
  <c r="DF29" i="27"/>
  <c r="DG29" i="27"/>
  <c r="DH29" i="27"/>
  <c r="DI29" i="27"/>
  <c r="DJ29" i="27"/>
  <c r="DK29" i="27"/>
  <c r="DL29" i="27"/>
  <c r="DM29" i="27"/>
  <c r="DN29" i="27"/>
  <c r="DO29" i="27"/>
  <c r="DP29" i="27"/>
  <c r="DQ29" i="27"/>
  <c r="DR29" i="27"/>
  <c r="DS29" i="27"/>
  <c r="DT29" i="27"/>
  <c r="DU29" i="27"/>
  <c r="DV29" i="27"/>
  <c r="DW29" i="27"/>
  <c r="DX29" i="27"/>
  <c r="DY29" i="27"/>
  <c r="DZ29" i="27"/>
  <c r="EA29" i="27"/>
  <c r="EB29" i="27"/>
  <c r="EC29" i="27"/>
  <c r="ED29" i="27"/>
  <c r="EE29" i="27"/>
  <c r="EF29" i="27"/>
  <c r="EG29" i="27"/>
  <c r="EH29" i="27"/>
  <c r="EI29" i="27"/>
  <c r="EJ29" i="27"/>
  <c r="EK29" i="27"/>
  <c r="EL29" i="27"/>
  <c r="EM29" i="27"/>
  <c r="EN29" i="27"/>
  <c r="EO29" i="27"/>
  <c r="EP29" i="27"/>
  <c r="EQ29" i="27"/>
  <c r="ER29" i="27"/>
  <c r="ES29" i="27"/>
  <c r="ET29" i="27"/>
  <c r="EU29" i="27"/>
  <c r="EV29" i="27"/>
  <c r="EW29" i="27"/>
  <c r="EX29" i="27"/>
  <c r="EY29" i="27"/>
  <c r="EZ29" i="27"/>
  <c r="FA29" i="27"/>
  <c r="FB29" i="27"/>
  <c r="FC29" i="27"/>
  <c r="FD29" i="27"/>
  <c r="FE29" i="27"/>
  <c r="FF29" i="27"/>
  <c r="FG29" i="27"/>
  <c r="FH29" i="27"/>
  <c r="FI29" i="27"/>
  <c r="FJ29" i="27"/>
  <c r="FK29" i="27"/>
  <c r="FL29" i="27"/>
  <c r="FM29" i="27"/>
  <c r="FN29" i="27"/>
  <c r="FO29" i="27"/>
  <c r="FP29" i="27"/>
  <c r="FQ29" i="27"/>
  <c r="FR29" i="27"/>
  <c r="FS29" i="27"/>
  <c r="FT29" i="27"/>
  <c r="FU29" i="27"/>
  <c r="FV29" i="27"/>
  <c r="FW29" i="27"/>
  <c r="FX29" i="27"/>
  <c r="FY29" i="27"/>
  <c r="FZ29" i="27"/>
  <c r="GA29" i="27"/>
  <c r="GB29" i="27"/>
  <c r="GC29" i="27"/>
  <c r="GD29" i="27"/>
  <c r="GE29" i="27"/>
  <c r="GF29" i="27"/>
  <c r="GG29" i="27"/>
  <c r="GH29" i="27"/>
  <c r="GI29" i="27"/>
  <c r="GJ29" i="27"/>
  <c r="GK29" i="27"/>
  <c r="GL29" i="27"/>
  <c r="GM29" i="27"/>
  <c r="GN29" i="27"/>
  <c r="GO29" i="27"/>
  <c r="GP29" i="27"/>
  <c r="GQ29" i="27"/>
  <c r="GR29" i="27"/>
  <c r="GS29" i="27"/>
  <c r="GT29" i="27"/>
  <c r="GU29" i="27"/>
  <c r="GV29" i="27"/>
  <c r="GW29" i="27"/>
  <c r="GX29" i="27"/>
  <c r="GY29" i="27"/>
  <c r="GZ29" i="27"/>
  <c r="HA29" i="27"/>
  <c r="HB29" i="27"/>
  <c r="HC29" i="27"/>
  <c r="HD29" i="27"/>
  <c r="HE29" i="27"/>
  <c r="HF29" i="27"/>
  <c r="HG29" i="27"/>
  <c r="HH29" i="27"/>
  <c r="HI29" i="27"/>
  <c r="HJ29" i="27"/>
  <c r="HK29" i="27"/>
  <c r="HL29" i="27"/>
  <c r="HM29" i="27"/>
  <c r="HN29" i="27"/>
  <c r="HO29" i="27"/>
  <c r="HP29" i="27"/>
  <c r="HQ29" i="27"/>
  <c r="HR29" i="27"/>
  <c r="HS29" i="27"/>
  <c r="HT29" i="27"/>
  <c r="HU29" i="27"/>
  <c r="HV29" i="27"/>
  <c r="HW29" i="27"/>
  <c r="HX29" i="27"/>
  <c r="HY29" i="27"/>
  <c r="HZ29" i="27"/>
  <c r="IA29" i="27"/>
  <c r="IB29" i="27"/>
  <c r="IC29" i="27"/>
  <c r="ID29" i="27"/>
  <c r="IE29" i="27"/>
  <c r="IF29" i="27"/>
  <c r="IG29" i="27"/>
  <c r="IH29" i="27"/>
  <c r="II29" i="27"/>
  <c r="IJ29" i="27"/>
  <c r="IK29" i="27"/>
  <c r="IL29" i="27"/>
  <c r="IM29" i="27"/>
  <c r="IN29" i="27"/>
  <c r="IO29" i="27"/>
  <c r="IP29" i="27"/>
  <c r="IQ29" i="27"/>
  <c r="IR29" i="27"/>
  <c r="IS29" i="27"/>
  <c r="IT29" i="27"/>
  <c r="IU29" i="27"/>
  <c r="IV29" i="27"/>
  <c r="A28" i="27"/>
  <c r="B28" i="27"/>
  <c r="C28" i="27"/>
  <c r="D28" i="27"/>
  <c r="E28" i="27"/>
  <c r="F28" i="27"/>
  <c r="G28" i="27"/>
  <c r="H28" i="27"/>
  <c r="I28" i="27"/>
  <c r="J28" i="27"/>
  <c r="K28" i="27"/>
  <c r="L28" i="27"/>
  <c r="M28" i="27"/>
  <c r="N28" i="27"/>
  <c r="O28" i="27"/>
  <c r="P28" i="27"/>
  <c r="Q28" i="27"/>
  <c r="R28" i="27"/>
  <c r="S28" i="27"/>
  <c r="T28" i="27"/>
  <c r="U28" i="27"/>
  <c r="V28" i="27"/>
  <c r="W28" i="27"/>
  <c r="X28" i="27"/>
  <c r="Y28" i="27"/>
  <c r="Z28" i="27"/>
  <c r="AA28" i="27"/>
  <c r="AB28" i="27"/>
  <c r="AC28" i="27"/>
  <c r="AD28" i="27"/>
  <c r="AE28" i="27"/>
  <c r="AF28" i="27"/>
  <c r="AG28" i="27"/>
  <c r="AH28" i="27"/>
  <c r="AI28" i="27"/>
  <c r="AJ28" i="27"/>
  <c r="AK28" i="27"/>
  <c r="AL28" i="27"/>
  <c r="AM28" i="27"/>
  <c r="AN28" i="27"/>
  <c r="AO28" i="27"/>
  <c r="AP28" i="27"/>
  <c r="AQ28" i="27"/>
  <c r="AR28" i="27"/>
  <c r="AS28" i="27"/>
  <c r="AT28" i="27"/>
  <c r="AU28" i="27"/>
  <c r="AV28" i="27"/>
  <c r="AW28" i="27"/>
  <c r="AX28" i="27"/>
  <c r="AY28" i="27"/>
  <c r="AZ28" i="27"/>
  <c r="BA28" i="27"/>
  <c r="BB28" i="27"/>
  <c r="BC28" i="27"/>
  <c r="BD28" i="27"/>
  <c r="BE28" i="27"/>
  <c r="BF28" i="27"/>
  <c r="BG28" i="27"/>
  <c r="BH28" i="27"/>
  <c r="BI28" i="27"/>
  <c r="BJ28" i="27"/>
  <c r="BK28" i="27"/>
  <c r="BL28" i="27"/>
  <c r="BM28" i="27"/>
  <c r="BN28" i="27"/>
  <c r="BO28" i="27"/>
  <c r="BP28" i="27"/>
  <c r="BQ28" i="27"/>
  <c r="BR28" i="27"/>
  <c r="BS28" i="27"/>
  <c r="BT28" i="27"/>
  <c r="BU28" i="27"/>
  <c r="BV28" i="27"/>
  <c r="BW28" i="27"/>
  <c r="BX28" i="27"/>
  <c r="BY28" i="27"/>
  <c r="BZ28" i="27"/>
  <c r="CA28" i="27"/>
  <c r="CB28" i="27"/>
  <c r="CC28" i="27"/>
  <c r="CD28" i="27"/>
  <c r="CE28" i="27"/>
  <c r="CF28" i="27"/>
  <c r="CG28" i="27"/>
  <c r="CH28" i="27"/>
  <c r="CI28" i="27"/>
  <c r="CJ28" i="27"/>
  <c r="CK28" i="27"/>
  <c r="CL28" i="27"/>
  <c r="CM28" i="27"/>
  <c r="CN28" i="27"/>
  <c r="CO28" i="27"/>
  <c r="CP28" i="27"/>
  <c r="CQ28" i="27"/>
  <c r="CR28" i="27"/>
  <c r="CS28" i="27"/>
  <c r="CT28" i="27"/>
  <c r="CU28" i="27"/>
  <c r="CV28" i="27"/>
  <c r="CW28" i="27"/>
  <c r="CX28" i="27"/>
  <c r="CY28" i="27"/>
  <c r="CZ28" i="27"/>
  <c r="DA28" i="27"/>
  <c r="DB28" i="27"/>
  <c r="DC28" i="27"/>
  <c r="DD28" i="27"/>
  <c r="DE28" i="27"/>
  <c r="DF28" i="27"/>
  <c r="DG28" i="27"/>
  <c r="DH28" i="27"/>
  <c r="DI28" i="27"/>
  <c r="DJ28" i="27"/>
  <c r="DK28" i="27"/>
  <c r="DL28" i="27"/>
  <c r="DM28" i="27"/>
  <c r="DN28" i="27"/>
  <c r="DO28" i="27"/>
  <c r="DP28" i="27"/>
  <c r="DQ28" i="27"/>
  <c r="DR28" i="27"/>
  <c r="DS28" i="27"/>
  <c r="DT28" i="27"/>
  <c r="DU28" i="27"/>
  <c r="DV28" i="27"/>
  <c r="DW28" i="27"/>
  <c r="DX28" i="27"/>
  <c r="DY28" i="27"/>
  <c r="DZ28" i="27"/>
  <c r="EA28" i="27"/>
  <c r="EB28" i="27"/>
  <c r="EC28" i="27"/>
  <c r="ED28" i="27"/>
  <c r="EE28" i="27"/>
  <c r="EF28" i="27"/>
  <c r="EG28" i="27"/>
  <c r="EH28" i="27"/>
  <c r="EI28" i="27"/>
  <c r="EJ28" i="27"/>
  <c r="EK28" i="27"/>
  <c r="EL28" i="27"/>
  <c r="EM28" i="27"/>
  <c r="EN28" i="27"/>
  <c r="EO28" i="27"/>
  <c r="EP28" i="27"/>
  <c r="EQ28" i="27"/>
  <c r="ER28" i="27"/>
  <c r="ES28" i="27"/>
  <c r="ET28" i="27"/>
  <c r="EU28" i="27"/>
  <c r="EV28" i="27"/>
  <c r="EW28" i="27"/>
  <c r="EX28" i="27"/>
  <c r="EY28" i="27"/>
  <c r="EZ28" i="27"/>
  <c r="FA28" i="27"/>
  <c r="FB28" i="27"/>
  <c r="FC28" i="27"/>
  <c r="FD28" i="27"/>
  <c r="FE28" i="27"/>
  <c r="FF28" i="27"/>
  <c r="FG28" i="27"/>
  <c r="FH28" i="27"/>
  <c r="FI28" i="27"/>
  <c r="FJ28" i="27"/>
  <c r="FK28" i="27"/>
  <c r="FL28" i="27"/>
  <c r="FM28" i="27"/>
  <c r="FN28" i="27"/>
  <c r="FO28" i="27"/>
  <c r="FP28" i="27"/>
  <c r="FQ28" i="27"/>
  <c r="FR28" i="27"/>
  <c r="FS28" i="27"/>
  <c r="FT28" i="27"/>
  <c r="FU28" i="27"/>
  <c r="FV28" i="27"/>
  <c r="FW28" i="27"/>
  <c r="FX28" i="27"/>
  <c r="FY28" i="27"/>
  <c r="FZ28" i="27"/>
  <c r="GA28" i="27"/>
  <c r="GB28" i="27"/>
  <c r="GC28" i="27"/>
  <c r="GD28" i="27"/>
  <c r="GE28" i="27"/>
  <c r="GF28" i="27"/>
  <c r="GG28" i="27"/>
  <c r="GH28" i="27"/>
  <c r="GI28" i="27"/>
  <c r="GJ28" i="27"/>
  <c r="GK28" i="27"/>
  <c r="GL28" i="27"/>
  <c r="GM28" i="27"/>
  <c r="GN28" i="27"/>
  <c r="GO28" i="27"/>
  <c r="GP28" i="27"/>
  <c r="GQ28" i="27"/>
  <c r="GR28" i="27"/>
  <c r="GS28" i="27"/>
  <c r="GT28" i="27"/>
  <c r="GU28" i="27"/>
  <c r="GV28" i="27"/>
  <c r="GW28" i="27"/>
  <c r="GX28" i="27"/>
  <c r="GY28" i="27"/>
  <c r="GZ28" i="27"/>
  <c r="HA28" i="27"/>
  <c r="HB28" i="27"/>
  <c r="HC28" i="27"/>
  <c r="HD28" i="27"/>
  <c r="HE28" i="27"/>
  <c r="HF28" i="27"/>
  <c r="HG28" i="27"/>
  <c r="HH28" i="27"/>
  <c r="HI28" i="27"/>
  <c r="HJ28" i="27"/>
  <c r="HK28" i="27"/>
  <c r="HL28" i="27"/>
  <c r="HM28" i="27"/>
  <c r="HN28" i="27"/>
  <c r="HO28" i="27"/>
  <c r="HP28" i="27"/>
  <c r="HQ28" i="27"/>
  <c r="HR28" i="27"/>
  <c r="HS28" i="27"/>
  <c r="HT28" i="27"/>
  <c r="HU28" i="27"/>
  <c r="HV28" i="27"/>
  <c r="HW28" i="27"/>
  <c r="HX28" i="27"/>
  <c r="HY28" i="27"/>
  <c r="HZ28" i="27"/>
  <c r="IA28" i="27"/>
  <c r="IB28" i="27"/>
  <c r="IC28" i="27"/>
  <c r="ID28" i="27"/>
  <c r="IE28" i="27"/>
  <c r="IF28" i="27"/>
  <c r="IG28" i="27"/>
  <c r="IH28" i="27"/>
  <c r="II28" i="27"/>
  <c r="IJ28" i="27"/>
  <c r="IK28" i="27"/>
  <c r="IL28" i="27"/>
  <c r="IM28" i="27"/>
  <c r="IN28" i="27"/>
  <c r="IO28" i="27"/>
  <c r="IP28" i="27"/>
  <c r="IQ28" i="27"/>
  <c r="IR28" i="27"/>
  <c r="IS28" i="27"/>
  <c r="IT28" i="27"/>
  <c r="IU28" i="27"/>
  <c r="IV28" i="27"/>
  <c r="A27" i="27"/>
  <c r="B27" i="27"/>
  <c r="C27" i="27"/>
  <c r="D27" i="27"/>
  <c r="E27" i="27"/>
  <c r="F27" i="27"/>
  <c r="G27" i="27"/>
  <c r="H27" i="27"/>
  <c r="J27" i="27"/>
  <c r="K27" i="27"/>
  <c r="L27" i="27"/>
  <c r="M27" i="27"/>
  <c r="N27" i="27"/>
  <c r="O27" i="27"/>
  <c r="P27" i="27"/>
  <c r="Q27" i="27"/>
  <c r="R27" i="27"/>
  <c r="S27" i="27"/>
  <c r="T27" i="27"/>
  <c r="U27" i="27"/>
  <c r="V27" i="27"/>
  <c r="W27" i="27"/>
  <c r="X27" i="27"/>
  <c r="Y27" i="27"/>
  <c r="Z27" i="27"/>
  <c r="AA27" i="27"/>
  <c r="AB27" i="27"/>
  <c r="AC27" i="27"/>
  <c r="AD27" i="27"/>
  <c r="AE27" i="27"/>
  <c r="AF27" i="27"/>
  <c r="AG27" i="27"/>
  <c r="AH27" i="27"/>
  <c r="AI27" i="27"/>
  <c r="AJ27" i="27"/>
  <c r="AK27" i="27"/>
  <c r="AL27" i="27"/>
  <c r="AM27" i="27"/>
  <c r="AN27" i="27"/>
  <c r="AO27" i="27"/>
  <c r="AP27" i="27"/>
  <c r="AQ27" i="27"/>
  <c r="AR27" i="27"/>
  <c r="AS27" i="27"/>
  <c r="AT27" i="27"/>
  <c r="AU27" i="27"/>
  <c r="AV27" i="27"/>
  <c r="AW27" i="27"/>
  <c r="AX27" i="27"/>
  <c r="AY27" i="27"/>
  <c r="AZ27" i="27"/>
  <c r="BA27" i="27"/>
  <c r="BB27" i="27"/>
  <c r="BC27" i="27"/>
  <c r="BD27" i="27"/>
  <c r="BE27" i="27"/>
  <c r="BF27" i="27"/>
  <c r="BG27" i="27"/>
  <c r="BH27" i="27"/>
  <c r="BI27" i="27"/>
  <c r="BJ27" i="27"/>
  <c r="BK27" i="27"/>
  <c r="BL27" i="27"/>
  <c r="BM27" i="27"/>
  <c r="BN27" i="27"/>
  <c r="BO27" i="27"/>
  <c r="BP27" i="27"/>
  <c r="BQ27" i="27"/>
  <c r="BR27" i="27"/>
  <c r="BS27" i="27"/>
  <c r="BT27" i="27"/>
  <c r="BU27" i="27"/>
  <c r="BV27" i="27"/>
  <c r="BW27" i="27"/>
  <c r="BX27" i="27"/>
  <c r="BY27" i="27"/>
  <c r="BZ27" i="27"/>
  <c r="CA27" i="27"/>
  <c r="CB27" i="27"/>
  <c r="CC27" i="27"/>
  <c r="CD27" i="27"/>
  <c r="CE27" i="27"/>
  <c r="CF27" i="27"/>
  <c r="CG27" i="27"/>
  <c r="CH27" i="27"/>
  <c r="CI27" i="27"/>
  <c r="CJ27" i="27"/>
  <c r="CK27" i="27"/>
  <c r="CL27" i="27"/>
  <c r="CM27" i="27"/>
  <c r="CN27" i="27"/>
  <c r="CO27" i="27"/>
  <c r="CP27" i="27"/>
  <c r="CQ27" i="27"/>
  <c r="CR27" i="27"/>
  <c r="CS27" i="27"/>
  <c r="CT27" i="27"/>
  <c r="CU27" i="27"/>
  <c r="CV27" i="27"/>
  <c r="CW27" i="27"/>
  <c r="CX27" i="27"/>
  <c r="CY27" i="27"/>
  <c r="CZ27" i="27"/>
  <c r="DA27" i="27"/>
  <c r="DB27" i="27"/>
  <c r="DC27" i="27"/>
  <c r="DD27" i="27"/>
  <c r="DE27" i="27"/>
  <c r="DF27" i="27"/>
  <c r="DG27" i="27"/>
  <c r="DH27" i="27"/>
  <c r="DI27" i="27"/>
  <c r="DJ27" i="27"/>
  <c r="DK27" i="27"/>
  <c r="DL27" i="27"/>
  <c r="DM27" i="27"/>
  <c r="DN27" i="27"/>
  <c r="DO27" i="27"/>
  <c r="DP27" i="27"/>
  <c r="DQ27" i="27"/>
  <c r="DR27" i="27"/>
  <c r="DS27" i="27"/>
  <c r="DT27" i="27"/>
  <c r="DU27" i="27"/>
  <c r="DV27" i="27"/>
  <c r="DW27" i="27"/>
  <c r="DX27" i="27"/>
  <c r="DY27" i="27"/>
  <c r="DZ27" i="27"/>
  <c r="EA27" i="27"/>
  <c r="EB27" i="27"/>
  <c r="EC27" i="27"/>
  <c r="ED27" i="27"/>
  <c r="EE27" i="27"/>
  <c r="EF27" i="27"/>
  <c r="EG27" i="27"/>
  <c r="EH27" i="27"/>
  <c r="EI27" i="27"/>
  <c r="EJ27" i="27"/>
  <c r="EK27" i="27"/>
  <c r="EL27" i="27"/>
  <c r="EN27" i="27"/>
  <c r="EP27" i="27"/>
  <c r="ER27" i="27"/>
  <c r="ES27" i="27"/>
  <c r="ET27" i="27"/>
  <c r="EU27" i="27"/>
  <c r="EV27" i="27"/>
  <c r="EW27" i="27"/>
  <c r="EX27" i="27"/>
  <c r="EY27" i="27"/>
  <c r="EZ27" i="27"/>
  <c r="FA27" i="27"/>
  <c r="FB27" i="27"/>
  <c r="FC27" i="27"/>
  <c r="FD27" i="27"/>
  <c r="FE27" i="27"/>
  <c r="FF27" i="27"/>
  <c r="FG27" i="27"/>
  <c r="FH27" i="27"/>
  <c r="FI27" i="27"/>
  <c r="FJ27" i="27"/>
  <c r="FK27" i="27"/>
  <c r="FL27" i="27"/>
  <c r="FM27" i="27"/>
  <c r="FN27" i="27"/>
  <c r="FO27" i="27"/>
  <c r="FP27" i="27"/>
  <c r="FQ27" i="27"/>
  <c r="FR27" i="27"/>
  <c r="FS27" i="27"/>
  <c r="FT27" i="27"/>
  <c r="FU27" i="27"/>
  <c r="FV27" i="27"/>
  <c r="FW27" i="27"/>
  <c r="FX27" i="27"/>
  <c r="FY27" i="27"/>
  <c r="FZ27" i="27"/>
  <c r="GA27" i="27"/>
  <c r="GB27" i="27"/>
  <c r="GC27" i="27"/>
  <c r="GD27" i="27"/>
  <c r="GE27" i="27"/>
  <c r="GF27" i="27"/>
  <c r="GG27" i="27"/>
  <c r="GH27" i="27"/>
  <c r="GI27" i="27"/>
  <c r="GJ27" i="27"/>
  <c r="GK27" i="27"/>
  <c r="GL27" i="27"/>
  <c r="GM27" i="27"/>
  <c r="GN27" i="27"/>
  <c r="GO27" i="27"/>
  <c r="GP27" i="27"/>
  <c r="GQ27" i="27"/>
  <c r="GR27" i="27"/>
  <c r="GS27" i="27"/>
  <c r="GT27" i="27"/>
  <c r="GU27" i="27"/>
  <c r="GV27" i="27"/>
  <c r="GW27" i="27"/>
  <c r="GX27" i="27"/>
  <c r="GY27" i="27"/>
  <c r="GZ27" i="27"/>
  <c r="HA27" i="27"/>
  <c r="HB27" i="27"/>
  <c r="HC27" i="27"/>
  <c r="HD27" i="27"/>
  <c r="HE27" i="27"/>
  <c r="HF27" i="27"/>
  <c r="HG27" i="27"/>
  <c r="HH27" i="27"/>
  <c r="HI27" i="27"/>
  <c r="HJ27" i="27"/>
  <c r="HK27" i="27"/>
  <c r="HL27" i="27"/>
  <c r="HM27" i="27"/>
  <c r="HN27" i="27"/>
  <c r="HO27" i="27"/>
  <c r="HP27" i="27"/>
  <c r="HQ27" i="27"/>
  <c r="HR27" i="27"/>
  <c r="HS27" i="27"/>
  <c r="HT27" i="27"/>
  <c r="HU27" i="27"/>
  <c r="HV27" i="27"/>
  <c r="HW27" i="27"/>
  <c r="HX27" i="27"/>
  <c r="HY27" i="27"/>
  <c r="HZ27" i="27"/>
  <c r="IA27" i="27"/>
  <c r="IB27" i="27"/>
  <c r="IC27" i="27"/>
  <c r="ID27" i="27"/>
  <c r="IE27" i="27"/>
  <c r="IF27" i="27"/>
  <c r="IG27" i="27"/>
  <c r="IH27" i="27"/>
  <c r="II27" i="27"/>
  <c r="IJ27" i="27"/>
  <c r="IK27" i="27"/>
  <c r="IL27" i="27"/>
  <c r="IM27" i="27"/>
  <c r="IN27" i="27"/>
  <c r="IO27" i="27"/>
  <c r="IP27" i="27"/>
  <c r="IQ27" i="27"/>
  <c r="IR27" i="27"/>
  <c r="IS27" i="27"/>
  <c r="IT27" i="27"/>
  <c r="IU27" i="27"/>
  <c r="IV27" i="27"/>
  <c r="A26" i="27"/>
  <c r="B26" i="27"/>
  <c r="C26" i="27"/>
  <c r="D26" i="27"/>
  <c r="F26" i="27"/>
  <c r="G26" i="27"/>
  <c r="H26" i="27"/>
  <c r="I26" i="27"/>
  <c r="J26" i="27"/>
  <c r="K26" i="27"/>
  <c r="L26" i="27"/>
  <c r="M26" i="27"/>
  <c r="N26" i="27"/>
  <c r="O26" i="27"/>
  <c r="P26" i="27"/>
  <c r="Q26" i="27"/>
  <c r="R26" i="27"/>
  <c r="S26" i="27"/>
  <c r="T26" i="27"/>
  <c r="U26" i="27"/>
  <c r="V26" i="27"/>
  <c r="W26" i="27"/>
  <c r="X26" i="27"/>
  <c r="Y26" i="27"/>
  <c r="Z26" i="27"/>
  <c r="AA26" i="27"/>
  <c r="AB26" i="27"/>
  <c r="AC26" i="27"/>
  <c r="AD26" i="27"/>
  <c r="AE26" i="27"/>
  <c r="AF26" i="27"/>
  <c r="AG26" i="27"/>
  <c r="AH26" i="27"/>
  <c r="AI26" i="27"/>
  <c r="AJ26" i="27"/>
  <c r="AK26" i="27"/>
  <c r="AL26" i="27"/>
  <c r="AM26" i="27"/>
  <c r="AN26" i="27"/>
  <c r="AO26" i="27"/>
  <c r="AP26" i="27"/>
  <c r="AQ26" i="27"/>
  <c r="AR26" i="27"/>
  <c r="AS26" i="27"/>
  <c r="AT26" i="27"/>
  <c r="AU26" i="27"/>
  <c r="AV26" i="27"/>
  <c r="AW26" i="27"/>
  <c r="AX26" i="27"/>
  <c r="AY26" i="27"/>
  <c r="AZ26" i="27"/>
  <c r="BA26" i="27"/>
  <c r="BB26" i="27"/>
  <c r="BC26" i="27"/>
  <c r="BD26" i="27"/>
  <c r="BE26" i="27"/>
  <c r="BF26" i="27"/>
  <c r="BG26" i="27"/>
  <c r="BH26" i="27"/>
  <c r="BI26" i="27"/>
  <c r="BJ26" i="27"/>
  <c r="BK26" i="27"/>
  <c r="BL26" i="27"/>
  <c r="BM26" i="27"/>
  <c r="BN26" i="27"/>
  <c r="BO26" i="27"/>
  <c r="BP26" i="27"/>
  <c r="BQ26" i="27"/>
  <c r="BR26" i="27"/>
  <c r="BS26" i="27"/>
  <c r="BT26" i="27"/>
  <c r="BU26" i="27"/>
  <c r="BV26" i="27"/>
  <c r="BW26" i="27"/>
  <c r="BX26" i="27"/>
  <c r="BY26" i="27"/>
  <c r="BZ26" i="27"/>
  <c r="CA26" i="27"/>
  <c r="CB26" i="27"/>
  <c r="CC26" i="27"/>
  <c r="CD26" i="27"/>
  <c r="CE26" i="27"/>
  <c r="CF26" i="27"/>
  <c r="CG26" i="27"/>
  <c r="CH26" i="27"/>
  <c r="CI26" i="27"/>
  <c r="CJ26" i="27"/>
  <c r="CK26" i="27"/>
  <c r="CL26" i="27"/>
  <c r="CM26" i="27"/>
  <c r="CN26" i="27"/>
  <c r="CO26" i="27"/>
  <c r="CP26" i="27"/>
  <c r="CQ26" i="27"/>
  <c r="CR26" i="27"/>
  <c r="CS26" i="27"/>
  <c r="CT26" i="27"/>
  <c r="CU26" i="27"/>
  <c r="CV26" i="27"/>
  <c r="CW26" i="27"/>
  <c r="CX26" i="27"/>
  <c r="CY26" i="27"/>
  <c r="CZ26" i="27"/>
  <c r="DA26" i="27"/>
  <c r="DB26" i="27"/>
  <c r="DC26" i="27"/>
  <c r="DD26" i="27"/>
  <c r="DE26" i="27"/>
  <c r="DF26" i="27"/>
  <c r="DG26" i="27"/>
  <c r="DH26" i="27"/>
  <c r="DI26" i="27"/>
  <c r="DJ26" i="27"/>
  <c r="DK26" i="27"/>
  <c r="DL26" i="27"/>
  <c r="DM26" i="27"/>
  <c r="DN26" i="27"/>
  <c r="DO26" i="27"/>
  <c r="DP26" i="27"/>
  <c r="DQ26" i="27"/>
  <c r="DR26" i="27"/>
  <c r="DS26" i="27"/>
  <c r="DT26" i="27"/>
  <c r="DU26" i="27"/>
  <c r="DV26" i="27"/>
  <c r="DW26" i="27"/>
  <c r="DX26" i="27"/>
  <c r="DY26" i="27"/>
  <c r="DZ26" i="27"/>
  <c r="EA26" i="27"/>
  <c r="EB26" i="27"/>
  <c r="EC26" i="27"/>
  <c r="ED26" i="27"/>
  <c r="EE26" i="27"/>
  <c r="EF26" i="27"/>
  <c r="EG26" i="27"/>
  <c r="EH26" i="27"/>
  <c r="EI26" i="27"/>
  <c r="EJ26" i="27"/>
  <c r="EK26" i="27"/>
  <c r="EL26" i="27"/>
  <c r="EM26" i="27"/>
  <c r="EN26" i="27"/>
  <c r="EO26" i="27"/>
  <c r="EP26" i="27"/>
  <c r="EQ26" i="27"/>
  <c r="ER26" i="27"/>
  <c r="ES26" i="27"/>
  <c r="ET26" i="27"/>
  <c r="EU26" i="27"/>
  <c r="EV26" i="27"/>
  <c r="EW26" i="27"/>
  <c r="EX26" i="27"/>
  <c r="EY26" i="27"/>
  <c r="EZ26" i="27"/>
  <c r="FA26" i="27"/>
  <c r="FB26" i="27"/>
  <c r="FC26" i="27"/>
  <c r="FD26" i="27"/>
  <c r="FE26" i="27"/>
  <c r="FF26" i="27"/>
  <c r="FG26" i="27"/>
  <c r="FH26" i="27"/>
  <c r="FI26" i="27"/>
  <c r="FJ26" i="27"/>
  <c r="FK26" i="27"/>
  <c r="FL26" i="27"/>
  <c r="FM26" i="27"/>
  <c r="FN26" i="27"/>
  <c r="FO26" i="27"/>
  <c r="FP26" i="27"/>
  <c r="FQ26" i="27"/>
  <c r="FR26" i="27"/>
  <c r="FS26" i="27"/>
  <c r="FT26" i="27"/>
  <c r="FU26" i="27"/>
  <c r="FV26" i="27"/>
  <c r="FW26" i="27"/>
  <c r="FX26" i="27"/>
  <c r="FY26" i="27"/>
  <c r="FZ26" i="27"/>
  <c r="GA26" i="27"/>
  <c r="GB26" i="27"/>
  <c r="GC26" i="27"/>
  <c r="GD26" i="27"/>
  <c r="GE26" i="27"/>
  <c r="GF26" i="27"/>
  <c r="GG26" i="27"/>
  <c r="GH26" i="27"/>
  <c r="GI26" i="27"/>
  <c r="GJ26" i="27"/>
  <c r="GK26" i="27"/>
  <c r="GL26" i="27"/>
  <c r="GM26" i="27"/>
  <c r="GN26" i="27"/>
  <c r="GO26" i="27"/>
  <c r="GP26" i="27"/>
  <c r="GQ26" i="27"/>
  <c r="GR26" i="27"/>
  <c r="GS26" i="27"/>
  <c r="GT26" i="27"/>
  <c r="GU26" i="27"/>
  <c r="GV26" i="27"/>
  <c r="GW26" i="27"/>
  <c r="GX26" i="27"/>
  <c r="GY26" i="27"/>
  <c r="GZ26" i="27"/>
  <c r="HA26" i="27"/>
  <c r="HB26" i="27"/>
  <c r="HC26" i="27"/>
  <c r="HD26" i="27"/>
  <c r="HE26" i="27"/>
  <c r="HF26" i="27"/>
  <c r="HG26" i="27"/>
  <c r="HH26" i="27"/>
  <c r="HI26" i="27"/>
  <c r="HJ26" i="27"/>
  <c r="HK26" i="27"/>
  <c r="HL26" i="27"/>
  <c r="HM26" i="27"/>
  <c r="HN26" i="27"/>
  <c r="HO26" i="27"/>
  <c r="HP26" i="27"/>
  <c r="HQ26" i="27"/>
  <c r="HR26" i="27"/>
  <c r="HS26" i="27"/>
  <c r="HT26" i="27"/>
  <c r="HU26" i="27"/>
  <c r="HV26" i="27"/>
  <c r="HW26" i="27"/>
  <c r="HX26" i="27"/>
  <c r="HY26" i="27"/>
  <c r="HZ26" i="27"/>
  <c r="IA26" i="27"/>
  <c r="IB26" i="27"/>
  <c r="IC26" i="27"/>
  <c r="ID26" i="27"/>
  <c r="IE26" i="27"/>
  <c r="IF26" i="27"/>
  <c r="IG26" i="27"/>
  <c r="IH26" i="27"/>
  <c r="II26" i="27"/>
  <c r="IJ26" i="27"/>
  <c r="IK26" i="27"/>
  <c r="IL26" i="27"/>
  <c r="IM26" i="27"/>
  <c r="IN26" i="27"/>
  <c r="IO26" i="27"/>
  <c r="IP26" i="27"/>
  <c r="IQ26" i="27"/>
  <c r="IR26" i="27"/>
  <c r="IS26" i="27"/>
  <c r="IT26" i="27"/>
  <c r="IU26" i="27"/>
  <c r="IV26" i="27"/>
  <c r="A25" i="27"/>
  <c r="B25" i="27"/>
  <c r="C25" i="27"/>
  <c r="D25" i="27"/>
  <c r="E25" i="27"/>
  <c r="F25" i="27"/>
  <c r="G25" i="27"/>
  <c r="H25" i="27"/>
  <c r="I25" i="27"/>
  <c r="J25" i="27"/>
  <c r="K25" i="27"/>
  <c r="L25" i="27"/>
  <c r="M25" i="27"/>
  <c r="N25" i="27"/>
  <c r="O25" i="27"/>
  <c r="P25" i="27"/>
  <c r="Q25" i="27"/>
  <c r="R25" i="27"/>
  <c r="S25" i="27"/>
  <c r="T25" i="27"/>
  <c r="U25" i="27"/>
  <c r="V25" i="27"/>
  <c r="W25" i="27"/>
  <c r="X25" i="27"/>
  <c r="Y25" i="27"/>
  <c r="Z25" i="27"/>
  <c r="AA25" i="27"/>
  <c r="AB25" i="27"/>
  <c r="AC25" i="27"/>
  <c r="AD25" i="27"/>
  <c r="AE25" i="27"/>
  <c r="AF25" i="27"/>
  <c r="AG25" i="27"/>
  <c r="AH25" i="27"/>
  <c r="AI25" i="27"/>
  <c r="AJ25" i="27"/>
  <c r="AK25" i="27"/>
  <c r="AL25" i="27"/>
  <c r="AM25" i="27"/>
  <c r="AN25" i="27"/>
  <c r="AO25" i="27"/>
  <c r="AP25" i="27"/>
  <c r="AQ25" i="27"/>
  <c r="AR25" i="27"/>
  <c r="AS25" i="27"/>
  <c r="AT25" i="27"/>
  <c r="AU25" i="27"/>
  <c r="AV25" i="27"/>
  <c r="AW25" i="27"/>
  <c r="AX25" i="27"/>
  <c r="AY25" i="27"/>
  <c r="AZ25" i="27"/>
  <c r="BA25" i="27"/>
  <c r="BB25" i="27"/>
  <c r="BC25" i="27"/>
  <c r="BD25" i="27"/>
  <c r="BE25" i="27"/>
  <c r="BF25" i="27"/>
  <c r="BG25" i="27"/>
  <c r="BH25" i="27"/>
  <c r="BI25" i="27"/>
  <c r="BJ25" i="27"/>
  <c r="BK25" i="27"/>
  <c r="BL25" i="27"/>
  <c r="BM25" i="27"/>
  <c r="BN25" i="27"/>
  <c r="BO25" i="27"/>
  <c r="BP25" i="27"/>
  <c r="BQ25" i="27"/>
  <c r="BR25" i="27"/>
  <c r="BS25" i="27"/>
  <c r="BT25" i="27"/>
  <c r="BU25" i="27"/>
  <c r="BV25" i="27"/>
  <c r="BW25" i="27"/>
  <c r="BX25" i="27"/>
  <c r="BY25" i="27"/>
  <c r="BZ25" i="27"/>
  <c r="CA25" i="27"/>
  <c r="CB25" i="27"/>
  <c r="CC25" i="27"/>
  <c r="CD25" i="27"/>
  <c r="CE25" i="27"/>
  <c r="CF25" i="27"/>
  <c r="CG25" i="27"/>
  <c r="CH25" i="27"/>
  <c r="CI25" i="27"/>
  <c r="CJ25" i="27"/>
  <c r="CK25" i="27"/>
  <c r="CL25" i="27"/>
  <c r="CM25" i="27"/>
  <c r="CN25" i="27"/>
  <c r="CO25" i="27"/>
  <c r="CP25" i="27"/>
  <c r="CQ25" i="27"/>
  <c r="CR25" i="27"/>
  <c r="CS25" i="27"/>
  <c r="CT25" i="27"/>
  <c r="CU25" i="27"/>
  <c r="CV25" i="27"/>
  <c r="CW25" i="27"/>
  <c r="CX25" i="27"/>
  <c r="CY25" i="27"/>
  <c r="CZ25" i="27"/>
  <c r="DA25" i="27"/>
  <c r="DB25" i="27"/>
  <c r="DC25" i="27"/>
  <c r="DD25" i="27"/>
  <c r="DE25" i="27"/>
  <c r="DF25" i="27"/>
  <c r="DG25" i="27"/>
  <c r="DH25" i="27"/>
  <c r="DI25" i="27"/>
  <c r="DJ25" i="27"/>
  <c r="DK25" i="27"/>
  <c r="DL25" i="27"/>
  <c r="DM25" i="27"/>
  <c r="DN25" i="27"/>
  <c r="DO25" i="27"/>
  <c r="DP25" i="27"/>
  <c r="DQ25" i="27"/>
  <c r="DR25" i="27"/>
  <c r="DS25" i="27"/>
  <c r="DT25" i="27"/>
  <c r="DU25" i="27"/>
  <c r="DV25" i="27"/>
  <c r="DW25" i="27"/>
  <c r="DX25" i="27"/>
  <c r="DY25" i="27"/>
  <c r="DZ25" i="27"/>
  <c r="EA25" i="27"/>
  <c r="EB25" i="27"/>
  <c r="EC25" i="27"/>
  <c r="ED25" i="27"/>
  <c r="EE25" i="27"/>
  <c r="EF25" i="27"/>
  <c r="EG25" i="27"/>
  <c r="EH25" i="27"/>
  <c r="EI25" i="27"/>
  <c r="EJ25" i="27"/>
  <c r="EK25" i="27"/>
  <c r="EL25" i="27"/>
  <c r="EM25" i="27"/>
  <c r="EN25" i="27"/>
  <c r="EO25" i="27"/>
  <c r="EP25" i="27"/>
  <c r="EQ25" i="27"/>
  <c r="ER25" i="27"/>
  <c r="ES25" i="27"/>
  <c r="ET25" i="27"/>
  <c r="EU25" i="27"/>
  <c r="EV25" i="27"/>
  <c r="EW25" i="27"/>
  <c r="EY25" i="27"/>
  <c r="FA25" i="27"/>
  <c r="FC25" i="27"/>
  <c r="FE25" i="27"/>
  <c r="FF25" i="27"/>
  <c r="FG25" i="27"/>
  <c r="FH25" i="27"/>
  <c r="FI25" i="27"/>
  <c r="FJ25" i="27"/>
  <c r="FK25" i="27"/>
  <c r="FL25" i="27"/>
  <c r="FM25" i="27"/>
  <c r="FN25" i="27"/>
  <c r="FO25" i="27"/>
  <c r="FP25" i="27"/>
  <c r="FQ25" i="27"/>
  <c r="FR25" i="27"/>
  <c r="FS25" i="27"/>
  <c r="FT25" i="27"/>
  <c r="FU25" i="27"/>
  <c r="FV25" i="27"/>
  <c r="FW25" i="27"/>
  <c r="FX25" i="27"/>
  <c r="FY25" i="27"/>
  <c r="FZ25" i="27"/>
  <c r="GA25" i="27"/>
  <c r="GB25" i="27"/>
  <c r="GC25" i="27"/>
  <c r="GD25" i="27"/>
  <c r="GE25" i="27"/>
  <c r="GF25" i="27"/>
  <c r="GG25" i="27"/>
  <c r="GH25" i="27"/>
  <c r="GI25" i="27"/>
  <c r="GJ25" i="27"/>
  <c r="GK25" i="27"/>
  <c r="GL25" i="27"/>
  <c r="GM25" i="27"/>
  <c r="GN25" i="27"/>
  <c r="GO25" i="27"/>
  <c r="GP25" i="27"/>
  <c r="GQ25" i="27"/>
  <c r="GR25" i="27"/>
  <c r="GS25" i="27"/>
  <c r="GT25" i="27"/>
  <c r="GU25" i="27"/>
  <c r="GV25" i="27"/>
  <c r="GW25" i="27"/>
  <c r="GX25" i="27"/>
  <c r="GY25" i="27"/>
  <c r="GZ25" i="27"/>
  <c r="HA25" i="27"/>
  <c r="HB25" i="27"/>
  <c r="HC25" i="27"/>
  <c r="HD25" i="27"/>
  <c r="HE25" i="27"/>
  <c r="HF25" i="27"/>
  <c r="HG25" i="27"/>
  <c r="HH25" i="27"/>
  <c r="HI25" i="27"/>
  <c r="HJ25" i="27"/>
  <c r="HK25" i="27"/>
  <c r="HL25" i="27"/>
  <c r="HM25" i="27"/>
  <c r="HN25" i="27"/>
  <c r="HO25" i="27"/>
  <c r="HP25" i="27"/>
  <c r="HQ25" i="27"/>
  <c r="HR25" i="27"/>
  <c r="HS25" i="27"/>
  <c r="HT25" i="27"/>
  <c r="HU25" i="27"/>
  <c r="HV25" i="27"/>
  <c r="HW25" i="27"/>
  <c r="HX25" i="27"/>
  <c r="HY25" i="27"/>
  <c r="HZ25" i="27"/>
  <c r="IA25" i="27"/>
  <c r="IB25" i="27"/>
  <c r="IC25" i="27"/>
  <c r="ID25" i="27"/>
  <c r="IE25" i="27"/>
  <c r="IF25" i="27"/>
  <c r="IG25" i="27"/>
  <c r="IH25" i="27"/>
  <c r="II25" i="27"/>
  <c r="IJ25" i="27"/>
  <c r="IK25" i="27"/>
  <c r="IL25" i="27"/>
  <c r="IM25" i="27"/>
  <c r="IN25" i="27"/>
  <c r="IO25" i="27"/>
  <c r="IP25" i="27"/>
  <c r="IQ25" i="27"/>
  <c r="IR25" i="27"/>
  <c r="IS25" i="27"/>
  <c r="IT25" i="27"/>
  <c r="IU25" i="27"/>
  <c r="IV25" i="27"/>
  <c r="A24" i="27"/>
  <c r="B24" i="27"/>
  <c r="C24" i="27"/>
  <c r="D24" i="27"/>
  <c r="E24" i="27"/>
  <c r="F24" i="27"/>
  <c r="G24" i="27"/>
  <c r="H24" i="27"/>
  <c r="I24" i="27"/>
  <c r="J24" i="27"/>
  <c r="K24" i="27"/>
  <c r="L24" i="27"/>
  <c r="M24" i="27"/>
  <c r="N24" i="27"/>
  <c r="O24" i="27"/>
  <c r="P24" i="27"/>
  <c r="Q24" i="27"/>
  <c r="R24" i="27"/>
  <c r="S24" i="27"/>
  <c r="T24" i="27"/>
  <c r="U24" i="27"/>
  <c r="V24" i="27"/>
  <c r="W24" i="27"/>
  <c r="X24" i="27"/>
  <c r="Y24" i="27"/>
  <c r="Z24" i="27"/>
  <c r="AA24" i="27"/>
  <c r="AB24" i="27"/>
  <c r="AC24" i="27"/>
  <c r="AD24" i="27"/>
  <c r="AE24" i="27"/>
  <c r="AF24" i="27"/>
  <c r="AG24" i="27"/>
  <c r="AH24" i="27"/>
  <c r="AI24" i="27"/>
  <c r="AJ24" i="27"/>
  <c r="AK24" i="27"/>
  <c r="AL24" i="27"/>
  <c r="AM24" i="27"/>
  <c r="AN24" i="27"/>
  <c r="AO24" i="27"/>
  <c r="AP24" i="27"/>
  <c r="AQ24" i="27"/>
  <c r="AR24" i="27"/>
  <c r="AS24" i="27"/>
  <c r="AT24" i="27"/>
  <c r="AU24" i="27"/>
  <c r="AV24" i="27"/>
  <c r="AW24" i="27"/>
  <c r="AX24" i="27"/>
  <c r="AY24" i="27"/>
  <c r="AZ24" i="27"/>
  <c r="BA24" i="27"/>
  <c r="BB24" i="27"/>
  <c r="BC24" i="27"/>
  <c r="BD24" i="27"/>
  <c r="BE24" i="27"/>
  <c r="BF24" i="27"/>
  <c r="BG24" i="27"/>
  <c r="BH24" i="27"/>
  <c r="BI24" i="27"/>
  <c r="BJ24" i="27"/>
  <c r="BK24" i="27"/>
  <c r="BL24" i="27"/>
  <c r="BM24" i="27"/>
  <c r="BN24" i="27"/>
  <c r="BO24" i="27"/>
  <c r="BP24" i="27"/>
  <c r="BQ24" i="27"/>
  <c r="BR24" i="27"/>
  <c r="BS24" i="27"/>
  <c r="BT24" i="27"/>
  <c r="BU24" i="27"/>
  <c r="BV24" i="27"/>
  <c r="BW24" i="27"/>
  <c r="BX24" i="27"/>
  <c r="BY24" i="27"/>
  <c r="BZ24" i="27"/>
  <c r="CA24" i="27"/>
  <c r="CB24" i="27"/>
  <c r="CC24" i="27"/>
  <c r="CD24" i="27"/>
  <c r="CE24" i="27"/>
  <c r="CF24" i="27"/>
  <c r="CG24" i="27"/>
  <c r="CH24" i="27"/>
  <c r="CI24" i="27"/>
  <c r="CJ24" i="27"/>
  <c r="CK24" i="27"/>
  <c r="CL24" i="27"/>
  <c r="CM24" i="27"/>
  <c r="CN24" i="27"/>
  <c r="CO24" i="27"/>
  <c r="CP24" i="27"/>
  <c r="CQ24" i="27"/>
  <c r="CR24" i="27"/>
  <c r="CS24" i="27"/>
  <c r="CT24" i="27"/>
  <c r="CU24" i="27"/>
  <c r="CV24" i="27"/>
  <c r="CW24" i="27"/>
  <c r="CX24" i="27"/>
  <c r="CY24" i="27"/>
  <c r="CZ24" i="27"/>
  <c r="DA24" i="27"/>
  <c r="DB24" i="27"/>
  <c r="DC24" i="27"/>
  <c r="DD24" i="27"/>
  <c r="DE24" i="27"/>
  <c r="DF24" i="27"/>
  <c r="DG24" i="27"/>
  <c r="DH24" i="27"/>
  <c r="DI24" i="27"/>
  <c r="DJ24" i="27"/>
  <c r="DK24" i="27"/>
  <c r="DL24" i="27"/>
  <c r="DM24" i="27"/>
  <c r="DN24" i="27"/>
  <c r="DO24" i="27"/>
  <c r="DP24" i="27"/>
  <c r="DQ24" i="27"/>
  <c r="DR24" i="27"/>
  <c r="DS24" i="27"/>
  <c r="DT24" i="27"/>
  <c r="DU24" i="27"/>
  <c r="DV24" i="27"/>
  <c r="DW24" i="27"/>
  <c r="DX24" i="27"/>
  <c r="DY24" i="27"/>
  <c r="DZ24" i="27"/>
  <c r="EA24" i="27"/>
  <c r="EB24" i="27"/>
  <c r="EC24" i="27"/>
  <c r="ED24" i="27"/>
  <c r="EE24" i="27"/>
  <c r="EF24" i="27"/>
  <c r="EG24" i="27"/>
  <c r="EH24" i="27"/>
  <c r="EI24" i="27"/>
  <c r="EJ24" i="27"/>
  <c r="EK24" i="27"/>
  <c r="EL24" i="27"/>
  <c r="EM24" i="27"/>
  <c r="EN24" i="27"/>
  <c r="EO24" i="27"/>
  <c r="EP24" i="27"/>
  <c r="EQ24" i="27"/>
  <c r="ER24" i="27"/>
  <c r="ES24" i="27"/>
  <c r="ET24" i="27"/>
  <c r="EU24" i="27"/>
  <c r="EV24" i="27"/>
  <c r="EW24" i="27"/>
  <c r="EX24" i="27"/>
  <c r="EY24" i="27"/>
  <c r="EZ24" i="27"/>
  <c r="FA24" i="27"/>
  <c r="FB24" i="27"/>
  <c r="FC24" i="27"/>
  <c r="FD24" i="27"/>
  <c r="FE24" i="27"/>
  <c r="FF24" i="27"/>
  <c r="FG24" i="27"/>
  <c r="FH24" i="27"/>
  <c r="FI24" i="27"/>
  <c r="FJ24" i="27"/>
  <c r="FK24" i="27"/>
  <c r="FL24" i="27"/>
  <c r="FM24" i="27"/>
  <c r="FN24" i="27"/>
  <c r="FO24" i="27"/>
  <c r="FP24" i="27"/>
  <c r="FQ24" i="27"/>
  <c r="FR24" i="27"/>
  <c r="FS24" i="27"/>
  <c r="FT24" i="27"/>
  <c r="FU24" i="27"/>
  <c r="FV24" i="27"/>
  <c r="FW24" i="27"/>
  <c r="FX24" i="27"/>
  <c r="FY24" i="27"/>
  <c r="FZ24" i="27"/>
  <c r="GA24" i="27"/>
  <c r="GB24" i="27"/>
  <c r="GC24" i="27"/>
  <c r="GD24" i="27"/>
  <c r="GE24" i="27"/>
  <c r="GF24" i="27"/>
  <c r="GG24" i="27"/>
  <c r="GH24" i="27"/>
  <c r="GI24" i="27"/>
  <c r="GJ24" i="27"/>
  <c r="GK24" i="27"/>
  <c r="GL24" i="27"/>
  <c r="GM24" i="27"/>
  <c r="GN24" i="27"/>
  <c r="GO24" i="27"/>
  <c r="GP24" i="27"/>
  <c r="GQ24" i="27"/>
  <c r="GR24" i="27"/>
  <c r="GS24" i="27"/>
  <c r="GT24" i="27"/>
  <c r="GU24" i="27"/>
  <c r="GV24" i="27"/>
  <c r="GW24" i="27"/>
  <c r="GX24" i="27"/>
  <c r="GY24" i="27"/>
  <c r="GZ24" i="27"/>
  <c r="HA24" i="27"/>
  <c r="HB24" i="27"/>
  <c r="HC24" i="27"/>
  <c r="HD24" i="27"/>
  <c r="HE24" i="27"/>
  <c r="HF24" i="27"/>
  <c r="HG24" i="27"/>
  <c r="HH24" i="27"/>
  <c r="HI24" i="27"/>
  <c r="HJ24" i="27"/>
  <c r="HK24" i="27"/>
  <c r="HL24" i="27"/>
  <c r="HM24" i="27"/>
  <c r="HN24" i="27"/>
  <c r="HO24" i="27"/>
  <c r="HP24" i="27"/>
  <c r="HQ24" i="27"/>
  <c r="HR24" i="27"/>
  <c r="HS24" i="27"/>
  <c r="HT24" i="27"/>
  <c r="HU24" i="27"/>
  <c r="HV24" i="27"/>
  <c r="HW24" i="27"/>
  <c r="HX24" i="27"/>
  <c r="HY24" i="27"/>
  <c r="HZ24" i="27"/>
  <c r="IA24" i="27"/>
  <c r="IB24" i="27"/>
  <c r="IC24" i="27"/>
  <c r="ID24" i="27"/>
  <c r="IE24" i="27"/>
  <c r="IF24" i="27"/>
  <c r="IG24" i="27"/>
  <c r="IH24" i="27"/>
  <c r="II24" i="27"/>
  <c r="IJ24" i="27"/>
  <c r="IK24" i="27"/>
  <c r="IL24" i="27"/>
  <c r="IM24" i="27"/>
  <c r="IN24" i="27"/>
  <c r="IO24" i="27"/>
  <c r="IP24" i="27"/>
  <c r="IQ24" i="27"/>
  <c r="IR24" i="27"/>
  <c r="IS24" i="27"/>
  <c r="IT24" i="27"/>
  <c r="IU24" i="27"/>
  <c r="IV24" i="27"/>
  <c r="A23" i="27"/>
  <c r="B23" i="27"/>
  <c r="C23" i="27"/>
  <c r="D23" i="27"/>
  <c r="E23" i="27"/>
  <c r="F23" i="27"/>
  <c r="G23" i="27"/>
  <c r="H23" i="27"/>
  <c r="I23" i="27"/>
  <c r="J23" i="27"/>
  <c r="K23" i="27"/>
  <c r="L23" i="27"/>
  <c r="M23" i="27"/>
  <c r="N23" i="27"/>
  <c r="O23" i="27"/>
  <c r="P23" i="27"/>
  <c r="Q23" i="27"/>
  <c r="R23" i="27"/>
  <c r="S23" i="27"/>
  <c r="T23" i="27"/>
  <c r="U23" i="27"/>
  <c r="V23" i="27"/>
  <c r="W23" i="27"/>
  <c r="X23" i="27"/>
  <c r="Y23" i="27"/>
  <c r="Z23" i="27"/>
  <c r="AA23" i="27"/>
  <c r="AB23" i="27"/>
  <c r="AC23" i="27"/>
  <c r="AD23" i="27"/>
  <c r="AE23" i="27"/>
  <c r="AF23" i="27"/>
  <c r="AG23" i="27"/>
  <c r="AH23" i="27"/>
  <c r="AI23" i="27"/>
  <c r="AJ23" i="27"/>
  <c r="AK23" i="27"/>
  <c r="AL23" i="27"/>
  <c r="AM23" i="27"/>
  <c r="AN23" i="27"/>
  <c r="AO23" i="27"/>
  <c r="AP23" i="27"/>
  <c r="AQ23" i="27"/>
  <c r="AR23" i="27"/>
  <c r="AS23" i="27"/>
  <c r="AT23" i="27"/>
  <c r="AU23" i="27"/>
  <c r="AV23" i="27"/>
  <c r="AW23" i="27"/>
  <c r="AX23" i="27"/>
  <c r="AY23" i="27"/>
  <c r="AZ23" i="27"/>
  <c r="BA23" i="27"/>
  <c r="BB23" i="27"/>
  <c r="BC23" i="27"/>
  <c r="BD23" i="27"/>
  <c r="BE23" i="27"/>
  <c r="BF23" i="27"/>
  <c r="BG23" i="27"/>
  <c r="BH23" i="27"/>
  <c r="BI23" i="27"/>
  <c r="BJ23" i="27"/>
  <c r="BK23" i="27"/>
  <c r="BL23" i="27"/>
  <c r="BM23" i="27"/>
  <c r="BN23" i="27"/>
  <c r="BO23" i="27"/>
  <c r="BP23" i="27"/>
  <c r="BQ23" i="27"/>
  <c r="BR23" i="27"/>
  <c r="BS23" i="27"/>
  <c r="BT23" i="27"/>
  <c r="BU23" i="27"/>
  <c r="BV23" i="27"/>
  <c r="BW23" i="27"/>
  <c r="BX23" i="27"/>
  <c r="BY23" i="27"/>
  <c r="BZ23" i="27"/>
  <c r="CA23" i="27"/>
  <c r="CB23" i="27"/>
  <c r="CC23" i="27"/>
  <c r="CD23" i="27"/>
  <c r="CE23" i="27"/>
  <c r="CF23" i="27"/>
  <c r="CG23" i="27"/>
  <c r="CH23" i="27"/>
  <c r="CI23" i="27"/>
  <c r="CJ23" i="27"/>
  <c r="CK23" i="27"/>
  <c r="CL23" i="27"/>
  <c r="CM23" i="27"/>
  <c r="CN23" i="27"/>
  <c r="CO23" i="27"/>
  <c r="CP23" i="27"/>
  <c r="CQ23" i="27"/>
  <c r="CR23" i="27"/>
  <c r="CS23" i="27"/>
  <c r="CT23" i="27"/>
  <c r="CU23" i="27"/>
  <c r="CV23" i="27"/>
  <c r="CW23" i="27"/>
  <c r="CX23" i="27"/>
  <c r="CY23" i="27"/>
  <c r="CZ23" i="27"/>
  <c r="DA23" i="27"/>
  <c r="DB23" i="27"/>
  <c r="DC23" i="27"/>
  <c r="DD23" i="27"/>
  <c r="DE23" i="27"/>
  <c r="DF23" i="27"/>
  <c r="DG23" i="27"/>
  <c r="DH23" i="27"/>
  <c r="DI23" i="27"/>
  <c r="DJ23" i="27"/>
  <c r="DK23" i="27"/>
  <c r="DL23" i="27"/>
  <c r="DM23" i="27"/>
  <c r="DN23" i="27"/>
  <c r="DO23" i="27"/>
  <c r="DP23" i="27"/>
  <c r="DQ23" i="27"/>
  <c r="DR23" i="27"/>
  <c r="DS23" i="27"/>
  <c r="DT23" i="27"/>
  <c r="DU23" i="27"/>
  <c r="DV23" i="27"/>
  <c r="DW23" i="27"/>
  <c r="DX23" i="27"/>
  <c r="DY23" i="27"/>
  <c r="DZ23" i="27"/>
  <c r="EA23" i="27"/>
  <c r="EB23" i="27"/>
  <c r="EC23" i="27"/>
  <c r="ED23" i="27"/>
  <c r="EE23" i="27"/>
  <c r="EF23" i="27"/>
  <c r="EG23" i="27"/>
  <c r="EH23" i="27"/>
  <c r="EI23" i="27"/>
  <c r="EJ23" i="27"/>
  <c r="EK23" i="27"/>
  <c r="EL23" i="27"/>
  <c r="EM23" i="27"/>
  <c r="EN23" i="27"/>
  <c r="EO23" i="27"/>
  <c r="EP23" i="27"/>
  <c r="EQ23" i="27"/>
  <c r="ER23" i="27"/>
  <c r="ES23" i="27"/>
  <c r="ET23" i="27"/>
  <c r="EU23" i="27"/>
  <c r="EV23" i="27"/>
  <c r="EW23" i="27"/>
  <c r="EX23" i="27"/>
  <c r="EY23" i="27"/>
  <c r="EZ23" i="27"/>
  <c r="FA23" i="27"/>
  <c r="FB23" i="27"/>
  <c r="FC23" i="27"/>
  <c r="FD23" i="27"/>
  <c r="FE23" i="27"/>
  <c r="FF23" i="27"/>
  <c r="FG23" i="27"/>
  <c r="FH23" i="27"/>
  <c r="FI23" i="27"/>
  <c r="FJ23" i="27"/>
  <c r="FK23" i="27"/>
  <c r="FL23" i="27"/>
  <c r="FM23" i="27"/>
  <c r="FN23" i="27"/>
  <c r="FO23" i="27"/>
  <c r="FP23" i="27"/>
  <c r="FQ23" i="27"/>
  <c r="FR23" i="27"/>
  <c r="FS23" i="27"/>
  <c r="FT23" i="27"/>
  <c r="FU23" i="27"/>
  <c r="FV23" i="27"/>
  <c r="FW23" i="27"/>
  <c r="FX23" i="27"/>
  <c r="FY23" i="27"/>
  <c r="FZ23" i="27"/>
  <c r="GA23" i="27"/>
  <c r="GB23" i="27"/>
  <c r="GC23" i="27"/>
  <c r="GD23" i="27"/>
  <c r="GE23" i="27"/>
  <c r="GF23" i="27"/>
  <c r="GG23" i="27"/>
  <c r="GH23" i="27"/>
  <c r="GI23" i="27"/>
  <c r="GJ23" i="27"/>
  <c r="GK23" i="27"/>
  <c r="GL23" i="27"/>
  <c r="GM23" i="27"/>
  <c r="GN23" i="27"/>
  <c r="GO23" i="27"/>
  <c r="GP23" i="27"/>
  <c r="GQ23" i="27"/>
  <c r="GR23" i="27"/>
  <c r="GS23" i="27"/>
  <c r="GT23" i="27"/>
  <c r="GU23" i="27"/>
  <c r="GV23" i="27"/>
  <c r="GW23" i="27"/>
  <c r="GX23" i="27"/>
  <c r="GY23" i="27"/>
  <c r="GZ23" i="27"/>
  <c r="HA23" i="27"/>
  <c r="HB23" i="27"/>
  <c r="HC23" i="27"/>
  <c r="HD23" i="27"/>
  <c r="HE23" i="27"/>
  <c r="HF23" i="27"/>
  <c r="HG23" i="27"/>
  <c r="HH23" i="27"/>
  <c r="HI23" i="27"/>
  <c r="HJ23" i="27"/>
  <c r="HK23" i="27"/>
  <c r="HL23" i="27"/>
  <c r="HM23" i="27"/>
  <c r="HN23" i="27"/>
  <c r="HO23" i="27"/>
  <c r="HP23" i="27"/>
  <c r="HQ23" i="27"/>
  <c r="HR23" i="27"/>
  <c r="HS23" i="27"/>
  <c r="HT23" i="27"/>
  <c r="HU23" i="27"/>
  <c r="HV23" i="27"/>
  <c r="HW23" i="27"/>
  <c r="HX23" i="27"/>
  <c r="HY23" i="27"/>
  <c r="HZ23" i="27"/>
  <c r="IA23" i="27"/>
  <c r="IB23" i="27"/>
  <c r="IC23" i="27"/>
  <c r="ID23" i="27"/>
  <c r="IE23" i="27"/>
  <c r="IF23" i="27"/>
  <c r="IG23" i="27"/>
  <c r="IH23" i="27"/>
  <c r="II23" i="27"/>
  <c r="IJ23" i="27"/>
  <c r="IK23" i="27"/>
  <c r="IL23" i="27"/>
  <c r="IM23" i="27"/>
  <c r="IN23" i="27"/>
  <c r="IO23" i="27"/>
  <c r="IP23" i="27"/>
  <c r="IQ23" i="27"/>
  <c r="IR23" i="27"/>
  <c r="IS23" i="27"/>
  <c r="IT23" i="27"/>
  <c r="IU23" i="27"/>
  <c r="IV23" i="27"/>
  <c r="A22" i="27"/>
  <c r="B22" i="27"/>
  <c r="C22" i="27"/>
  <c r="D22" i="27"/>
  <c r="E22" i="27"/>
  <c r="F22" i="27"/>
  <c r="G22" i="27"/>
  <c r="H22" i="27"/>
  <c r="I22" i="27"/>
  <c r="J22" i="27"/>
  <c r="K22" i="27"/>
  <c r="L22" i="27"/>
  <c r="M22" i="27"/>
  <c r="N22" i="27"/>
  <c r="O22" i="27"/>
  <c r="P22" i="27"/>
  <c r="Q22" i="27"/>
  <c r="R22" i="27"/>
  <c r="S22" i="27"/>
  <c r="T22" i="27"/>
  <c r="U22" i="27"/>
  <c r="V22" i="27"/>
  <c r="W22" i="27"/>
  <c r="X22" i="27"/>
  <c r="Y22" i="27"/>
  <c r="Z22" i="27"/>
  <c r="AA22" i="27"/>
  <c r="AB22" i="27"/>
  <c r="AC22" i="27"/>
  <c r="AD22" i="27"/>
  <c r="AE22" i="27"/>
  <c r="AF22" i="27"/>
  <c r="AG22" i="27"/>
  <c r="AH22" i="27"/>
  <c r="AI22" i="27"/>
  <c r="AJ22" i="27"/>
  <c r="AK22" i="27"/>
  <c r="AL22" i="27"/>
  <c r="AM22" i="27"/>
  <c r="AN22" i="27"/>
  <c r="AO22" i="27"/>
  <c r="AP22" i="27"/>
  <c r="AQ22" i="27"/>
  <c r="AR22" i="27"/>
  <c r="AS22" i="27"/>
  <c r="AT22" i="27"/>
  <c r="AU22" i="27"/>
  <c r="AV22" i="27"/>
  <c r="AW22" i="27"/>
  <c r="AX22" i="27"/>
  <c r="AY22" i="27"/>
  <c r="AZ22" i="27"/>
  <c r="BA22" i="27"/>
  <c r="BB22" i="27"/>
  <c r="BC22" i="27"/>
  <c r="BD22" i="27"/>
  <c r="BE22" i="27"/>
  <c r="BF22" i="27"/>
  <c r="BG22" i="27"/>
  <c r="BH22" i="27"/>
  <c r="BI22" i="27"/>
  <c r="BJ22" i="27"/>
  <c r="BK22" i="27"/>
  <c r="BL22" i="27"/>
  <c r="BM22" i="27"/>
  <c r="BN22" i="27"/>
  <c r="BO22" i="27"/>
  <c r="BP22" i="27"/>
  <c r="BQ22" i="27"/>
  <c r="BR22" i="27"/>
  <c r="BS22" i="27"/>
  <c r="BT22" i="27"/>
  <c r="BU22" i="27"/>
  <c r="BV22" i="27"/>
  <c r="BW22" i="27"/>
  <c r="BX22" i="27"/>
  <c r="BY22" i="27"/>
  <c r="BZ22" i="27"/>
  <c r="CA22" i="27"/>
  <c r="CB22" i="27"/>
  <c r="CC22" i="27"/>
  <c r="CD22" i="27"/>
  <c r="CE22" i="27"/>
  <c r="CF22" i="27"/>
  <c r="CG22" i="27"/>
  <c r="CH22" i="27"/>
  <c r="CI22" i="27"/>
  <c r="CJ22" i="27"/>
  <c r="CK22" i="27"/>
  <c r="CL22" i="27"/>
  <c r="CM22" i="27"/>
  <c r="CN22" i="27"/>
  <c r="CO22" i="27"/>
  <c r="CP22" i="27"/>
  <c r="CQ22" i="27"/>
  <c r="CR22" i="27"/>
  <c r="CS22" i="27"/>
  <c r="CT22" i="27"/>
  <c r="CU22" i="27"/>
  <c r="CV22" i="27"/>
  <c r="CW22" i="27"/>
  <c r="CX22" i="27"/>
  <c r="CY22" i="27"/>
  <c r="CZ22" i="27"/>
  <c r="DA22" i="27"/>
  <c r="DB22" i="27"/>
  <c r="DC22" i="27"/>
  <c r="DD22" i="27"/>
  <c r="DE22" i="27"/>
  <c r="DF22" i="27"/>
  <c r="DG22" i="27"/>
  <c r="DH22" i="27"/>
  <c r="DI22" i="27"/>
  <c r="DJ22" i="27"/>
  <c r="DK22" i="27"/>
  <c r="DL22" i="27"/>
  <c r="DM22" i="27"/>
  <c r="DN22" i="27"/>
  <c r="DO22" i="27"/>
  <c r="DP22" i="27"/>
  <c r="DQ22" i="27"/>
  <c r="DR22" i="27"/>
  <c r="DS22" i="27"/>
  <c r="DT22" i="27"/>
  <c r="DU22" i="27"/>
  <c r="DV22" i="27"/>
  <c r="DW22" i="27"/>
  <c r="DX22" i="27"/>
  <c r="DY22" i="27"/>
  <c r="DZ22" i="27"/>
  <c r="EA22" i="27"/>
  <c r="EB22" i="27"/>
  <c r="EC22" i="27"/>
  <c r="ED22" i="27"/>
  <c r="EE22" i="27"/>
  <c r="EF22" i="27"/>
  <c r="EG22" i="27"/>
  <c r="EH22" i="27"/>
  <c r="EI22" i="27"/>
  <c r="EJ22" i="27"/>
  <c r="EK22" i="27"/>
  <c r="EL22" i="27"/>
  <c r="EM22" i="27"/>
  <c r="EN22" i="27"/>
  <c r="EO22" i="27"/>
  <c r="EP22" i="27"/>
  <c r="EQ22" i="27"/>
  <c r="ER22" i="27"/>
  <c r="ES22" i="27"/>
  <c r="ET22" i="27"/>
  <c r="EU22" i="27"/>
  <c r="EV22" i="27"/>
  <c r="EW22" i="27"/>
  <c r="EX22" i="27"/>
  <c r="EY22" i="27"/>
  <c r="EZ22" i="27"/>
  <c r="FA22" i="27"/>
  <c r="FB22" i="27"/>
  <c r="FC22" i="27"/>
  <c r="FD22" i="27"/>
  <c r="FE22" i="27"/>
  <c r="FF22" i="27"/>
  <c r="FG22" i="27"/>
  <c r="FH22" i="27"/>
  <c r="FI22" i="27"/>
  <c r="FJ22" i="27"/>
  <c r="FK22" i="27"/>
  <c r="FL22" i="27"/>
  <c r="FM22" i="27"/>
  <c r="FN22" i="27"/>
  <c r="FO22" i="27"/>
  <c r="FP22" i="27"/>
  <c r="FQ22" i="27"/>
  <c r="FR22" i="27"/>
  <c r="FS22" i="27"/>
  <c r="FT22" i="27"/>
  <c r="FU22" i="27"/>
  <c r="FV22" i="27"/>
  <c r="FW22" i="27"/>
  <c r="FX22" i="27"/>
  <c r="FY22" i="27"/>
  <c r="FZ22" i="27"/>
  <c r="GA22" i="27"/>
  <c r="GB22" i="27"/>
  <c r="GC22" i="27"/>
  <c r="GD22" i="27"/>
  <c r="GE22" i="27"/>
  <c r="GF22" i="27"/>
  <c r="GG22" i="27"/>
  <c r="GH22" i="27"/>
  <c r="GI22" i="27"/>
  <c r="GJ22" i="27"/>
  <c r="GK22" i="27"/>
  <c r="GL22" i="27"/>
  <c r="GM22" i="27"/>
  <c r="GN22" i="27"/>
  <c r="GO22" i="27"/>
  <c r="GP22" i="27"/>
  <c r="GQ22" i="27"/>
  <c r="GR22" i="27"/>
  <c r="GS22" i="27"/>
  <c r="GT22" i="27"/>
  <c r="GU22" i="27"/>
  <c r="GV22" i="27"/>
  <c r="GW22" i="27"/>
  <c r="GX22" i="27"/>
  <c r="GY22" i="27"/>
  <c r="GZ22" i="27"/>
  <c r="HA22" i="27"/>
  <c r="HB22" i="27"/>
  <c r="HC22" i="27"/>
  <c r="HD22" i="27"/>
  <c r="HE22" i="27"/>
  <c r="HF22" i="27"/>
  <c r="HG22" i="27"/>
  <c r="HH22" i="27"/>
  <c r="HI22" i="27"/>
  <c r="HJ22" i="27"/>
  <c r="HK22" i="27"/>
  <c r="HL22" i="27"/>
  <c r="HM22" i="27"/>
  <c r="HN22" i="27"/>
  <c r="HO22" i="27"/>
  <c r="HP22" i="27"/>
  <c r="HQ22" i="27"/>
  <c r="HR22" i="27"/>
  <c r="HS22" i="27"/>
  <c r="HT22" i="27"/>
  <c r="HU22" i="27"/>
  <c r="HV22" i="27"/>
  <c r="HW22" i="27"/>
  <c r="HX22" i="27"/>
  <c r="HY22" i="27"/>
  <c r="HZ22" i="27"/>
  <c r="IA22" i="27"/>
  <c r="IB22" i="27"/>
  <c r="IC22" i="27"/>
  <c r="ID22" i="27"/>
  <c r="IE22" i="27"/>
  <c r="IF22" i="27"/>
  <c r="IG22" i="27"/>
  <c r="IH22" i="27"/>
  <c r="II22" i="27"/>
  <c r="IJ22" i="27"/>
  <c r="IK22" i="27"/>
  <c r="IL22" i="27"/>
  <c r="IM22" i="27"/>
  <c r="IN22" i="27"/>
  <c r="IO22" i="27"/>
  <c r="IP22" i="27"/>
  <c r="IQ22" i="27"/>
  <c r="IR22" i="27"/>
  <c r="IS22" i="27"/>
  <c r="IT22" i="27"/>
  <c r="IU22" i="27"/>
  <c r="IV22" i="27"/>
  <c r="A21" i="27"/>
  <c r="B21" i="27"/>
  <c r="C21" i="27"/>
  <c r="D21" i="27"/>
  <c r="E21" i="27"/>
  <c r="F21" i="27"/>
  <c r="G21" i="27"/>
  <c r="H21" i="27"/>
  <c r="I21" i="27"/>
  <c r="J21" i="27"/>
  <c r="K21" i="27"/>
  <c r="L21" i="27"/>
  <c r="M21" i="27"/>
  <c r="N21" i="27"/>
  <c r="O21" i="27"/>
  <c r="P21" i="27"/>
  <c r="Q21" i="27"/>
  <c r="R21" i="27"/>
  <c r="S21" i="27"/>
  <c r="T21" i="27"/>
  <c r="U21" i="27"/>
  <c r="V21" i="27"/>
  <c r="W21" i="27"/>
  <c r="X21" i="27"/>
  <c r="Y21" i="27"/>
  <c r="Z21" i="27"/>
  <c r="AA21" i="27"/>
  <c r="AB21" i="27"/>
  <c r="AC21" i="27"/>
  <c r="AD21" i="27"/>
  <c r="AE21" i="27"/>
  <c r="AF21" i="27"/>
  <c r="AG21" i="27"/>
  <c r="AH21" i="27"/>
  <c r="AI21" i="27"/>
  <c r="AJ21" i="27"/>
  <c r="AK21" i="27"/>
  <c r="AL21" i="27"/>
  <c r="AM21" i="27"/>
  <c r="AN21" i="27"/>
  <c r="AO21" i="27"/>
  <c r="AP21" i="27"/>
  <c r="AQ21" i="27"/>
  <c r="AR21" i="27"/>
  <c r="AS21" i="27"/>
  <c r="AT21" i="27"/>
  <c r="AU21" i="27"/>
  <c r="AV21" i="27"/>
  <c r="AW21" i="27"/>
  <c r="AX21" i="27"/>
  <c r="AY21" i="27"/>
  <c r="AZ21" i="27"/>
  <c r="BA21" i="27"/>
  <c r="BB21" i="27"/>
  <c r="BC21" i="27"/>
  <c r="BD21" i="27"/>
  <c r="BE21" i="27"/>
  <c r="BF21" i="27"/>
  <c r="BG21" i="27"/>
  <c r="BH21" i="27"/>
  <c r="BI21" i="27"/>
  <c r="BJ21" i="27"/>
  <c r="BK21" i="27"/>
  <c r="BL21" i="27"/>
  <c r="BM21" i="27"/>
  <c r="BN21" i="27"/>
  <c r="BO21" i="27"/>
  <c r="BP21" i="27"/>
  <c r="BQ21" i="27"/>
  <c r="BR21" i="27"/>
  <c r="BS21" i="27"/>
  <c r="BT21" i="27"/>
  <c r="BU21" i="27"/>
  <c r="BV21" i="27"/>
  <c r="BW21" i="27"/>
  <c r="BX21" i="27"/>
  <c r="BY21" i="27"/>
  <c r="BZ21" i="27"/>
  <c r="CA21" i="27"/>
  <c r="CB21" i="27"/>
  <c r="CC21" i="27"/>
  <c r="CD21" i="27"/>
  <c r="CE21" i="27"/>
  <c r="CF21" i="27"/>
  <c r="CG21" i="27"/>
  <c r="CH21" i="27"/>
  <c r="CI21" i="27"/>
  <c r="CJ21" i="27"/>
  <c r="CK21" i="27"/>
  <c r="CL21" i="27"/>
  <c r="CM21" i="27"/>
  <c r="CN21" i="27"/>
  <c r="CO21" i="27"/>
  <c r="CP21" i="27"/>
  <c r="CQ21" i="27"/>
  <c r="CR21" i="27"/>
  <c r="CS21" i="27"/>
  <c r="CT21" i="27"/>
  <c r="CU21" i="27"/>
  <c r="CV21" i="27"/>
  <c r="CW21" i="27"/>
  <c r="CX21" i="27"/>
  <c r="CY21" i="27"/>
  <c r="CZ21" i="27"/>
  <c r="DA21" i="27"/>
  <c r="DB21" i="27"/>
  <c r="DC21" i="27"/>
  <c r="DD21" i="27"/>
  <c r="DE21" i="27"/>
  <c r="DF21" i="27"/>
  <c r="DG21" i="27"/>
  <c r="DH21" i="27"/>
  <c r="DI21" i="27"/>
  <c r="DJ21" i="27"/>
  <c r="DK21" i="27"/>
  <c r="DL21" i="27"/>
  <c r="DM21" i="27"/>
  <c r="DN21" i="27"/>
  <c r="DO21" i="27"/>
  <c r="DP21" i="27"/>
  <c r="DQ21" i="27"/>
  <c r="DR21" i="27"/>
  <c r="DS21" i="27"/>
  <c r="DT21" i="27"/>
  <c r="DU21" i="27"/>
  <c r="DV21" i="27"/>
  <c r="DW21" i="27"/>
  <c r="DX21" i="27"/>
  <c r="DY21" i="27"/>
  <c r="DZ21" i="27"/>
  <c r="EA21" i="27"/>
  <c r="EB21" i="27"/>
  <c r="EC21" i="27"/>
  <c r="ED21" i="27"/>
  <c r="EE21" i="27"/>
  <c r="EF21" i="27"/>
  <c r="EG21" i="27"/>
  <c r="EH21" i="27"/>
  <c r="EI21" i="27"/>
  <c r="EJ21" i="27"/>
  <c r="EK21" i="27"/>
  <c r="EL21" i="27"/>
  <c r="EM21" i="27"/>
  <c r="EN21" i="27"/>
  <c r="EO21" i="27"/>
  <c r="EP21" i="27"/>
  <c r="EQ21" i="27"/>
  <c r="ER21" i="27"/>
  <c r="ES21" i="27"/>
  <c r="ET21" i="27"/>
  <c r="EU21" i="27"/>
  <c r="EV21" i="27"/>
  <c r="EW21" i="27"/>
  <c r="EX21" i="27"/>
  <c r="EY21" i="27"/>
  <c r="EZ21" i="27"/>
  <c r="FA21" i="27"/>
  <c r="FB21" i="27"/>
  <c r="FC21" i="27"/>
  <c r="FD21" i="27"/>
  <c r="FE21" i="27"/>
  <c r="FF21" i="27"/>
  <c r="FG21" i="27"/>
  <c r="FH21" i="27"/>
  <c r="FI21" i="27"/>
  <c r="FJ21" i="27"/>
  <c r="FK21" i="27"/>
  <c r="FL21" i="27"/>
  <c r="FM21" i="27"/>
  <c r="FN21" i="27"/>
  <c r="FO21" i="27"/>
  <c r="FP21" i="27"/>
  <c r="FQ21" i="27"/>
  <c r="FR21" i="27"/>
  <c r="FS21" i="27"/>
  <c r="FT21" i="27"/>
  <c r="FU21" i="27"/>
  <c r="FV21" i="27"/>
  <c r="FW21" i="27"/>
  <c r="FX21" i="27"/>
  <c r="FY21" i="27"/>
  <c r="FZ21" i="27"/>
  <c r="GA21" i="27"/>
  <c r="GB21" i="27"/>
  <c r="GC21" i="27"/>
  <c r="GD21" i="27"/>
  <c r="GE21" i="27"/>
  <c r="GF21" i="27"/>
  <c r="GG21" i="27"/>
  <c r="GH21" i="27"/>
  <c r="GI21" i="27"/>
  <c r="GJ21" i="27"/>
  <c r="GK21" i="27"/>
  <c r="GL21" i="27"/>
  <c r="GM21" i="27"/>
  <c r="GN21" i="27"/>
  <c r="GO21" i="27"/>
  <c r="GP21" i="27"/>
  <c r="GQ21" i="27"/>
  <c r="GR21" i="27"/>
  <c r="GS21" i="27"/>
  <c r="GT21" i="27"/>
  <c r="GU21" i="27"/>
  <c r="GV21" i="27"/>
  <c r="GW21" i="27"/>
  <c r="GX21" i="27"/>
  <c r="GY21" i="27"/>
  <c r="GZ21" i="27"/>
  <c r="HA21" i="27"/>
  <c r="HB21" i="27"/>
  <c r="HC21" i="27"/>
  <c r="HD21" i="27"/>
  <c r="HE21" i="27"/>
  <c r="HF21" i="27"/>
  <c r="HG21" i="27"/>
  <c r="HH21" i="27"/>
  <c r="HI21" i="27"/>
  <c r="HJ21" i="27"/>
  <c r="HK21" i="27"/>
  <c r="HL21" i="27"/>
  <c r="HM21" i="27"/>
  <c r="HN21" i="27"/>
  <c r="HO21" i="27"/>
  <c r="HP21" i="27"/>
  <c r="HQ21" i="27"/>
  <c r="HR21" i="27"/>
  <c r="HS21" i="27"/>
  <c r="HT21" i="27"/>
  <c r="HU21" i="27"/>
  <c r="HV21" i="27"/>
  <c r="HW21" i="27"/>
  <c r="HX21" i="27"/>
  <c r="HY21" i="27"/>
  <c r="HZ21" i="27"/>
  <c r="IA21" i="27"/>
  <c r="IB21" i="27"/>
  <c r="IC21" i="27"/>
  <c r="ID21" i="27"/>
  <c r="IE21" i="27"/>
  <c r="IF21" i="27"/>
  <c r="IG21" i="27"/>
  <c r="IH21" i="27"/>
  <c r="II21" i="27"/>
  <c r="IJ21" i="27"/>
  <c r="IK21" i="27"/>
  <c r="IL21" i="27"/>
  <c r="IM21" i="27"/>
  <c r="IN21" i="27"/>
  <c r="IO21" i="27"/>
  <c r="IP21" i="27"/>
  <c r="IQ21" i="27"/>
  <c r="IR21" i="27"/>
  <c r="IS21" i="27"/>
  <c r="IT21" i="27"/>
  <c r="IU21" i="27"/>
  <c r="IV21" i="27"/>
  <c r="A20" i="27"/>
  <c r="B20" i="27"/>
  <c r="C20" i="27"/>
  <c r="D20" i="27"/>
  <c r="E20" i="27"/>
  <c r="F20" i="27"/>
  <c r="G20" i="27"/>
  <c r="H20" i="27"/>
  <c r="I20" i="27"/>
  <c r="J20" i="27"/>
  <c r="K20" i="27"/>
  <c r="L20" i="27"/>
  <c r="M20" i="27"/>
  <c r="N20" i="27"/>
  <c r="O20" i="27"/>
  <c r="P20" i="27"/>
  <c r="Q20" i="27"/>
  <c r="R20" i="27"/>
  <c r="S20" i="27"/>
  <c r="T20" i="27"/>
  <c r="U20" i="27"/>
  <c r="V20" i="27"/>
  <c r="W20" i="27"/>
  <c r="X20" i="27"/>
  <c r="Y20" i="27"/>
  <c r="Z20" i="27"/>
  <c r="AA20" i="27"/>
  <c r="AB20" i="27"/>
  <c r="AC20" i="27"/>
  <c r="AD20" i="27"/>
  <c r="AE20" i="27"/>
  <c r="AF20" i="27"/>
  <c r="AG20" i="27"/>
  <c r="AH20" i="27"/>
  <c r="AI20" i="27"/>
  <c r="AJ20" i="27"/>
  <c r="AK20" i="27"/>
  <c r="AL20" i="27"/>
  <c r="AM20" i="27"/>
  <c r="AN20" i="27"/>
  <c r="AO20" i="27"/>
  <c r="AP20" i="27"/>
  <c r="AQ20" i="27"/>
  <c r="AR20" i="27"/>
  <c r="AS20" i="27"/>
  <c r="AT20" i="27"/>
  <c r="AU20" i="27"/>
  <c r="AV20" i="27"/>
  <c r="AW20" i="27"/>
  <c r="AX20" i="27"/>
  <c r="AY20" i="27"/>
  <c r="AZ20" i="27"/>
  <c r="BA20" i="27"/>
  <c r="BB20" i="27"/>
  <c r="BC20" i="27"/>
  <c r="BD20" i="27"/>
  <c r="BE20" i="27"/>
  <c r="BF20" i="27"/>
  <c r="BG20" i="27"/>
  <c r="BH20" i="27"/>
  <c r="BI20" i="27"/>
  <c r="BJ20" i="27"/>
  <c r="BK20" i="27"/>
  <c r="BL20" i="27"/>
  <c r="BM20" i="27"/>
  <c r="BN20" i="27"/>
  <c r="BO20" i="27"/>
  <c r="BP20" i="27"/>
  <c r="BQ20" i="27"/>
  <c r="BR20" i="27"/>
  <c r="BS20" i="27"/>
  <c r="BT20" i="27"/>
  <c r="BU20" i="27"/>
  <c r="BV20" i="27"/>
  <c r="BW20" i="27"/>
  <c r="BX20" i="27"/>
  <c r="BY20" i="27"/>
  <c r="BZ20" i="27"/>
  <c r="CA20" i="27"/>
  <c r="CB20" i="27"/>
  <c r="CC20" i="27"/>
  <c r="CD20" i="27"/>
  <c r="CE20" i="27"/>
  <c r="CF20" i="27"/>
  <c r="CG20" i="27"/>
  <c r="CH20" i="27"/>
  <c r="CI20" i="27"/>
  <c r="CJ20" i="27"/>
  <c r="CK20" i="27"/>
  <c r="CL20" i="27"/>
  <c r="CM20" i="27"/>
  <c r="CN20" i="27"/>
  <c r="CO20" i="27"/>
  <c r="CP20" i="27"/>
  <c r="CQ20" i="27"/>
  <c r="CR20" i="27"/>
  <c r="CS20" i="27"/>
  <c r="CT20" i="27"/>
  <c r="CU20" i="27"/>
  <c r="CV20" i="27"/>
  <c r="CW20" i="27"/>
  <c r="CX20" i="27"/>
  <c r="CY20" i="27"/>
  <c r="CZ20" i="27"/>
  <c r="DA20" i="27"/>
  <c r="DB20" i="27"/>
  <c r="DC20" i="27"/>
  <c r="DD20" i="27"/>
  <c r="DE20" i="27"/>
  <c r="DF20" i="27"/>
  <c r="DG20" i="27"/>
  <c r="DH20" i="27"/>
  <c r="DI20" i="27"/>
  <c r="DJ20" i="27"/>
  <c r="DK20" i="27"/>
  <c r="DL20" i="27"/>
  <c r="DM20" i="27"/>
  <c r="DN20" i="27"/>
  <c r="DO20" i="27"/>
  <c r="DP20" i="27"/>
  <c r="DQ20" i="27"/>
  <c r="DR20" i="27"/>
  <c r="DS20" i="27"/>
  <c r="DT20" i="27"/>
  <c r="DU20" i="27"/>
  <c r="DV20" i="27"/>
  <c r="DW20" i="27"/>
  <c r="DX20" i="27"/>
  <c r="DY20" i="27"/>
  <c r="DZ20" i="27"/>
  <c r="EA20" i="27"/>
  <c r="EB20" i="27"/>
  <c r="EC20" i="27"/>
  <c r="ED20" i="27"/>
  <c r="EE20" i="27"/>
  <c r="EF20" i="27"/>
  <c r="EG20" i="27"/>
  <c r="EH20" i="27"/>
  <c r="EI20" i="27"/>
  <c r="EJ20" i="27"/>
  <c r="EK20" i="27"/>
  <c r="EL20" i="27"/>
  <c r="EM20" i="27"/>
  <c r="EN20" i="27"/>
  <c r="EO20" i="27"/>
  <c r="EP20" i="27"/>
  <c r="EQ20" i="27"/>
  <c r="ER20" i="27"/>
  <c r="ES20" i="27"/>
  <c r="ET20" i="27"/>
  <c r="EU20" i="27"/>
  <c r="EV20" i="27"/>
  <c r="EW20" i="27"/>
  <c r="EX20" i="27"/>
  <c r="EY20" i="27"/>
  <c r="EZ20" i="27"/>
  <c r="FA20" i="27"/>
  <c r="FB20" i="27"/>
  <c r="FC20" i="27"/>
  <c r="FD20" i="27"/>
  <c r="FE20" i="27"/>
  <c r="FF20" i="27"/>
  <c r="FG20" i="27"/>
  <c r="FH20" i="27"/>
  <c r="FI20" i="27"/>
  <c r="FJ20" i="27"/>
  <c r="FK20" i="27"/>
  <c r="FL20" i="27"/>
  <c r="FM20" i="27"/>
  <c r="FN20" i="27"/>
  <c r="FO20" i="27"/>
  <c r="FP20" i="27"/>
  <c r="FQ20" i="27"/>
  <c r="FR20" i="27"/>
  <c r="FS20" i="27"/>
  <c r="FT20" i="27"/>
  <c r="FU20" i="27"/>
  <c r="FV20" i="27"/>
  <c r="FW20" i="27"/>
  <c r="FX20" i="27"/>
  <c r="FY20" i="27"/>
  <c r="FZ20" i="27"/>
  <c r="GA20" i="27"/>
  <c r="GB20" i="27"/>
  <c r="GC20" i="27"/>
  <c r="GD20" i="27"/>
  <c r="GE20" i="27"/>
  <c r="GF20" i="27"/>
  <c r="GG20" i="27"/>
  <c r="GH20" i="27"/>
  <c r="GI20" i="27"/>
  <c r="GJ20" i="27"/>
  <c r="GK20" i="27"/>
  <c r="GL20" i="27"/>
  <c r="GM20" i="27"/>
  <c r="GN20" i="27"/>
  <c r="GO20" i="27"/>
  <c r="GP20" i="27"/>
  <c r="GQ20" i="27"/>
  <c r="GR20" i="27"/>
  <c r="GS20" i="27"/>
  <c r="GT20" i="27"/>
  <c r="GU20" i="27"/>
  <c r="GV20" i="27"/>
  <c r="GW20" i="27"/>
  <c r="GX20" i="27"/>
  <c r="GY20" i="27"/>
  <c r="GZ20" i="27"/>
  <c r="HA20" i="27"/>
  <c r="HD20" i="27"/>
  <c r="HE20" i="27"/>
  <c r="HF20" i="27"/>
  <c r="HG20" i="27"/>
  <c r="HH20" i="27"/>
  <c r="HK20" i="27"/>
  <c r="HL20" i="27"/>
  <c r="HM20" i="27"/>
  <c r="HN20" i="27"/>
  <c r="HO20" i="27"/>
  <c r="HP20" i="27"/>
  <c r="HQ20" i="27"/>
  <c r="HR20" i="27"/>
  <c r="HS20" i="27"/>
  <c r="HT20" i="27"/>
  <c r="HU20" i="27"/>
  <c r="HV20" i="27"/>
  <c r="HW20" i="27"/>
  <c r="HX20" i="27"/>
  <c r="HY20" i="27"/>
  <c r="HZ20" i="27"/>
  <c r="IA20" i="27"/>
  <c r="IB20" i="27"/>
  <c r="IC20" i="27"/>
  <c r="ID20" i="27"/>
  <c r="IE20" i="27"/>
  <c r="IF20" i="27"/>
  <c r="IG20" i="27"/>
  <c r="IH20" i="27"/>
  <c r="II20" i="27"/>
  <c r="IJ20" i="27"/>
  <c r="IK20" i="27"/>
  <c r="IL20" i="27"/>
  <c r="IM20" i="27"/>
  <c r="IN20" i="27"/>
  <c r="IO20" i="27"/>
  <c r="IP20" i="27"/>
  <c r="IQ20" i="27"/>
  <c r="IR20" i="27"/>
  <c r="IS20" i="27"/>
  <c r="IT20" i="27"/>
  <c r="IU20" i="27"/>
  <c r="IV20" i="27"/>
  <c r="A19" i="27"/>
  <c r="B19" i="27"/>
  <c r="C19" i="27"/>
  <c r="D19" i="27"/>
  <c r="E19" i="27"/>
  <c r="F19" i="27"/>
  <c r="G19" i="27"/>
  <c r="H19" i="27"/>
  <c r="I19" i="27"/>
  <c r="J19" i="27"/>
  <c r="K19" i="27"/>
  <c r="L19" i="27"/>
  <c r="M19" i="27"/>
  <c r="N19" i="27"/>
  <c r="O19" i="27"/>
  <c r="P19" i="27"/>
  <c r="Q19" i="27"/>
  <c r="R19" i="27"/>
  <c r="S19" i="27"/>
  <c r="T19" i="27"/>
  <c r="U19" i="27"/>
  <c r="V19" i="27"/>
  <c r="W19" i="27"/>
  <c r="X19" i="27"/>
  <c r="Y19" i="27"/>
  <c r="Z19" i="27"/>
  <c r="AA19" i="27"/>
  <c r="AB19" i="27"/>
  <c r="AC19" i="27"/>
  <c r="AD19" i="27"/>
  <c r="AE19" i="27"/>
  <c r="AF19" i="27"/>
  <c r="AG19" i="27"/>
  <c r="AH19" i="27"/>
  <c r="AI19" i="27"/>
  <c r="AJ19" i="27"/>
  <c r="AK19" i="27"/>
  <c r="AL19" i="27"/>
  <c r="AM19" i="27"/>
  <c r="AN19" i="27"/>
  <c r="AO19" i="27"/>
  <c r="AP19" i="27"/>
  <c r="AQ19" i="27"/>
  <c r="AR19" i="27"/>
  <c r="AS19" i="27"/>
  <c r="AT19" i="27"/>
  <c r="AU19" i="27"/>
  <c r="AV19" i="27"/>
  <c r="AW19" i="27"/>
  <c r="AX19" i="27"/>
  <c r="AY19" i="27"/>
  <c r="AZ19" i="27"/>
  <c r="BA19" i="27"/>
  <c r="BB19" i="27"/>
  <c r="BC19" i="27"/>
  <c r="BD19" i="27"/>
  <c r="BE19" i="27"/>
  <c r="BF19" i="27"/>
  <c r="BG19" i="27"/>
  <c r="BH19" i="27"/>
  <c r="BI19" i="27"/>
  <c r="BJ19" i="27"/>
  <c r="BK19" i="27"/>
  <c r="BL19" i="27"/>
  <c r="BM19" i="27"/>
  <c r="BN19" i="27"/>
  <c r="BO19" i="27"/>
  <c r="BP19" i="27"/>
  <c r="BQ19" i="27"/>
  <c r="BR19" i="27"/>
  <c r="BS19" i="27"/>
  <c r="BT19" i="27"/>
  <c r="BU19" i="27"/>
  <c r="BV19" i="27"/>
  <c r="BW19" i="27"/>
  <c r="BX19" i="27"/>
  <c r="BY19" i="27"/>
  <c r="BZ19" i="27"/>
  <c r="CA19" i="27"/>
  <c r="CB19" i="27"/>
  <c r="CC19" i="27"/>
  <c r="CD19" i="27"/>
  <c r="CE19" i="27"/>
  <c r="CF19" i="27"/>
  <c r="CG19" i="27"/>
  <c r="CH19" i="27"/>
  <c r="CI19" i="27"/>
  <c r="CJ19" i="27"/>
  <c r="CK19" i="27"/>
  <c r="CL19" i="27"/>
  <c r="CM19" i="27"/>
  <c r="CN19" i="27"/>
  <c r="CO19" i="27"/>
  <c r="CP19" i="27"/>
  <c r="CQ19" i="27"/>
  <c r="CR19" i="27"/>
  <c r="CS19" i="27"/>
  <c r="CT19" i="27"/>
  <c r="CU19" i="27"/>
  <c r="CV19" i="27"/>
  <c r="CW19" i="27"/>
  <c r="CX19" i="27"/>
  <c r="CY19" i="27"/>
  <c r="CZ19" i="27"/>
  <c r="DA19" i="27"/>
  <c r="DB19" i="27"/>
  <c r="DC19" i="27"/>
  <c r="DD19" i="27"/>
  <c r="DE19" i="27"/>
  <c r="DF19" i="27"/>
  <c r="DG19" i="27"/>
  <c r="DH19" i="27"/>
  <c r="DI19" i="27"/>
  <c r="DJ19" i="27"/>
  <c r="DK19" i="27"/>
  <c r="DL19" i="27"/>
  <c r="DM19" i="27"/>
  <c r="DN19" i="27"/>
  <c r="DO19" i="27"/>
  <c r="DP19" i="27"/>
  <c r="DQ19" i="27"/>
  <c r="DR19" i="27"/>
  <c r="DS19" i="27"/>
  <c r="DT19" i="27"/>
  <c r="DU19" i="27"/>
  <c r="DV19" i="27"/>
  <c r="DW19" i="27"/>
  <c r="DX19" i="27"/>
  <c r="DY19" i="27"/>
  <c r="DZ19" i="27"/>
  <c r="EA19" i="27"/>
  <c r="EB19" i="27"/>
  <c r="EC19" i="27"/>
  <c r="ED19" i="27"/>
  <c r="EE19" i="27"/>
  <c r="EF19" i="27"/>
  <c r="EG19" i="27"/>
  <c r="EH19" i="27"/>
  <c r="EI19" i="27"/>
  <c r="EJ19" i="27"/>
  <c r="EK19" i="27"/>
  <c r="EL19" i="27"/>
  <c r="EM19" i="27"/>
  <c r="EN19" i="27"/>
  <c r="EO19" i="27"/>
  <c r="EP19" i="27"/>
  <c r="EQ19" i="27"/>
  <c r="ER19" i="27"/>
  <c r="ES19" i="27"/>
  <c r="ET19" i="27"/>
  <c r="EU19" i="27"/>
  <c r="EV19" i="27"/>
  <c r="EW19" i="27"/>
  <c r="EX19" i="27"/>
  <c r="EY19" i="27"/>
  <c r="EZ19" i="27"/>
  <c r="FA19" i="27"/>
  <c r="FB19" i="27"/>
  <c r="FC19" i="27"/>
  <c r="FD19" i="27"/>
  <c r="FE19" i="27"/>
  <c r="FF19" i="27"/>
  <c r="FG19" i="27"/>
  <c r="FH19" i="27"/>
  <c r="FI19" i="27"/>
  <c r="FJ19" i="27"/>
  <c r="FK19" i="27"/>
  <c r="FL19" i="27"/>
  <c r="FM19" i="27"/>
  <c r="FN19" i="27"/>
  <c r="FO19" i="27"/>
  <c r="FP19" i="27"/>
  <c r="FQ19" i="27"/>
  <c r="FR19" i="27"/>
  <c r="FS19" i="27"/>
  <c r="FT19" i="27"/>
  <c r="FU19" i="27"/>
  <c r="FV19" i="27"/>
  <c r="FW19" i="27"/>
  <c r="FX19" i="27"/>
  <c r="FY19" i="27"/>
  <c r="FZ19" i="27"/>
  <c r="GA19" i="27"/>
  <c r="GB19" i="27"/>
  <c r="GC19" i="27"/>
  <c r="GD19" i="27"/>
  <c r="GE19" i="27"/>
  <c r="GF19" i="27"/>
  <c r="GG19" i="27"/>
  <c r="GH19" i="27"/>
  <c r="GI19" i="27"/>
  <c r="GJ19" i="27"/>
  <c r="GK19" i="27"/>
  <c r="GL19" i="27"/>
  <c r="GM19" i="27"/>
  <c r="GN19" i="27"/>
  <c r="GO19" i="27"/>
  <c r="GP19" i="27"/>
  <c r="GQ19" i="27"/>
  <c r="GR19" i="27"/>
  <c r="GS19" i="27"/>
  <c r="GT19" i="27"/>
  <c r="GU19" i="27"/>
  <c r="GV19" i="27"/>
  <c r="GW19" i="27"/>
  <c r="GX19" i="27"/>
  <c r="GY19" i="27"/>
  <c r="GZ19" i="27"/>
  <c r="HA19" i="27"/>
  <c r="HB19" i="27"/>
  <c r="HC19" i="27"/>
  <c r="HD19" i="27"/>
  <c r="HE19" i="27"/>
  <c r="HF19" i="27"/>
  <c r="HG19" i="27"/>
  <c r="HH19" i="27"/>
  <c r="HI19" i="27"/>
  <c r="HJ19" i="27"/>
  <c r="HK19" i="27"/>
  <c r="HL19" i="27"/>
  <c r="HM19" i="27"/>
  <c r="HN19" i="27"/>
  <c r="HO19" i="27"/>
  <c r="HP19" i="27"/>
  <c r="HQ19" i="27"/>
  <c r="HR19" i="27"/>
  <c r="HS19" i="27"/>
  <c r="HT19" i="27"/>
  <c r="HU19" i="27"/>
  <c r="HV19" i="27"/>
  <c r="HW19" i="27"/>
  <c r="HX19" i="27"/>
  <c r="HY19" i="27"/>
  <c r="HZ19" i="27"/>
  <c r="IA19" i="27"/>
  <c r="IB19" i="27"/>
  <c r="IC19" i="27"/>
  <c r="ID19" i="27"/>
  <c r="IE19" i="27"/>
  <c r="IF19" i="27"/>
  <c r="IG19" i="27"/>
  <c r="IH19" i="27"/>
  <c r="II19" i="27"/>
  <c r="IJ19" i="27"/>
  <c r="IK19" i="27"/>
  <c r="IL19" i="27"/>
  <c r="IM19" i="27"/>
  <c r="IN19" i="27"/>
  <c r="IO19" i="27"/>
  <c r="IP19" i="27"/>
  <c r="IQ19" i="27"/>
  <c r="IR19" i="27"/>
  <c r="IS19" i="27"/>
  <c r="IT19" i="27"/>
  <c r="IU19" i="27"/>
  <c r="IV19" i="27"/>
  <c r="A18" i="27"/>
  <c r="B18" i="27"/>
  <c r="C18" i="27"/>
  <c r="D18" i="27"/>
  <c r="E18" i="27"/>
  <c r="F18" i="27"/>
  <c r="G18" i="27"/>
  <c r="H18" i="27"/>
  <c r="I18" i="27"/>
  <c r="J18" i="27"/>
  <c r="K18" i="27"/>
  <c r="L18" i="27"/>
  <c r="M18" i="27"/>
  <c r="N18" i="27"/>
  <c r="O18" i="27"/>
  <c r="P18" i="27"/>
  <c r="Q18" i="27"/>
  <c r="R18" i="27"/>
  <c r="S18" i="27"/>
  <c r="T18" i="27"/>
  <c r="U18" i="27"/>
  <c r="V18" i="27"/>
  <c r="W18" i="27"/>
  <c r="X18" i="27"/>
  <c r="Y18" i="27"/>
  <c r="Z18" i="27"/>
  <c r="AA18" i="27"/>
  <c r="AB18" i="27"/>
  <c r="AC18" i="27"/>
  <c r="AD18" i="27"/>
  <c r="AE18" i="27"/>
  <c r="AF18" i="27"/>
  <c r="AG18" i="27"/>
  <c r="AH18" i="27"/>
  <c r="AI18" i="27"/>
  <c r="AJ18" i="27"/>
  <c r="AK18" i="27"/>
  <c r="AL18" i="27"/>
  <c r="AM18" i="27"/>
  <c r="AN18" i="27"/>
  <c r="AO18" i="27"/>
  <c r="AP18" i="27"/>
  <c r="AQ18" i="27"/>
  <c r="AR18" i="27"/>
  <c r="AS18" i="27"/>
  <c r="AT18" i="27"/>
  <c r="AU18" i="27"/>
  <c r="AV18" i="27"/>
  <c r="AW18" i="27"/>
  <c r="AX18" i="27"/>
  <c r="AY18" i="27"/>
  <c r="AZ18" i="27"/>
  <c r="BA18" i="27"/>
  <c r="BB18" i="27"/>
  <c r="BC18" i="27"/>
  <c r="BD18" i="27"/>
  <c r="BE18" i="27"/>
  <c r="BF18" i="27"/>
  <c r="BG18" i="27"/>
  <c r="BH18" i="27"/>
  <c r="BI18" i="27"/>
  <c r="BJ18" i="27"/>
  <c r="BK18" i="27"/>
  <c r="BL18" i="27"/>
  <c r="BM18" i="27"/>
  <c r="BN18" i="27"/>
  <c r="BO18" i="27"/>
  <c r="BP18" i="27"/>
  <c r="BQ18" i="27"/>
  <c r="BR18" i="27"/>
  <c r="BS18" i="27"/>
  <c r="BT18" i="27"/>
  <c r="BU18" i="27"/>
  <c r="BV18" i="27"/>
  <c r="BW18" i="27"/>
  <c r="BX18" i="27"/>
  <c r="BY18" i="27"/>
  <c r="BZ18" i="27"/>
  <c r="CA18" i="27"/>
  <c r="CB18" i="27"/>
  <c r="CC18" i="27"/>
  <c r="CD18" i="27"/>
  <c r="CE18" i="27"/>
  <c r="CF18" i="27"/>
  <c r="CG18" i="27"/>
  <c r="CH18" i="27"/>
  <c r="CI18" i="27"/>
  <c r="CJ18" i="27"/>
  <c r="CK18" i="27"/>
  <c r="CL18" i="27"/>
  <c r="CM18" i="27"/>
  <c r="CN18" i="27"/>
  <c r="CO18" i="27"/>
  <c r="CP18" i="27"/>
  <c r="CQ18" i="27"/>
  <c r="CR18" i="27"/>
  <c r="CS18" i="27"/>
  <c r="CT18" i="27"/>
  <c r="CU18" i="27"/>
  <c r="CV18" i="27"/>
  <c r="CW18" i="27"/>
  <c r="CX18" i="27"/>
  <c r="CY18" i="27"/>
  <c r="CZ18" i="27"/>
  <c r="DA18" i="27"/>
  <c r="DB18" i="27"/>
  <c r="DC18" i="27"/>
  <c r="DD18" i="27"/>
  <c r="DE18" i="27"/>
  <c r="DF18" i="27"/>
  <c r="DG18" i="27"/>
  <c r="DH18" i="27"/>
  <c r="DI18" i="27"/>
  <c r="DJ18" i="27"/>
  <c r="DK18" i="27"/>
  <c r="DL18" i="27"/>
  <c r="DM18" i="27"/>
  <c r="DN18" i="27"/>
  <c r="DO18" i="27"/>
  <c r="DP18" i="27"/>
  <c r="DS18" i="27"/>
  <c r="DT18" i="27"/>
  <c r="DU18" i="27"/>
  <c r="DV18" i="27"/>
  <c r="DW18" i="27"/>
  <c r="DZ18" i="27"/>
  <c r="EA18" i="27"/>
  <c r="EB18" i="27"/>
  <c r="EC18" i="27"/>
  <c r="ED18" i="27"/>
  <c r="EE18" i="27"/>
  <c r="EF18" i="27"/>
  <c r="EG18" i="27"/>
  <c r="EH18" i="27"/>
  <c r="EI18" i="27"/>
  <c r="EJ18" i="27"/>
  <c r="EK18" i="27"/>
  <c r="EL18" i="27"/>
  <c r="EM18" i="27"/>
  <c r="EN18" i="27"/>
  <c r="EO18" i="27"/>
  <c r="EP18" i="27"/>
  <c r="EQ18" i="27"/>
  <c r="ER18" i="27"/>
  <c r="ES18" i="27"/>
  <c r="ET18" i="27"/>
  <c r="EU18" i="27"/>
  <c r="EV18" i="27"/>
  <c r="EW18" i="27"/>
  <c r="EX18" i="27"/>
  <c r="EY18" i="27"/>
  <c r="EZ18" i="27"/>
  <c r="FA18" i="27"/>
  <c r="FB18" i="27"/>
  <c r="FC18" i="27"/>
  <c r="FD18" i="27"/>
  <c r="FE18" i="27"/>
  <c r="FF18" i="27"/>
  <c r="FG18" i="27"/>
  <c r="FH18" i="27"/>
  <c r="FI18" i="27"/>
  <c r="FJ18" i="27"/>
  <c r="FK18" i="27"/>
  <c r="FL18" i="27"/>
  <c r="FM18" i="27"/>
  <c r="FN18" i="27"/>
  <c r="FO18" i="27"/>
  <c r="FP18" i="27"/>
  <c r="FQ18" i="27"/>
  <c r="FR18" i="27"/>
  <c r="FS18" i="27"/>
  <c r="FT18" i="27"/>
  <c r="FU18" i="27"/>
  <c r="FV18" i="27"/>
  <c r="FW18" i="27"/>
  <c r="FX18" i="27"/>
  <c r="FY18" i="27"/>
  <c r="FZ18" i="27"/>
  <c r="GA18" i="27"/>
  <c r="GB18" i="27"/>
  <c r="GC18" i="27"/>
  <c r="GD18" i="27"/>
  <c r="GE18" i="27"/>
  <c r="GF18" i="27"/>
  <c r="GG18" i="27"/>
  <c r="GH18" i="27"/>
  <c r="GI18" i="27"/>
  <c r="GJ18" i="27"/>
  <c r="GK18" i="27"/>
  <c r="GL18" i="27"/>
  <c r="GM18" i="27"/>
  <c r="GN18" i="27"/>
  <c r="GO18" i="27"/>
  <c r="GP18" i="27"/>
  <c r="GQ18" i="27"/>
  <c r="GR18" i="27"/>
  <c r="GS18" i="27"/>
  <c r="GT18" i="27"/>
  <c r="GU18" i="27"/>
  <c r="GV18" i="27"/>
  <c r="GW18" i="27"/>
  <c r="GX18" i="27"/>
  <c r="GY18" i="27"/>
  <c r="GZ18" i="27"/>
  <c r="HA18" i="27"/>
  <c r="HB18" i="27"/>
  <c r="HC18" i="27"/>
  <c r="HD18" i="27"/>
  <c r="HE18" i="27"/>
  <c r="HF18" i="27"/>
  <c r="HG18" i="27"/>
  <c r="HH18" i="27"/>
  <c r="HI18" i="27"/>
  <c r="HJ18" i="27"/>
  <c r="HK18" i="27"/>
  <c r="HL18" i="27"/>
  <c r="HM18" i="27"/>
  <c r="HN18" i="27"/>
  <c r="HO18" i="27"/>
  <c r="HP18" i="27"/>
  <c r="HQ18" i="27"/>
  <c r="HR18" i="27"/>
  <c r="HS18" i="27"/>
  <c r="HT18" i="27"/>
  <c r="HU18" i="27"/>
  <c r="HV18" i="27"/>
  <c r="HW18" i="27"/>
  <c r="HX18" i="27"/>
  <c r="HY18" i="27"/>
  <c r="HZ18" i="27"/>
  <c r="IA18" i="27"/>
  <c r="IB18" i="27"/>
  <c r="IC18" i="27"/>
  <c r="ID18" i="27"/>
  <c r="IE18" i="27"/>
  <c r="IF18" i="27"/>
  <c r="IG18" i="27"/>
  <c r="IH18" i="27"/>
  <c r="II18" i="27"/>
  <c r="IJ18" i="27"/>
  <c r="IK18" i="27"/>
  <c r="IL18" i="27"/>
  <c r="IM18" i="27"/>
  <c r="IN18" i="27"/>
  <c r="IO18" i="27"/>
  <c r="IP18" i="27"/>
  <c r="IQ18" i="27"/>
  <c r="IR18" i="27"/>
  <c r="IS18" i="27"/>
  <c r="IT18" i="27"/>
  <c r="IU18" i="27"/>
  <c r="IV18" i="27"/>
  <c r="A17" i="27"/>
  <c r="B17" i="27"/>
  <c r="C17" i="27"/>
  <c r="D17" i="27"/>
  <c r="E17" i="27"/>
  <c r="F17" i="27"/>
  <c r="G17" i="27"/>
  <c r="H17" i="27"/>
  <c r="I17" i="27"/>
  <c r="J17" i="27"/>
  <c r="K17" i="27"/>
  <c r="L17" i="27"/>
  <c r="M17" i="27"/>
  <c r="N17" i="27"/>
  <c r="O17" i="27"/>
  <c r="P17" i="27"/>
  <c r="Q17" i="27"/>
  <c r="R17" i="27"/>
  <c r="S17" i="27"/>
  <c r="T17" i="27"/>
  <c r="U17" i="27"/>
  <c r="V17" i="27"/>
  <c r="W17" i="27"/>
  <c r="X17" i="27"/>
  <c r="Y17" i="27"/>
  <c r="Z17" i="27"/>
  <c r="AA17" i="27"/>
  <c r="AB17" i="27"/>
  <c r="AC17" i="27"/>
  <c r="AD17" i="27"/>
  <c r="AE17" i="27"/>
  <c r="AF17" i="27"/>
  <c r="AG17" i="27"/>
  <c r="AH17" i="27"/>
  <c r="AI17" i="27"/>
  <c r="AJ17" i="27"/>
  <c r="AK17" i="27"/>
  <c r="AL17" i="27"/>
  <c r="AM17" i="27"/>
  <c r="AN17" i="27"/>
  <c r="AO17" i="27"/>
  <c r="AP17" i="27"/>
  <c r="AQ17" i="27"/>
  <c r="AR17" i="27"/>
  <c r="AS17" i="27"/>
  <c r="AT17" i="27"/>
  <c r="AU17" i="27"/>
  <c r="AV17" i="27"/>
  <c r="AW17" i="27"/>
  <c r="AX17" i="27"/>
  <c r="AY17" i="27"/>
  <c r="AZ17" i="27"/>
  <c r="BA17" i="27"/>
  <c r="BB17" i="27"/>
  <c r="BC17" i="27"/>
  <c r="BD17" i="27"/>
  <c r="BE17" i="27"/>
  <c r="BF17" i="27"/>
  <c r="BG17" i="27"/>
  <c r="BH17" i="27"/>
  <c r="BI17" i="27"/>
  <c r="BJ17" i="27"/>
  <c r="BK17" i="27"/>
  <c r="BL17" i="27"/>
  <c r="BM17" i="27"/>
  <c r="BN17" i="27"/>
  <c r="BO17" i="27"/>
  <c r="BP17" i="27"/>
  <c r="BQ17" i="27"/>
  <c r="BR17" i="27"/>
  <c r="BS17" i="27"/>
  <c r="BT17" i="27"/>
  <c r="BU17" i="27"/>
  <c r="BV17" i="27"/>
  <c r="BW17" i="27"/>
  <c r="BX17" i="27"/>
  <c r="BY17" i="27"/>
  <c r="BZ17" i="27"/>
  <c r="CA17" i="27"/>
  <c r="CB17" i="27"/>
  <c r="CC17" i="27"/>
  <c r="CD17" i="27"/>
  <c r="CE17" i="27"/>
  <c r="CF17" i="27"/>
  <c r="CG17" i="27"/>
  <c r="CH17" i="27"/>
  <c r="CI17" i="27"/>
  <c r="CJ17" i="27"/>
  <c r="CK17" i="27"/>
  <c r="CL17" i="27"/>
  <c r="CM17" i="27"/>
  <c r="CN17" i="27"/>
  <c r="CO17" i="27"/>
  <c r="CP17" i="27"/>
  <c r="CQ17" i="27"/>
  <c r="CR17" i="27"/>
  <c r="CS17" i="27"/>
  <c r="CT17" i="27"/>
  <c r="CU17" i="27"/>
  <c r="CV17" i="27"/>
  <c r="CW17" i="27"/>
  <c r="CX17" i="27"/>
  <c r="CY17" i="27"/>
  <c r="CZ17" i="27"/>
  <c r="DA17" i="27"/>
  <c r="DB17" i="27"/>
  <c r="DC17" i="27"/>
  <c r="DD17" i="27"/>
  <c r="DE17" i="27"/>
  <c r="DF17" i="27"/>
  <c r="DG17" i="27"/>
  <c r="DH17" i="27"/>
  <c r="DI17" i="27"/>
  <c r="DJ17" i="27"/>
  <c r="DK17" i="27"/>
  <c r="DL17" i="27"/>
  <c r="DM17" i="27"/>
  <c r="DN17" i="27"/>
  <c r="DO17" i="27"/>
  <c r="DP17" i="27"/>
  <c r="DQ17" i="27"/>
  <c r="DR17" i="27"/>
  <c r="DS17" i="27"/>
  <c r="DT17" i="27"/>
  <c r="DU17" i="27"/>
  <c r="DV17" i="27"/>
  <c r="DW17" i="27"/>
  <c r="DX17" i="27"/>
  <c r="DY17" i="27"/>
  <c r="DZ17" i="27"/>
  <c r="EA17" i="27"/>
  <c r="EB17" i="27"/>
  <c r="EC17" i="27"/>
  <c r="ED17" i="27"/>
  <c r="EE17" i="27"/>
  <c r="EF17" i="27"/>
  <c r="EG17" i="27"/>
  <c r="EH17" i="27"/>
  <c r="EI17" i="27"/>
  <c r="EJ17" i="27"/>
  <c r="EK17" i="27"/>
  <c r="EL17" i="27"/>
  <c r="EM17" i="27"/>
  <c r="EN17" i="27"/>
  <c r="EO17" i="27"/>
  <c r="EP17" i="27"/>
  <c r="EQ17" i="27"/>
  <c r="ER17" i="27"/>
  <c r="ES17" i="27"/>
  <c r="ET17" i="27"/>
  <c r="EU17" i="27"/>
  <c r="EV17" i="27"/>
  <c r="EW17" i="27"/>
  <c r="EX17" i="27"/>
  <c r="EY17" i="27"/>
  <c r="EZ17" i="27"/>
  <c r="FA17" i="27"/>
  <c r="FB17" i="27"/>
  <c r="FC17" i="27"/>
  <c r="FD17" i="27"/>
  <c r="FE17" i="27"/>
  <c r="FF17" i="27"/>
  <c r="FG17" i="27"/>
  <c r="FH17" i="27"/>
  <c r="FI17" i="27"/>
  <c r="FJ17" i="27"/>
  <c r="FK17" i="27"/>
  <c r="FL17" i="27"/>
  <c r="FM17" i="27"/>
  <c r="FN17" i="27"/>
  <c r="FO17" i="27"/>
  <c r="FP17" i="27"/>
  <c r="FQ17" i="27"/>
  <c r="FR17" i="27"/>
  <c r="FS17" i="27"/>
  <c r="FT17" i="27"/>
  <c r="FU17" i="27"/>
  <c r="FV17" i="27"/>
  <c r="FW17" i="27"/>
  <c r="FX17" i="27"/>
  <c r="FY17" i="27"/>
  <c r="FZ17" i="27"/>
  <c r="GA17" i="27"/>
  <c r="GB17" i="27"/>
  <c r="GC17" i="27"/>
  <c r="GD17" i="27"/>
  <c r="GE17" i="27"/>
  <c r="GF17" i="27"/>
  <c r="GG17" i="27"/>
  <c r="GH17" i="27"/>
  <c r="GI17" i="27"/>
  <c r="GJ17" i="27"/>
  <c r="GK17" i="27"/>
  <c r="GL17" i="27"/>
  <c r="GM17" i="27"/>
  <c r="GN17" i="27"/>
  <c r="GO17" i="27"/>
  <c r="GP17" i="27"/>
  <c r="GQ17" i="27"/>
  <c r="GR17" i="27"/>
  <c r="GS17" i="27"/>
  <c r="GT17" i="27"/>
  <c r="GU17" i="27"/>
  <c r="GV17" i="27"/>
  <c r="GW17" i="27"/>
  <c r="GX17" i="27"/>
  <c r="GY17" i="27"/>
  <c r="GZ17" i="27"/>
  <c r="HA17" i="27"/>
  <c r="HB17" i="27"/>
  <c r="HC17" i="27"/>
  <c r="HD17" i="27"/>
  <c r="HE17" i="27"/>
  <c r="HF17" i="27"/>
  <c r="HG17" i="27"/>
  <c r="HH17" i="27"/>
  <c r="HI17" i="27"/>
  <c r="HJ17" i="27"/>
  <c r="HK17" i="27"/>
  <c r="HL17" i="27"/>
  <c r="HM17" i="27"/>
  <c r="HN17" i="27"/>
  <c r="HO17" i="27"/>
  <c r="HP17" i="27"/>
  <c r="HQ17" i="27"/>
  <c r="HR17" i="27"/>
  <c r="HS17" i="27"/>
  <c r="HT17" i="27"/>
  <c r="HU17" i="27"/>
  <c r="HV17" i="27"/>
  <c r="HW17" i="27"/>
  <c r="HX17" i="27"/>
  <c r="HY17" i="27"/>
  <c r="HZ17" i="27"/>
  <c r="IA17" i="27"/>
  <c r="IB17" i="27"/>
  <c r="IC17" i="27"/>
  <c r="ID17" i="27"/>
  <c r="IE17" i="27"/>
  <c r="IF17" i="27"/>
  <c r="IG17" i="27"/>
  <c r="IH17" i="27"/>
  <c r="II17" i="27"/>
  <c r="IJ17" i="27"/>
  <c r="IK17" i="27"/>
  <c r="IL17" i="27"/>
  <c r="IM17" i="27"/>
  <c r="IN17" i="27"/>
  <c r="IO17" i="27"/>
  <c r="IP17" i="27"/>
  <c r="IQ17" i="27"/>
  <c r="IR17" i="27"/>
  <c r="IS17" i="27"/>
  <c r="IT17" i="27"/>
  <c r="IU17" i="27"/>
  <c r="IV17" i="27"/>
  <c r="A16" i="27"/>
  <c r="B16" i="27"/>
  <c r="C16" i="27"/>
  <c r="D16" i="27"/>
  <c r="E16" i="27"/>
  <c r="F16" i="27"/>
  <c r="G16" i="27"/>
  <c r="H16" i="27"/>
  <c r="I16" i="27"/>
  <c r="J16" i="27"/>
  <c r="K16" i="27"/>
  <c r="L16" i="27"/>
  <c r="M16" i="27"/>
  <c r="N16" i="27"/>
  <c r="O16" i="27"/>
  <c r="P16" i="27"/>
  <c r="Q16" i="27"/>
  <c r="R16" i="27"/>
  <c r="S16" i="27"/>
  <c r="T16" i="27"/>
  <c r="U16" i="27"/>
  <c r="V16" i="27"/>
  <c r="W16" i="27"/>
  <c r="X16" i="27"/>
  <c r="Y16" i="27"/>
  <c r="Z16" i="27"/>
  <c r="AA16" i="27"/>
  <c r="AB16" i="27"/>
  <c r="AC16" i="27"/>
  <c r="AD16" i="27"/>
  <c r="AE16" i="27"/>
  <c r="AH16" i="27"/>
  <c r="AI16" i="27"/>
  <c r="AJ16" i="27"/>
  <c r="AK16" i="27"/>
  <c r="AL16" i="27"/>
  <c r="AO16" i="27"/>
  <c r="AP16" i="27"/>
  <c r="AQ16" i="27"/>
  <c r="AR16" i="27"/>
  <c r="AS16" i="27"/>
  <c r="AT16" i="27"/>
  <c r="AU16" i="27"/>
  <c r="AV16" i="27"/>
  <c r="AW16" i="27"/>
  <c r="AX16" i="27"/>
  <c r="AY16" i="27"/>
  <c r="AZ16" i="27"/>
  <c r="BA16" i="27"/>
  <c r="BB16" i="27"/>
  <c r="BC16" i="27"/>
  <c r="BD16" i="27"/>
  <c r="BE16" i="27"/>
  <c r="BF16" i="27"/>
  <c r="BG16" i="27"/>
  <c r="BH16" i="27"/>
  <c r="BI16" i="27"/>
  <c r="BJ16" i="27"/>
  <c r="BK16" i="27"/>
  <c r="BL16" i="27"/>
  <c r="BM16" i="27"/>
  <c r="BN16" i="27"/>
  <c r="BO16" i="27"/>
  <c r="BP16" i="27"/>
  <c r="BQ16" i="27"/>
  <c r="BR16" i="27"/>
  <c r="BS16" i="27"/>
  <c r="BT16" i="27"/>
  <c r="BU16" i="27"/>
  <c r="BV16" i="27"/>
  <c r="BW16" i="27"/>
  <c r="BX16" i="27"/>
  <c r="BY16" i="27"/>
  <c r="BZ16" i="27"/>
  <c r="CA16" i="27"/>
  <c r="CB16" i="27"/>
  <c r="CC16" i="27"/>
  <c r="CD16" i="27"/>
  <c r="CE16" i="27"/>
  <c r="CF16" i="27"/>
  <c r="CG16" i="27"/>
  <c r="CH16" i="27"/>
  <c r="CI16" i="27"/>
  <c r="CJ16" i="27"/>
  <c r="CK16" i="27"/>
  <c r="CL16" i="27"/>
  <c r="CM16" i="27"/>
  <c r="CN16" i="27"/>
  <c r="CO16" i="27"/>
  <c r="CP16" i="27"/>
  <c r="CQ16" i="27"/>
  <c r="CR16" i="27"/>
  <c r="CS16" i="27"/>
  <c r="CT16" i="27"/>
  <c r="CU16" i="27"/>
  <c r="CV16" i="27"/>
  <c r="CW16" i="27"/>
  <c r="CX16" i="27"/>
  <c r="CY16" i="27"/>
  <c r="CZ16" i="27"/>
  <c r="DA16" i="27"/>
  <c r="DB16" i="27"/>
  <c r="DC16" i="27"/>
  <c r="DD16" i="27"/>
  <c r="DE16" i="27"/>
  <c r="DF16" i="27"/>
  <c r="DG16" i="27"/>
  <c r="DH16" i="27"/>
  <c r="DI16" i="27"/>
  <c r="DJ16" i="27"/>
  <c r="DK16" i="27"/>
  <c r="DL16" i="27"/>
  <c r="DM16" i="27"/>
  <c r="DN16" i="27"/>
  <c r="DO16" i="27"/>
  <c r="DP16" i="27"/>
  <c r="DQ16" i="27"/>
  <c r="DR16" i="27"/>
  <c r="DS16" i="27"/>
  <c r="DT16" i="27"/>
  <c r="DU16" i="27"/>
  <c r="DV16" i="27"/>
  <c r="DW16" i="27"/>
  <c r="DX16" i="27"/>
  <c r="DY16" i="27"/>
  <c r="DZ16" i="27"/>
  <c r="EA16" i="27"/>
  <c r="EB16" i="27"/>
  <c r="EC16" i="27"/>
  <c r="ED16" i="27"/>
  <c r="EE16" i="27"/>
  <c r="EF16" i="27"/>
  <c r="EG16" i="27"/>
  <c r="EH16" i="27"/>
  <c r="EI16" i="27"/>
  <c r="EJ16" i="27"/>
  <c r="EK16" i="27"/>
  <c r="EL16" i="27"/>
  <c r="EM16" i="27"/>
  <c r="EN16" i="27"/>
  <c r="EO16" i="27"/>
  <c r="EP16" i="27"/>
  <c r="EQ16" i="27"/>
  <c r="ER16" i="27"/>
  <c r="ES16" i="27"/>
  <c r="ET16" i="27"/>
  <c r="EU16" i="27"/>
  <c r="EV16" i="27"/>
  <c r="EW16" i="27"/>
  <c r="EX16" i="27"/>
  <c r="EY16" i="27"/>
  <c r="EZ16" i="27"/>
  <c r="FA16" i="27"/>
  <c r="FB16" i="27"/>
  <c r="FC16" i="27"/>
  <c r="FD16" i="27"/>
  <c r="FE16" i="27"/>
  <c r="FF16" i="27"/>
  <c r="FG16" i="27"/>
  <c r="FH16" i="27"/>
  <c r="FI16" i="27"/>
  <c r="FJ16" i="27"/>
  <c r="FK16" i="27"/>
  <c r="FL16" i="27"/>
  <c r="FM16" i="27"/>
  <c r="FN16" i="27"/>
  <c r="FO16" i="27"/>
  <c r="FP16" i="27"/>
  <c r="FQ16" i="27"/>
  <c r="FR16" i="27"/>
  <c r="FS16" i="27"/>
  <c r="FT16" i="27"/>
  <c r="FU16" i="27"/>
  <c r="FV16" i="27"/>
  <c r="FW16" i="27"/>
  <c r="FX16" i="27"/>
  <c r="FY16" i="27"/>
  <c r="FZ16" i="27"/>
  <c r="GA16" i="27"/>
  <c r="GB16" i="27"/>
  <c r="GC16" i="27"/>
  <c r="GD16" i="27"/>
  <c r="GE16" i="27"/>
  <c r="GF16" i="27"/>
  <c r="GG16" i="27"/>
  <c r="GH16" i="27"/>
  <c r="GI16" i="27"/>
  <c r="GJ16" i="27"/>
  <c r="GK16" i="27"/>
  <c r="GL16" i="27"/>
  <c r="GM16" i="27"/>
  <c r="GN16" i="27"/>
  <c r="GO16" i="27"/>
  <c r="GP16" i="27"/>
  <c r="GQ16" i="27"/>
  <c r="GR16" i="27"/>
  <c r="GS16" i="27"/>
  <c r="GT16" i="27"/>
  <c r="GU16" i="27"/>
  <c r="GV16" i="27"/>
  <c r="GW16" i="27"/>
  <c r="GX16" i="27"/>
  <c r="GY16" i="27"/>
  <c r="GZ16" i="27"/>
  <c r="HA16" i="27"/>
  <c r="HB16" i="27"/>
  <c r="HC16" i="27"/>
  <c r="HD16" i="27"/>
  <c r="HE16" i="27"/>
  <c r="HF16" i="27"/>
  <c r="HG16" i="27"/>
  <c r="HH16" i="27"/>
  <c r="HI16" i="27"/>
  <c r="HJ16" i="27"/>
  <c r="HK16" i="27"/>
  <c r="HL16" i="27"/>
  <c r="HM16" i="27"/>
  <c r="HN16" i="27"/>
  <c r="HO16" i="27"/>
  <c r="HP16" i="27"/>
  <c r="HQ16" i="27"/>
  <c r="HR16" i="27"/>
  <c r="HS16" i="27"/>
  <c r="HT16" i="27"/>
  <c r="HU16" i="27"/>
  <c r="HV16" i="27"/>
  <c r="HW16" i="27"/>
  <c r="HX16" i="27"/>
  <c r="HY16" i="27"/>
  <c r="HZ16" i="27"/>
  <c r="IA16" i="27"/>
  <c r="IB16" i="27"/>
  <c r="IC16" i="27"/>
  <c r="ID16" i="27"/>
  <c r="IE16" i="27"/>
  <c r="IF16" i="27"/>
  <c r="IG16" i="27"/>
  <c r="IH16" i="27"/>
  <c r="II16" i="27"/>
  <c r="IJ16" i="27"/>
  <c r="IK16" i="27"/>
  <c r="IL16" i="27"/>
  <c r="IM16" i="27"/>
  <c r="IN16" i="27"/>
  <c r="IO16" i="27"/>
  <c r="IP16" i="27"/>
  <c r="IQ16" i="27"/>
  <c r="IR16" i="27"/>
  <c r="IS16" i="27"/>
  <c r="IT16" i="27"/>
  <c r="IU16" i="27"/>
  <c r="IV16" i="27"/>
  <c r="A15" i="27"/>
  <c r="B15" i="27"/>
  <c r="C15" i="27"/>
  <c r="D15" i="27"/>
  <c r="E15" i="27"/>
  <c r="F15" i="27"/>
  <c r="G15" i="27"/>
  <c r="H15" i="27"/>
  <c r="I15" i="27"/>
  <c r="J15" i="27"/>
  <c r="K15" i="27"/>
  <c r="L15" i="27"/>
  <c r="M15" i="27"/>
  <c r="N15" i="27"/>
  <c r="O15" i="27"/>
  <c r="P15" i="27"/>
  <c r="Q15" i="27"/>
  <c r="R15" i="27"/>
  <c r="S15" i="27"/>
  <c r="T15" i="27"/>
  <c r="U15" i="27"/>
  <c r="V15" i="27"/>
  <c r="W15" i="27"/>
  <c r="X15" i="27"/>
  <c r="Y15" i="27"/>
  <c r="Z15" i="27"/>
  <c r="AA15" i="27"/>
  <c r="AB15" i="27"/>
  <c r="AC15" i="27"/>
  <c r="AD15" i="27"/>
  <c r="AE15" i="27"/>
  <c r="AF15" i="27"/>
  <c r="AG15" i="27"/>
  <c r="AH15" i="27"/>
  <c r="AI15" i="27"/>
  <c r="AJ15" i="27"/>
  <c r="AK15" i="27"/>
  <c r="AL15" i="27"/>
  <c r="AM15" i="27"/>
  <c r="AN15" i="27"/>
  <c r="AO15" i="27"/>
  <c r="AP15" i="27"/>
  <c r="AQ15" i="27"/>
  <c r="AR15" i="27"/>
  <c r="AS15" i="27"/>
  <c r="AT15" i="27"/>
  <c r="AU15" i="27"/>
  <c r="AV15" i="27"/>
  <c r="AW15" i="27"/>
  <c r="AX15" i="27"/>
  <c r="AY15" i="27"/>
  <c r="AZ15" i="27"/>
  <c r="BA15" i="27"/>
  <c r="BB15" i="27"/>
  <c r="BC15" i="27"/>
  <c r="BD15" i="27"/>
  <c r="BE15" i="27"/>
  <c r="BF15" i="27"/>
  <c r="BG15" i="27"/>
  <c r="BH15" i="27"/>
  <c r="BI15" i="27"/>
  <c r="BJ15" i="27"/>
  <c r="BK15" i="27"/>
  <c r="BL15" i="27"/>
  <c r="BM15" i="27"/>
  <c r="BN15" i="27"/>
  <c r="BO15" i="27"/>
  <c r="BP15" i="27"/>
  <c r="BQ15" i="27"/>
  <c r="BR15" i="27"/>
  <c r="BS15" i="27"/>
  <c r="BT15" i="27"/>
  <c r="BU15" i="27"/>
  <c r="BV15" i="27"/>
  <c r="BW15" i="27"/>
  <c r="BX15" i="27"/>
  <c r="BY15" i="27"/>
  <c r="BZ15" i="27"/>
  <c r="CA15" i="27"/>
  <c r="CB15" i="27"/>
  <c r="CC15" i="27"/>
  <c r="CD15" i="27"/>
  <c r="CE15" i="27"/>
  <c r="CF15" i="27"/>
  <c r="CG15" i="27"/>
  <c r="CH15" i="27"/>
  <c r="CI15" i="27"/>
  <c r="CJ15" i="27"/>
  <c r="CK15" i="27"/>
  <c r="CL15" i="27"/>
  <c r="CM15" i="27"/>
  <c r="CN15" i="27"/>
  <c r="CO15" i="27"/>
  <c r="CP15" i="27"/>
  <c r="CQ15" i="27"/>
  <c r="CR15" i="27"/>
  <c r="CS15" i="27"/>
  <c r="CT15" i="27"/>
  <c r="CU15" i="27"/>
  <c r="CV15" i="27"/>
  <c r="CW15" i="27"/>
  <c r="CX15" i="27"/>
  <c r="CY15" i="27"/>
  <c r="CZ15" i="27"/>
  <c r="DA15" i="27"/>
  <c r="DB15" i="27"/>
  <c r="DC15" i="27"/>
  <c r="DD15" i="27"/>
  <c r="DE15" i="27"/>
  <c r="DF15" i="27"/>
  <c r="DG15" i="27"/>
  <c r="DH15" i="27"/>
  <c r="DI15" i="27"/>
  <c r="DJ15" i="27"/>
  <c r="DK15" i="27"/>
  <c r="DL15" i="27"/>
  <c r="DM15" i="27"/>
  <c r="DN15" i="27"/>
  <c r="DO15" i="27"/>
  <c r="DP15" i="27"/>
  <c r="DQ15" i="27"/>
  <c r="DR15" i="27"/>
  <c r="DS15" i="27"/>
  <c r="DT15" i="27"/>
  <c r="DU15" i="27"/>
  <c r="DV15" i="27"/>
  <c r="DW15" i="27"/>
  <c r="DX15" i="27"/>
  <c r="DY15" i="27"/>
  <c r="DZ15" i="27"/>
  <c r="EA15" i="27"/>
  <c r="EB15" i="27"/>
  <c r="EC15" i="27"/>
  <c r="ED15" i="27"/>
  <c r="EE15" i="27"/>
  <c r="EF15" i="27"/>
  <c r="EG15" i="27"/>
  <c r="EH15" i="27"/>
  <c r="EI15" i="27"/>
  <c r="EJ15" i="27"/>
  <c r="EK15" i="27"/>
  <c r="EL15" i="27"/>
  <c r="EM15" i="27"/>
  <c r="EN15" i="27"/>
  <c r="EO15" i="27"/>
  <c r="EP15" i="27"/>
  <c r="EQ15" i="27"/>
  <c r="ER15" i="27"/>
  <c r="ES15" i="27"/>
  <c r="ET15" i="27"/>
  <c r="EU15" i="27"/>
  <c r="EV15" i="27"/>
  <c r="EW15" i="27"/>
  <c r="EX15" i="27"/>
  <c r="EY15" i="27"/>
  <c r="EZ15" i="27"/>
  <c r="FA15" i="27"/>
  <c r="FB15" i="27"/>
  <c r="FC15" i="27"/>
  <c r="FD15" i="27"/>
  <c r="FE15" i="27"/>
  <c r="FF15" i="27"/>
  <c r="FG15" i="27"/>
  <c r="FH15" i="27"/>
  <c r="FI15" i="27"/>
  <c r="FJ15" i="27"/>
  <c r="FK15" i="27"/>
  <c r="FL15" i="27"/>
  <c r="FM15" i="27"/>
  <c r="FN15" i="27"/>
  <c r="FO15" i="27"/>
  <c r="FP15" i="27"/>
  <c r="FQ15" i="27"/>
  <c r="FR15" i="27"/>
  <c r="FS15" i="27"/>
  <c r="FT15" i="27"/>
  <c r="FU15" i="27"/>
  <c r="FV15" i="27"/>
  <c r="FW15" i="27"/>
  <c r="FX15" i="27"/>
  <c r="FY15" i="27"/>
  <c r="FZ15" i="27"/>
  <c r="GA15" i="27"/>
  <c r="GB15" i="27"/>
  <c r="GC15" i="27"/>
  <c r="GD15" i="27"/>
  <c r="GE15" i="27"/>
  <c r="GF15" i="27"/>
  <c r="GG15" i="27"/>
  <c r="GH15" i="27"/>
  <c r="GI15" i="27"/>
  <c r="GJ15" i="27"/>
  <c r="GK15" i="27"/>
  <c r="GL15" i="27"/>
  <c r="GM15" i="27"/>
  <c r="GN15" i="27"/>
  <c r="GO15" i="27"/>
  <c r="GP15" i="27"/>
  <c r="GQ15" i="27"/>
  <c r="GR15" i="27"/>
  <c r="GS15" i="27"/>
  <c r="GT15" i="27"/>
  <c r="GU15" i="27"/>
  <c r="GV15" i="27"/>
  <c r="GW15" i="27"/>
  <c r="GX15" i="27"/>
  <c r="GY15" i="27"/>
  <c r="GZ15" i="27"/>
  <c r="HA15" i="27"/>
  <c r="HB15" i="27"/>
  <c r="HC15" i="27"/>
  <c r="HD15" i="27"/>
  <c r="HE15" i="27"/>
  <c r="HF15" i="27"/>
  <c r="HG15" i="27"/>
  <c r="HH15" i="27"/>
  <c r="HI15" i="27"/>
  <c r="HJ15" i="27"/>
  <c r="HK15" i="27"/>
  <c r="HL15" i="27"/>
  <c r="HM15" i="27"/>
  <c r="HN15" i="27"/>
  <c r="HO15" i="27"/>
  <c r="HP15" i="27"/>
  <c r="HQ15" i="27"/>
  <c r="HR15" i="27"/>
  <c r="HS15" i="27"/>
  <c r="HT15" i="27"/>
  <c r="HU15" i="27"/>
  <c r="HV15" i="27"/>
  <c r="HW15" i="27"/>
  <c r="HX15" i="27"/>
  <c r="HY15" i="27"/>
  <c r="HZ15" i="27"/>
  <c r="IA15" i="27"/>
  <c r="IB15" i="27"/>
  <c r="IC15" i="27"/>
  <c r="ID15" i="27"/>
  <c r="IE15" i="27"/>
  <c r="IF15" i="27"/>
  <c r="IG15" i="27"/>
  <c r="IH15" i="27"/>
  <c r="II15" i="27"/>
  <c r="IJ15" i="27"/>
  <c r="IK15" i="27"/>
  <c r="IL15" i="27"/>
  <c r="IM15" i="27"/>
  <c r="IN15" i="27"/>
  <c r="IO15" i="27"/>
  <c r="IP15" i="27"/>
  <c r="IQ15" i="27"/>
  <c r="IR15" i="27"/>
  <c r="IS15" i="27"/>
  <c r="IT15" i="27"/>
  <c r="IU15" i="27"/>
  <c r="IV15" i="27"/>
  <c r="A14" i="27"/>
  <c r="B14" i="27"/>
  <c r="C14" i="27"/>
  <c r="D14" i="27"/>
  <c r="E14" i="27"/>
  <c r="F14" i="27"/>
  <c r="G14" i="27"/>
  <c r="H14" i="27"/>
  <c r="I14" i="27"/>
  <c r="J14" i="27"/>
  <c r="K14" i="27"/>
  <c r="L14" i="27"/>
  <c r="M14" i="27"/>
  <c r="N14" i="27"/>
  <c r="O14" i="27"/>
  <c r="P14" i="27"/>
  <c r="Q14" i="27"/>
  <c r="R14" i="27"/>
  <c r="S14" i="27"/>
  <c r="T14" i="27"/>
  <c r="U14" i="27"/>
  <c r="V14" i="27"/>
  <c r="W14" i="27"/>
  <c r="X14" i="27"/>
  <c r="Y14" i="27"/>
  <c r="Z14" i="27"/>
  <c r="AA14" i="27"/>
  <c r="AB14" i="27"/>
  <c r="AC14" i="27"/>
  <c r="AD14" i="27"/>
  <c r="AE14" i="27"/>
  <c r="AF14" i="27"/>
  <c r="AG14" i="27"/>
  <c r="AH14" i="27"/>
  <c r="AI14" i="27"/>
  <c r="AJ14" i="27"/>
  <c r="AK14" i="27"/>
  <c r="AL14" i="27"/>
  <c r="AM14" i="27"/>
  <c r="AN14" i="27"/>
  <c r="AO14" i="27"/>
  <c r="AP14" i="27"/>
  <c r="AQ14" i="27"/>
  <c r="AR14" i="27"/>
  <c r="AS14" i="27"/>
  <c r="AT14" i="27"/>
  <c r="AU14" i="27"/>
  <c r="AV14" i="27"/>
  <c r="AW14" i="27"/>
  <c r="AX14" i="27"/>
  <c r="AY14" i="27"/>
  <c r="AZ14" i="27"/>
  <c r="BA14" i="27"/>
  <c r="BB14" i="27"/>
  <c r="BC14" i="27"/>
  <c r="BD14" i="27"/>
  <c r="BE14" i="27"/>
  <c r="BF14" i="27"/>
  <c r="BG14" i="27"/>
  <c r="BH14" i="27"/>
  <c r="BI14" i="27"/>
  <c r="BJ14" i="27"/>
  <c r="BK14" i="27"/>
  <c r="BL14" i="27"/>
  <c r="BM14" i="27"/>
  <c r="BN14" i="27"/>
  <c r="BO14" i="27"/>
  <c r="BP14" i="27"/>
  <c r="BQ14" i="27"/>
  <c r="BR14" i="27"/>
  <c r="BS14" i="27"/>
  <c r="BT14" i="27"/>
  <c r="BU14" i="27"/>
  <c r="BV14" i="27"/>
  <c r="BW14" i="27"/>
  <c r="BX14" i="27"/>
  <c r="BY14" i="27"/>
  <c r="BZ14" i="27"/>
  <c r="CA14" i="27"/>
  <c r="CB14" i="27"/>
  <c r="CC14" i="27"/>
  <c r="CD14" i="27"/>
  <c r="CE14" i="27"/>
  <c r="CF14" i="27"/>
  <c r="CG14" i="27"/>
  <c r="CH14" i="27"/>
  <c r="CI14" i="27"/>
  <c r="CJ14" i="27"/>
  <c r="CK14" i="27"/>
  <c r="CL14" i="27"/>
  <c r="CM14" i="27"/>
  <c r="CN14" i="27"/>
  <c r="CO14" i="27"/>
  <c r="CP14" i="27"/>
  <c r="CQ14" i="27"/>
  <c r="CR14" i="27"/>
  <c r="CS14" i="27"/>
  <c r="CT14" i="27"/>
  <c r="CU14" i="27"/>
  <c r="CV14" i="27"/>
  <c r="CW14" i="27"/>
  <c r="CX14" i="27"/>
  <c r="CY14" i="27"/>
  <c r="CZ14" i="27"/>
  <c r="DA14" i="27"/>
  <c r="DB14" i="27"/>
  <c r="DC14" i="27"/>
  <c r="DD14" i="27"/>
  <c r="DE14" i="27"/>
  <c r="DF14" i="27"/>
  <c r="DG14" i="27"/>
  <c r="DH14" i="27"/>
  <c r="DI14" i="27"/>
  <c r="DJ14" i="27"/>
  <c r="DK14" i="27"/>
  <c r="DL14" i="27"/>
  <c r="DM14" i="27"/>
  <c r="DN14" i="27"/>
  <c r="DO14" i="27"/>
  <c r="DP14" i="27"/>
  <c r="DQ14" i="27"/>
  <c r="DR14" i="27"/>
  <c r="DS14" i="27"/>
  <c r="DT14" i="27"/>
  <c r="DU14" i="27"/>
  <c r="DV14" i="27"/>
  <c r="DW14" i="27"/>
  <c r="DX14" i="27"/>
  <c r="DY14" i="27"/>
  <c r="DZ14" i="27"/>
  <c r="EA14" i="27"/>
  <c r="EB14" i="27"/>
  <c r="EC14" i="27"/>
  <c r="ED14" i="27"/>
  <c r="EE14" i="27"/>
  <c r="EF14" i="27"/>
  <c r="EG14" i="27"/>
  <c r="EH14" i="27"/>
  <c r="EI14" i="27"/>
  <c r="EJ14" i="27"/>
  <c r="EK14" i="27"/>
  <c r="EL14" i="27"/>
  <c r="EM14" i="27"/>
  <c r="EN14" i="27"/>
  <c r="EO14" i="27"/>
  <c r="EP14" i="27"/>
  <c r="EQ14" i="27"/>
  <c r="ER14" i="27"/>
  <c r="ES14" i="27"/>
  <c r="ET14" i="27"/>
  <c r="EU14" i="27"/>
  <c r="EV14" i="27"/>
  <c r="EW14" i="27"/>
  <c r="EX14" i="27"/>
  <c r="EY14" i="27"/>
  <c r="EZ14" i="27"/>
  <c r="FA14" i="27"/>
  <c r="FB14" i="27"/>
  <c r="FC14" i="27"/>
  <c r="FD14" i="27"/>
  <c r="FE14" i="27"/>
  <c r="FF14" i="27"/>
  <c r="FG14" i="27"/>
  <c r="FH14" i="27"/>
  <c r="FI14" i="27"/>
  <c r="FJ14" i="27"/>
  <c r="FK14" i="27"/>
  <c r="FL14" i="27"/>
  <c r="FM14" i="27"/>
  <c r="FN14" i="27"/>
  <c r="FO14" i="27"/>
  <c r="FP14" i="27"/>
  <c r="FQ14" i="27"/>
  <c r="FR14" i="27"/>
  <c r="FS14" i="27"/>
  <c r="FT14" i="27"/>
  <c r="FU14" i="27"/>
  <c r="FV14" i="27"/>
  <c r="FW14" i="27"/>
  <c r="FX14" i="27"/>
  <c r="FY14" i="27"/>
  <c r="FZ14" i="27"/>
  <c r="GA14" i="27"/>
  <c r="GB14" i="27"/>
  <c r="GC14" i="27"/>
  <c r="GD14" i="27"/>
  <c r="GE14" i="27"/>
  <c r="GF14" i="27"/>
  <c r="GG14" i="27"/>
  <c r="GH14" i="27"/>
  <c r="GI14" i="27"/>
  <c r="GJ14" i="27"/>
  <c r="GK14" i="27"/>
  <c r="GL14" i="27"/>
  <c r="GM14" i="27"/>
  <c r="GN14" i="27"/>
  <c r="GO14" i="27"/>
  <c r="GP14" i="27"/>
  <c r="GQ14" i="27"/>
  <c r="GR14" i="27"/>
  <c r="GS14" i="27"/>
  <c r="GT14" i="27"/>
  <c r="GU14" i="27"/>
  <c r="GV14" i="27"/>
  <c r="GW14" i="27"/>
  <c r="GX14" i="27"/>
  <c r="GY14" i="27"/>
  <c r="GZ14" i="27"/>
  <c r="HA14" i="27"/>
  <c r="HB14" i="27"/>
  <c r="HC14" i="27"/>
  <c r="HD14" i="27"/>
  <c r="HE14" i="27"/>
  <c r="HF14" i="27"/>
  <c r="HG14" i="27"/>
  <c r="HH14" i="27"/>
  <c r="HI14" i="27"/>
  <c r="HJ14" i="27"/>
  <c r="HK14" i="27"/>
  <c r="HL14" i="27"/>
  <c r="HM14" i="27"/>
  <c r="HN14" i="27"/>
  <c r="HO14" i="27"/>
  <c r="HP14" i="27"/>
  <c r="HQ14" i="27"/>
  <c r="HR14" i="27"/>
  <c r="HS14" i="27"/>
  <c r="HT14" i="27"/>
  <c r="HU14" i="27"/>
  <c r="HV14" i="27"/>
  <c r="HW14" i="27"/>
  <c r="HX14" i="27"/>
  <c r="HY14" i="27"/>
  <c r="HZ14" i="27"/>
  <c r="IA14" i="27"/>
  <c r="IB14" i="27"/>
  <c r="IC14" i="27"/>
  <c r="ID14" i="27"/>
  <c r="IE14" i="27"/>
  <c r="IF14" i="27"/>
  <c r="IG14" i="27"/>
  <c r="IH14" i="27"/>
  <c r="II14" i="27"/>
  <c r="IJ14" i="27"/>
  <c r="IK14" i="27"/>
  <c r="IL14" i="27"/>
  <c r="IM14" i="27"/>
  <c r="IN14" i="27"/>
  <c r="IO14" i="27"/>
  <c r="IP14" i="27"/>
  <c r="IQ14" i="27"/>
  <c r="IR14" i="27"/>
  <c r="IS14" i="27"/>
  <c r="IT14" i="27"/>
  <c r="IU14" i="27"/>
  <c r="IV14" i="27"/>
  <c r="A13" i="27"/>
  <c r="B13" i="27"/>
  <c r="C13" i="27"/>
  <c r="D13" i="27"/>
  <c r="E13" i="27"/>
  <c r="F13" i="27"/>
  <c r="G13" i="27"/>
  <c r="H13" i="27"/>
  <c r="I13" i="27"/>
  <c r="J13" i="27"/>
  <c r="K13" i="27"/>
  <c r="M13" i="27"/>
  <c r="N13" i="27"/>
  <c r="O13" i="27"/>
  <c r="P13" i="27"/>
  <c r="Q13" i="27"/>
  <c r="R13" i="27"/>
  <c r="S13" i="27"/>
  <c r="T13" i="27"/>
  <c r="U13" i="27"/>
  <c r="V13" i="27"/>
  <c r="W13" i="27"/>
  <c r="X13" i="27"/>
  <c r="Y13" i="27"/>
  <c r="Z13" i="27"/>
  <c r="AA13" i="27"/>
  <c r="AB13" i="27"/>
  <c r="AC13" i="27"/>
  <c r="AD13" i="27"/>
  <c r="AE13" i="27"/>
  <c r="AF13" i="27"/>
  <c r="AG13" i="27"/>
  <c r="AH13" i="27"/>
  <c r="AI13" i="27"/>
  <c r="AJ13" i="27"/>
  <c r="AK13" i="27"/>
  <c r="AL13" i="27"/>
  <c r="AM13" i="27"/>
  <c r="AN13" i="27"/>
  <c r="AO13" i="27"/>
  <c r="AP13" i="27"/>
  <c r="AQ13" i="27"/>
  <c r="AR13" i="27"/>
  <c r="AS13" i="27"/>
  <c r="AT13" i="27"/>
  <c r="AU13" i="27"/>
  <c r="AV13" i="27"/>
  <c r="AW13" i="27"/>
  <c r="AX13" i="27"/>
  <c r="AY13" i="27"/>
  <c r="AZ13" i="27"/>
  <c r="BA13" i="27"/>
  <c r="BB13" i="27"/>
  <c r="BC13" i="27"/>
  <c r="BD13" i="27"/>
  <c r="BE13" i="27"/>
  <c r="BF13" i="27"/>
  <c r="BG13" i="27"/>
  <c r="BH13" i="27"/>
  <c r="BI13" i="27"/>
  <c r="BJ13" i="27"/>
  <c r="BK13" i="27"/>
  <c r="BL13" i="27"/>
  <c r="BM13" i="27"/>
  <c r="BN13" i="27"/>
  <c r="BO13" i="27"/>
  <c r="BP13" i="27"/>
  <c r="BQ13" i="27"/>
  <c r="BR13" i="27"/>
  <c r="BS13" i="27"/>
  <c r="BT13" i="27"/>
  <c r="BU13" i="27"/>
  <c r="BV13" i="27"/>
  <c r="BW13" i="27"/>
  <c r="BX13" i="27"/>
  <c r="BY13" i="27"/>
  <c r="BZ13" i="27"/>
  <c r="CA13" i="27"/>
  <c r="CB13" i="27"/>
  <c r="CC13" i="27"/>
  <c r="CD13" i="27"/>
  <c r="CE13" i="27"/>
  <c r="CF13" i="27"/>
  <c r="CG13" i="27"/>
  <c r="CH13" i="27"/>
  <c r="CI13" i="27"/>
  <c r="CJ13" i="27"/>
  <c r="CK13" i="27"/>
  <c r="CL13" i="27"/>
  <c r="CM13" i="27"/>
  <c r="CN13" i="27"/>
  <c r="CO13" i="27"/>
  <c r="CP13" i="27"/>
  <c r="CQ13" i="27"/>
  <c r="CR13" i="27"/>
  <c r="CS13" i="27"/>
  <c r="CT13" i="27"/>
  <c r="CU13" i="27"/>
  <c r="CV13" i="27"/>
  <c r="CW13" i="27"/>
  <c r="CX13" i="27"/>
  <c r="CY13" i="27"/>
  <c r="CZ13" i="27"/>
  <c r="DA13" i="27"/>
  <c r="DB13" i="27"/>
  <c r="DC13" i="27"/>
  <c r="DD13" i="27"/>
  <c r="DE13" i="27"/>
  <c r="DF13" i="27"/>
  <c r="DG13" i="27"/>
  <c r="DH13" i="27"/>
  <c r="DI13" i="27"/>
  <c r="DJ13" i="27"/>
  <c r="DK13" i="27"/>
  <c r="DL13" i="27"/>
  <c r="DM13" i="27"/>
  <c r="DN13" i="27"/>
  <c r="DO13" i="27"/>
  <c r="DP13" i="27"/>
  <c r="DQ13" i="27"/>
  <c r="DR13" i="27"/>
  <c r="DS13" i="27"/>
  <c r="DT13" i="27"/>
  <c r="DU13" i="27"/>
  <c r="DV13" i="27"/>
  <c r="DW13" i="27"/>
  <c r="DX13" i="27"/>
  <c r="DY13" i="27"/>
  <c r="DZ13" i="27"/>
  <c r="EA13" i="27"/>
  <c r="EB13" i="27"/>
  <c r="EC13" i="27"/>
  <c r="ED13" i="27"/>
  <c r="EE13" i="27"/>
  <c r="EF13" i="27"/>
  <c r="EG13" i="27"/>
  <c r="EH13" i="27"/>
  <c r="EI13" i="27"/>
  <c r="EJ13" i="27"/>
  <c r="EK13" i="27"/>
  <c r="EL13" i="27"/>
  <c r="EM13" i="27"/>
  <c r="EN13" i="27"/>
  <c r="EO13" i="27"/>
  <c r="EP13" i="27"/>
  <c r="EQ13" i="27"/>
  <c r="ER13" i="27"/>
  <c r="ES13" i="27"/>
  <c r="ET13" i="27"/>
  <c r="EU13" i="27"/>
  <c r="EV13" i="27"/>
  <c r="EW13" i="27"/>
  <c r="EX13" i="27"/>
  <c r="EY13" i="27"/>
  <c r="EZ13" i="27"/>
  <c r="FA13" i="27"/>
  <c r="FB13" i="27"/>
  <c r="FC13" i="27"/>
  <c r="FD13" i="27"/>
  <c r="FE13" i="27"/>
  <c r="FF13" i="27"/>
  <c r="FG13" i="27"/>
  <c r="FH13" i="27"/>
  <c r="FI13" i="27"/>
  <c r="FJ13" i="27"/>
  <c r="FK13" i="27"/>
  <c r="FL13" i="27"/>
  <c r="FM13" i="27"/>
  <c r="FN13" i="27"/>
  <c r="FO13" i="27"/>
  <c r="FP13" i="27"/>
  <c r="FQ13" i="27"/>
  <c r="FR13" i="27"/>
  <c r="FS13" i="27"/>
  <c r="FT13" i="27"/>
  <c r="FU13" i="27"/>
  <c r="FV13" i="27"/>
  <c r="FW13" i="27"/>
  <c r="FX13" i="27"/>
  <c r="FY13" i="27"/>
  <c r="FZ13" i="27"/>
  <c r="GA13" i="27"/>
  <c r="GB13" i="27"/>
  <c r="GC13" i="27"/>
  <c r="GD13" i="27"/>
  <c r="GE13" i="27"/>
  <c r="GF13" i="27"/>
  <c r="GG13" i="27"/>
  <c r="GH13" i="27"/>
  <c r="GI13" i="27"/>
  <c r="GJ13" i="27"/>
  <c r="GK13" i="27"/>
  <c r="GL13" i="27"/>
  <c r="GM13" i="27"/>
  <c r="GN13" i="27"/>
  <c r="GO13" i="27"/>
  <c r="GP13" i="27"/>
  <c r="GQ13" i="27"/>
  <c r="GR13" i="27"/>
  <c r="GS13" i="27"/>
  <c r="GT13" i="27"/>
  <c r="GU13" i="27"/>
  <c r="GV13" i="27"/>
  <c r="GW13" i="27"/>
  <c r="GX13" i="27"/>
  <c r="GY13" i="27"/>
  <c r="GZ13" i="27"/>
  <c r="HA13" i="27"/>
  <c r="HB13" i="27"/>
  <c r="HC13" i="27"/>
  <c r="HD13" i="27"/>
  <c r="HE13" i="27"/>
  <c r="HF13" i="27"/>
  <c r="HG13" i="27"/>
  <c r="HH13" i="27"/>
  <c r="HI13" i="27"/>
  <c r="HJ13" i="27"/>
  <c r="HK13" i="27"/>
  <c r="HL13" i="27"/>
  <c r="HM13" i="27"/>
  <c r="HN13" i="27"/>
  <c r="HO13" i="27"/>
  <c r="HP13" i="27"/>
  <c r="HQ13" i="27"/>
  <c r="HR13" i="27"/>
  <c r="HS13" i="27"/>
  <c r="HT13" i="27"/>
  <c r="HU13" i="27"/>
  <c r="HV13" i="27"/>
  <c r="HW13" i="27"/>
  <c r="HX13" i="27"/>
  <c r="HY13" i="27"/>
  <c r="HZ13" i="27"/>
  <c r="IA13" i="27"/>
  <c r="IB13" i="27"/>
  <c r="IC13" i="27"/>
  <c r="ID13" i="27"/>
  <c r="IE13" i="27"/>
  <c r="IF13" i="27"/>
  <c r="IG13" i="27"/>
  <c r="IH13" i="27"/>
  <c r="II13" i="27"/>
  <c r="IJ13" i="27"/>
  <c r="IK13" i="27"/>
  <c r="IL13" i="27"/>
  <c r="IM13" i="27"/>
  <c r="IN13" i="27"/>
  <c r="IO13" i="27"/>
  <c r="IP13" i="27"/>
  <c r="IQ13" i="27"/>
  <c r="IR13" i="27"/>
  <c r="IS13" i="27"/>
  <c r="IT13" i="27"/>
  <c r="IU13" i="27"/>
  <c r="IV13" i="27"/>
  <c r="A12" i="27"/>
  <c r="B12" i="27"/>
  <c r="C12" i="27"/>
  <c r="D12" i="27"/>
  <c r="E12" i="27"/>
  <c r="F12" i="27"/>
  <c r="G12" i="27"/>
  <c r="H12" i="27"/>
  <c r="I12" i="27"/>
  <c r="J12" i="27"/>
  <c r="K12" i="27"/>
  <c r="L12" i="27"/>
  <c r="M12" i="27"/>
  <c r="N12" i="27"/>
  <c r="O12" i="27"/>
  <c r="P12" i="27"/>
  <c r="Q12" i="27"/>
  <c r="R12" i="27"/>
  <c r="S12" i="27"/>
  <c r="T12" i="27"/>
  <c r="U12" i="27"/>
  <c r="V12" i="27"/>
  <c r="W12" i="27"/>
  <c r="X12" i="27"/>
  <c r="Y12" i="27"/>
  <c r="Z12" i="27"/>
  <c r="AA12" i="27"/>
  <c r="AB12" i="27"/>
  <c r="AC12" i="27"/>
  <c r="AD12" i="27"/>
  <c r="AE12" i="27"/>
  <c r="AF12" i="27"/>
  <c r="AG12" i="27"/>
  <c r="AH12" i="27"/>
  <c r="AI12" i="27"/>
  <c r="AJ12" i="27"/>
  <c r="AK12" i="27"/>
  <c r="AL12" i="27"/>
  <c r="AM12" i="27"/>
  <c r="AN12" i="27"/>
  <c r="AO12" i="27"/>
  <c r="AP12" i="27"/>
  <c r="AQ12" i="27"/>
  <c r="AR12" i="27"/>
  <c r="AS12" i="27"/>
  <c r="AT12" i="27"/>
  <c r="AU12" i="27"/>
  <c r="AV12" i="27"/>
  <c r="AW12" i="27"/>
  <c r="AX12" i="27"/>
  <c r="AY12" i="27"/>
  <c r="AZ12" i="27"/>
  <c r="BA12" i="27"/>
  <c r="BB12" i="27"/>
  <c r="BC12" i="27"/>
  <c r="BD12" i="27"/>
  <c r="BE12" i="27"/>
  <c r="BF12" i="27"/>
  <c r="BG12" i="27"/>
  <c r="BH12" i="27"/>
  <c r="BI12" i="27"/>
  <c r="BJ12" i="27"/>
  <c r="BK12" i="27"/>
  <c r="BL12" i="27"/>
  <c r="BM12" i="27"/>
  <c r="BN12" i="27"/>
  <c r="BO12" i="27"/>
  <c r="BP12" i="27"/>
  <c r="BQ12" i="27"/>
  <c r="BR12" i="27"/>
  <c r="BS12" i="27"/>
  <c r="BT12" i="27"/>
  <c r="BU12" i="27"/>
  <c r="BV12" i="27"/>
  <c r="BW12" i="27"/>
  <c r="BX12" i="27"/>
  <c r="BY12" i="27"/>
  <c r="BZ12" i="27"/>
  <c r="CA12" i="27"/>
  <c r="CB12" i="27"/>
  <c r="CC12" i="27"/>
  <c r="CD12" i="27"/>
  <c r="CE12" i="27"/>
  <c r="CF12" i="27"/>
  <c r="CG12" i="27"/>
  <c r="CH12" i="27"/>
  <c r="CI12" i="27"/>
  <c r="CJ12" i="27"/>
  <c r="CK12" i="27"/>
  <c r="CL12" i="27"/>
  <c r="CM12" i="27"/>
  <c r="CN12" i="27"/>
  <c r="CO12" i="27"/>
  <c r="CP12" i="27"/>
  <c r="CQ12" i="27"/>
  <c r="CR12" i="27"/>
  <c r="CS12" i="27"/>
  <c r="CT12" i="27"/>
  <c r="CU12" i="27"/>
  <c r="CV12" i="27"/>
  <c r="CW12" i="27"/>
  <c r="CX12" i="27"/>
  <c r="CY12" i="27"/>
  <c r="CZ12" i="27"/>
  <c r="DA12" i="27"/>
  <c r="DB12" i="27"/>
  <c r="DC12" i="27"/>
  <c r="DD12" i="27"/>
  <c r="DE12" i="27"/>
  <c r="DF12" i="27"/>
  <c r="DG12" i="27"/>
  <c r="DH12" i="27"/>
  <c r="DI12" i="27"/>
  <c r="DJ12" i="27"/>
  <c r="DK12" i="27"/>
  <c r="DL12" i="27"/>
  <c r="DM12" i="27"/>
  <c r="DN12" i="27"/>
  <c r="DO12" i="27"/>
  <c r="DP12" i="27"/>
  <c r="DQ12" i="27"/>
  <c r="DR12" i="27"/>
  <c r="DS12" i="27"/>
  <c r="DT12" i="27"/>
  <c r="DU12" i="27"/>
  <c r="DV12" i="27"/>
  <c r="DW12" i="27"/>
  <c r="DX12" i="27"/>
  <c r="DY12" i="27"/>
  <c r="DZ12" i="27"/>
  <c r="EA12" i="27"/>
  <c r="EB12" i="27"/>
  <c r="EC12" i="27"/>
  <c r="ED12" i="27"/>
  <c r="EE12" i="27"/>
  <c r="EF12" i="27"/>
  <c r="EG12" i="27"/>
  <c r="EH12" i="27"/>
  <c r="EI12" i="27"/>
  <c r="EJ12" i="27"/>
  <c r="EK12" i="27"/>
  <c r="EL12" i="27"/>
  <c r="EM12" i="27"/>
  <c r="EN12" i="27"/>
  <c r="EO12" i="27"/>
  <c r="EP12" i="27"/>
  <c r="EQ12" i="27"/>
  <c r="ER12" i="27"/>
  <c r="ES12" i="27"/>
  <c r="ET12" i="27"/>
  <c r="EU12" i="27"/>
  <c r="EV12" i="27"/>
  <c r="EW12" i="27"/>
  <c r="EX12" i="27"/>
  <c r="EY12" i="27"/>
  <c r="EZ12" i="27"/>
  <c r="FA12" i="27"/>
  <c r="FB12" i="27"/>
  <c r="FC12" i="27"/>
  <c r="FD12" i="27"/>
  <c r="FG12" i="27"/>
  <c r="FH12" i="27"/>
  <c r="FI12" i="27"/>
  <c r="FJ12" i="27"/>
  <c r="FK12" i="27"/>
  <c r="FN12" i="27"/>
  <c r="FO12" i="27"/>
  <c r="FP12" i="27"/>
  <c r="FQ12" i="27"/>
  <c r="FR12" i="27"/>
  <c r="FS12" i="27"/>
  <c r="FT12" i="27"/>
  <c r="FU12" i="27"/>
  <c r="FV12" i="27"/>
  <c r="FW12" i="27"/>
  <c r="FX12" i="27"/>
  <c r="FY12" i="27"/>
  <c r="FZ12" i="27"/>
  <c r="GA12" i="27"/>
  <c r="GB12" i="27"/>
  <c r="GC12" i="27"/>
  <c r="GD12" i="27"/>
  <c r="GE12" i="27"/>
  <c r="GF12" i="27"/>
  <c r="GG12" i="27"/>
  <c r="GH12" i="27"/>
  <c r="GI12" i="27"/>
  <c r="GJ12" i="27"/>
  <c r="GK12" i="27"/>
  <c r="GL12" i="27"/>
  <c r="GM12" i="27"/>
  <c r="GN12" i="27"/>
  <c r="GO12" i="27"/>
  <c r="GP12" i="27"/>
  <c r="GQ12" i="27"/>
  <c r="GR12" i="27"/>
  <c r="GS12" i="27"/>
  <c r="GT12" i="27"/>
  <c r="GU12" i="27"/>
  <c r="GV12" i="27"/>
  <c r="GW12" i="27"/>
  <c r="GX12" i="27"/>
  <c r="GY12" i="27"/>
  <c r="GZ12" i="27"/>
  <c r="HA12" i="27"/>
  <c r="HB12" i="27"/>
  <c r="HC12" i="27"/>
  <c r="HD12" i="27"/>
  <c r="HE12" i="27"/>
  <c r="HF12" i="27"/>
  <c r="HG12" i="27"/>
  <c r="HH12" i="27"/>
  <c r="HI12" i="27"/>
  <c r="HJ12" i="27"/>
  <c r="HK12" i="27"/>
  <c r="HL12" i="27"/>
  <c r="HM12" i="27"/>
  <c r="HN12" i="27"/>
  <c r="HO12" i="27"/>
  <c r="HP12" i="27"/>
  <c r="HQ12" i="27"/>
  <c r="HR12" i="27"/>
  <c r="HS12" i="27"/>
  <c r="HT12" i="27"/>
  <c r="HU12" i="27"/>
  <c r="HV12" i="27"/>
  <c r="HW12" i="27"/>
  <c r="HX12" i="27"/>
  <c r="HY12" i="27"/>
  <c r="HZ12" i="27"/>
  <c r="IA12" i="27"/>
  <c r="IB12" i="27"/>
  <c r="IC12" i="27"/>
  <c r="ID12" i="27"/>
  <c r="IE12" i="27"/>
  <c r="IF12" i="27"/>
  <c r="IG12" i="27"/>
  <c r="IH12" i="27"/>
  <c r="II12" i="27"/>
  <c r="IJ12" i="27"/>
  <c r="IK12" i="27"/>
  <c r="IL12" i="27"/>
  <c r="IM12" i="27"/>
  <c r="IN12" i="27"/>
  <c r="IO12" i="27"/>
  <c r="IP12" i="27"/>
  <c r="IQ12" i="27"/>
  <c r="IR12" i="27"/>
  <c r="IS12" i="27"/>
  <c r="IT12" i="27"/>
  <c r="IU12" i="27"/>
  <c r="IV12" i="27"/>
  <c r="A11" i="27"/>
  <c r="B11" i="27"/>
  <c r="C11" i="27"/>
  <c r="D11" i="27"/>
  <c r="E11" i="27"/>
  <c r="F11" i="27"/>
  <c r="G11" i="27"/>
  <c r="H11" i="27"/>
  <c r="I11" i="27"/>
  <c r="J11" i="27"/>
  <c r="K11" i="27"/>
  <c r="L11" i="27"/>
  <c r="M11" i="27"/>
  <c r="N11" i="27"/>
  <c r="O11" i="27"/>
  <c r="P11" i="27"/>
  <c r="Q11" i="27"/>
  <c r="R11" i="27"/>
  <c r="S11" i="27"/>
  <c r="T11" i="27"/>
  <c r="U11" i="27"/>
  <c r="V11" i="27"/>
  <c r="W11" i="27"/>
  <c r="X11" i="27"/>
  <c r="Y11" i="27"/>
  <c r="Z11" i="27"/>
  <c r="AA11" i="27"/>
  <c r="AB11" i="27"/>
  <c r="AC11" i="27"/>
  <c r="AD11" i="27"/>
  <c r="AE11" i="27"/>
  <c r="AF11" i="27"/>
  <c r="AG11" i="27"/>
  <c r="AH11" i="27"/>
  <c r="AI11" i="27"/>
  <c r="AJ11" i="27"/>
  <c r="AK11" i="27"/>
  <c r="AL11" i="27"/>
  <c r="AM11" i="27"/>
  <c r="AN11" i="27"/>
  <c r="AO11" i="27"/>
  <c r="AP11" i="27"/>
  <c r="AQ11" i="27"/>
  <c r="AR11" i="27"/>
  <c r="AS11" i="27"/>
  <c r="AT11" i="27"/>
  <c r="AU11" i="27"/>
  <c r="AV11" i="27"/>
  <c r="AW11" i="27"/>
  <c r="AX11" i="27"/>
  <c r="AY11" i="27"/>
  <c r="AZ11" i="27"/>
  <c r="BA11" i="27"/>
  <c r="BB11" i="27"/>
  <c r="BC11" i="27"/>
  <c r="BD11" i="27"/>
  <c r="BE11" i="27"/>
  <c r="BF11" i="27"/>
  <c r="BG11" i="27"/>
  <c r="BH11" i="27"/>
  <c r="BI11" i="27"/>
  <c r="BJ11" i="27"/>
  <c r="BK11" i="27"/>
  <c r="BL11" i="27"/>
  <c r="BM11" i="27"/>
  <c r="BN11" i="27"/>
  <c r="BO11" i="27"/>
  <c r="BP11" i="27"/>
  <c r="BQ11" i="27"/>
  <c r="BR11" i="27"/>
  <c r="BS11" i="27"/>
  <c r="BT11" i="27"/>
  <c r="BU11" i="27"/>
  <c r="BV11" i="27"/>
  <c r="BW11" i="27"/>
  <c r="BX11" i="27"/>
  <c r="BY11" i="27"/>
  <c r="BZ11" i="27"/>
  <c r="CA11" i="27"/>
  <c r="CB11" i="27"/>
  <c r="CC11" i="27"/>
  <c r="CD11" i="27"/>
  <c r="CE11" i="27"/>
  <c r="CF11" i="27"/>
  <c r="CG11" i="27"/>
  <c r="CH11" i="27"/>
  <c r="CI11" i="27"/>
  <c r="CJ11" i="27"/>
  <c r="CK11" i="27"/>
  <c r="CL11" i="27"/>
  <c r="CM11" i="27"/>
  <c r="CN11" i="27"/>
  <c r="CO11" i="27"/>
  <c r="CP11" i="27"/>
  <c r="CQ11" i="27"/>
  <c r="CR11" i="27"/>
  <c r="CS11" i="27"/>
  <c r="CT11" i="27"/>
  <c r="CU11" i="27"/>
  <c r="CV11" i="27"/>
  <c r="CW11" i="27"/>
  <c r="CX11" i="27"/>
  <c r="CY11" i="27"/>
  <c r="CZ11" i="27"/>
  <c r="DA11" i="27"/>
  <c r="DB11" i="27"/>
  <c r="DC11" i="27"/>
  <c r="DD11" i="27"/>
  <c r="DE11" i="27"/>
  <c r="DF11" i="27"/>
  <c r="DG11" i="27"/>
  <c r="DH11" i="27"/>
  <c r="DI11" i="27"/>
  <c r="DJ11" i="27"/>
  <c r="DK11" i="27"/>
  <c r="DL11" i="27"/>
  <c r="DM11" i="27"/>
  <c r="DN11" i="27"/>
  <c r="DO11" i="27"/>
  <c r="DP11" i="27"/>
  <c r="DQ11" i="27"/>
  <c r="DR11" i="27"/>
  <c r="DS11" i="27"/>
  <c r="DT11" i="27"/>
  <c r="DU11" i="27"/>
  <c r="DV11" i="27"/>
  <c r="DW11" i="27"/>
  <c r="DX11" i="27"/>
  <c r="DY11" i="27"/>
  <c r="DZ11" i="27"/>
  <c r="EA11" i="27"/>
  <c r="EB11" i="27"/>
  <c r="EC11" i="27"/>
  <c r="ED11" i="27"/>
  <c r="EE11" i="27"/>
  <c r="EF11" i="27"/>
  <c r="EG11" i="27"/>
  <c r="EH11" i="27"/>
  <c r="EI11" i="27"/>
  <c r="EJ11" i="27"/>
  <c r="EK11" i="27"/>
  <c r="EL11" i="27"/>
  <c r="EM11" i="27"/>
  <c r="EN11" i="27"/>
  <c r="EO11" i="27"/>
  <c r="EP11" i="27"/>
  <c r="EQ11" i="27"/>
  <c r="ER11" i="27"/>
  <c r="ES11" i="27"/>
  <c r="ET11" i="27"/>
  <c r="EU11" i="27"/>
  <c r="EV11" i="27"/>
  <c r="EW11" i="27"/>
  <c r="EX11" i="27"/>
  <c r="EY11" i="27"/>
  <c r="EZ11" i="27"/>
  <c r="FA11" i="27"/>
  <c r="FB11" i="27"/>
  <c r="FC11" i="27"/>
  <c r="FD11" i="27"/>
  <c r="FE11" i="27"/>
  <c r="FF11" i="27"/>
  <c r="FG11" i="27"/>
  <c r="FH11" i="27"/>
  <c r="FI11" i="27"/>
  <c r="FJ11" i="27"/>
  <c r="FK11" i="27"/>
  <c r="FL11" i="27"/>
  <c r="FM11" i="27"/>
  <c r="FN11" i="27"/>
  <c r="FO11" i="27"/>
  <c r="FP11" i="27"/>
  <c r="FQ11" i="27"/>
  <c r="FR11" i="27"/>
  <c r="FS11" i="27"/>
  <c r="FT11" i="27"/>
  <c r="FU11" i="27"/>
  <c r="FV11" i="27"/>
  <c r="FW11" i="27"/>
  <c r="FX11" i="27"/>
  <c r="FY11" i="27"/>
  <c r="FZ11" i="27"/>
  <c r="GA11" i="27"/>
  <c r="GB11" i="27"/>
  <c r="GC11" i="27"/>
  <c r="GD11" i="27"/>
  <c r="GE11" i="27"/>
  <c r="GF11" i="27"/>
  <c r="GG11" i="27"/>
  <c r="GH11" i="27"/>
  <c r="GI11" i="27"/>
  <c r="GJ11" i="27"/>
  <c r="GK11" i="27"/>
  <c r="GL11" i="27"/>
  <c r="GM11" i="27"/>
  <c r="GN11" i="27"/>
  <c r="GO11" i="27"/>
  <c r="GP11" i="27"/>
  <c r="GQ11" i="27"/>
  <c r="GR11" i="27"/>
  <c r="GS11" i="27"/>
  <c r="GT11" i="27"/>
  <c r="GU11" i="27"/>
  <c r="GV11" i="27"/>
  <c r="GW11" i="27"/>
  <c r="GX11" i="27"/>
  <c r="GY11" i="27"/>
  <c r="GZ11" i="27"/>
  <c r="HA11" i="27"/>
  <c r="HB11" i="27"/>
  <c r="HC11" i="27"/>
  <c r="HD11" i="27"/>
  <c r="HE11" i="27"/>
  <c r="HF11" i="27"/>
  <c r="HG11" i="27"/>
  <c r="HH11" i="27"/>
  <c r="HI11" i="27"/>
  <c r="HJ11" i="27"/>
  <c r="HK11" i="27"/>
  <c r="HL11" i="27"/>
  <c r="HM11" i="27"/>
  <c r="HN11" i="27"/>
  <c r="HO11" i="27"/>
  <c r="HP11" i="27"/>
  <c r="HQ11" i="27"/>
  <c r="HR11" i="27"/>
  <c r="HS11" i="27"/>
  <c r="HT11" i="27"/>
  <c r="HU11" i="27"/>
  <c r="HV11" i="27"/>
  <c r="HW11" i="27"/>
  <c r="HX11" i="27"/>
  <c r="HY11" i="27"/>
  <c r="HZ11" i="27"/>
  <c r="IA11" i="27"/>
  <c r="IB11" i="27"/>
  <c r="IC11" i="27"/>
  <c r="ID11" i="27"/>
  <c r="IE11" i="27"/>
  <c r="IF11" i="27"/>
  <c r="IG11" i="27"/>
  <c r="IH11" i="27"/>
  <c r="II11" i="27"/>
  <c r="IJ11" i="27"/>
  <c r="IK11" i="27"/>
  <c r="IL11" i="27"/>
  <c r="IM11" i="27"/>
  <c r="IN11" i="27"/>
  <c r="IO11" i="27"/>
  <c r="IP11" i="27"/>
  <c r="IQ11" i="27"/>
  <c r="IR11" i="27"/>
  <c r="IS11" i="27"/>
  <c r="IT11" i="27"/>
  <c r="IU11" i="27"/>
  <c r="IV11" i="27"/>
  <c r="A10" i="27"/>
  <c r="B10" i="27"/>
  <c r="C10" i="27"/>
  <c r="D10" i="27"/>
  <c r="E10" i="27"/>
  <c r="F10" i="27"/>
  <c r="G10" i="27"/>
  <c r="H10" i="27"/>
  <c r="I10" i="27"/>
  <c r="J10" i="27"/>
  <c r="K10" i="27"/>
  <c r="L10" i="27"/>
  <c r="M10" i="27"/>
  <c r="N10" i="27"/>
  <c r="O10" i="27"/>
  <c r="P10" i="27"/>
  <c r="Q10" i="27"/>
  <c r="R10" i="27"/>
  <c r="S10" i="27"/>
  <c r="T10" i="27"/>
  <c r="U10" i="27"/>
  <c r="V10" i="27"/>
  <c r="W10" i="27"/>
  <c r="X10" i="27"/>
  <c r="Y10" i="27"/>
  <c r="Z10" i="27"/>
  <c r="AA10" i="27"/>
  <c r="AB10" i="27"/>
  <c r="AC10" i="27"/>
  <c r="AD10" i="27"/>
  <c r="AE10" i="27"/>
  <c r="AF10" i="27"/>
  <c r="AG10" i="27"/>
  <c r="AH10" i="27"/>
  <c r="AI10" i="27"/>
  <c r="AJ10" i="27"/>
  <c r="AK10" i="27"/>
  <c r="AL10" i="27"/>
  <c r="AM10" i="27"/>
  <c r="AN10" i="27"/>
  <c r="AO10" i="27"/>
  <c r="AP10" i="27"/>
  <c r="AQ10" i="27"/>
  <c r="AR10" i="27"/>
  <c r="AS10" i="27"/>
  <c r="AT10" i="27"/>
  <c r="AU10" i="27"/>
  <c r="AV10" i="27"/>
  <c r="AW10" i="27"/>
  <c r="AX10" i="27"/>
  <c r="AY10" i="27"/>
  <c r="AZ10" i="27"/>
  <c r="BA10" i="27"/>
  <c r="BB10" i="27"/>
  <c r="BC10" i="27"/>
  <c r="BD10" i="27"/>
  <c r="BE10" i="27"/>
  <c r="BF10" i="27"/>
  <c r="BG10" i="27"/>
  <c r="BH10" i="27"/>
  <c r="BI10" i="27"/>
  <c r="BJ10" i="27"/>
  <c r="BK10" i="27"/>
  <c r="BL10" i="27"/>
  <c r="BM10" i="27"/>
  <c r="BN10" i="27"/>
  <c r="BO10" i="27"/>
  <c r="BP10" i="27"/>
  <c r="BQ10" i="27"/>
  <c r="BR10" i="27"/>
  <c r="BS10" i="27"/>
  <c r="BT10" i="27"/>
  <c r="BU10" i="27"/>
  <c r="BV10" i="27"/>
  <c r="BW10" i="27"/>
  <c r="BX10" i="27"/>
  <c r="BY10" i="27"/>
  <c r="BZ10" i="27"/>
  <c r="CA10" i="27"/>
  <c r="CB10" i="27"/>
  <c r="CC10" i="27"/>
  <c r="CD10" i="27"/>
  <c r="CE10" i="27"/>
  <c r="CF10" i="27"/>
  <c r="CG10" i="27"/>
  <c r="CH10" i="27"/>
  <c r="CI10" i="27"/>
  <c r="CJ10" i="27"/>
  <c r="CK10" i="27"/>
  <c r="CL10" i="27"/>
  <c r="CM10" i="27"/>
  <c r="CN10" i="27"/>
  <c r="CO10" i="27"/>
  <c r="CP10" i="27"/>
  <c r="CQ10" i="27"/>
  <c r="CR10" i="27"/>
  <c r="CS10" i="27"/>
  <c r="CT10" i="27"/>
  <c r="CU10" i="27"/>
  <c r="CV10" i="27"/>
  <c r="CW10" i="27"/>
  <c r="CX10" i="27"/>
  <c r="CY10" i="27"/>
  <c r="CZ10" i="27"/>
  <c r="DA10" i="27"/>
  <c r="DB10" i="27"/>
  <c r="DC10" i="27"/>
  <c r="DD10" i="27"/>
  <c r="DE10" i="27"/>
  <c r="DF10" i="27"/>
  <c r="DG10" i="27"/>
  <c r="DH10" i="27"/>
  <c r="DI10" i="27"/>
  <c r="DJ10" i="27"/>
  <c r="DK10" i="27"/>
  <c r="DL10" i="27"/>
  <c r="DM10" i="27"/>
  <c r="DN10" i="27"/>
  <c r="DO10" i="27"/>
  <c r="DP10" i="27"/>
  <c r="DQ10" i="27"/>
  <c r="DR10" i="27"/>
  <c r="DS10" i="27"/>
  <c r="DT10" i="27"/>
  <c r="DU10" i="27"/>
  <c r="DV10" i="27"/>
  <c r="DW10" i="27"/>
  <c r="DX10" i="27"/>
  <c r="DY10" i="27"/>
  <c r="DZ10" i="27"/>
  <c r="EA10" i="27"/>
  <c r="EB10" i="27"/>
  <c r="EC10" i="27"/>
  <c r="ED10" i="27"/>
  <c r="EE10" i="27"/>
  <c r="EF10" i="27"/>
  <c r="EG10" i="27"/>
  <c r="EH10" i="27"/>
  <c r="EI10" i="27"/>
  <c r="EJ10" i="27"/>
  <c r="EK10" i="27"/>
  <c r="EL10" i="27"/>
  <c r="EM10" i="27"/>
  <c r="EN10" i="27"/>
  <c r="EO10" i="27"/>
  <c r="EP10" i="27"/>
  <c r="EQ10" i="27"/>
  <c r="ER10" i="27"/>
  <c r="ES10" i="27"/>
  <c r="ET10" i="27"/>
  <c r="EU10" i="27"/>
  <c r="EV10" i="27"/>
  <c r="EW10" i="27"/>
  <c r="EX10" i="27"/>
  <c r="EY10" i="27"/>
  <c r="EZ10" i="27"/>
  <c r="FA10" i="27"/>
  <c r="FB10" i="27"/>
  <c r="FC10" i="27"/>
  <c r="FD10" i="27"/>
  <c r="FE10" i="27"/>
  <c r="FF10" i="27"/>
  <c r="FG10" i="27"/>
  <c r="FH10" i="27"/>
  <c r="FI10" i="27"/>
  <c r="FJ10" i="27"/>
  <c r="FK10" i="27"/>
  <c r="FL10" i="27"/>
  <c r="FM10" i="27"/>
  <c r="FN10" i="27"/>
  <c r="FO10" i="27"/>
  <c r="FP10" i="27"/>
  <c r="FQ10" i="27"/>
  <c r="FR10" i="27"/>
  <c r="FS10" i="27"/>
  <c r="FT10" i="27"/>
  <c r="FU10" i="27"/>
  <c r="FV10" i="27"/>
  <c r="FW10" i="27"/>
  <c r="FX10" i="27"/>
  <c r="FY10" i="27"/>
  <c r="FZ10" i="27"/>
  <c r="GA10" i="27"/>
  <c r="GB10" i="27"/>
  <c r="GC10" i="27"/>
  <c r="GD10" i="27"/>
  <c r="GE10" i="27"/>
  <c r="GF10" i="27"/>
  <c r="GG10" i="27"/>
  <c r="GH10" i="27"/>
  <c r="GI10" i="27"/>
  <c r="GJ10" i="27"/>
  <c r="GK10" i="27"/>
  <c r="GL10" i="27"/>
  <c r="GM10" i="27"/>
  <c r="GN10" i="27"/>
  <c r="GO10" i="27"/>
  <c r="GP10" i="27"/>
  <c r="GQ10" i="27"/>
  <c r="GR10" i="27"/>
  <c r="GS10" i="27"/>
  <c r="GT10" i="27"/>
  <c r="GU10" i="27"/>
  <c r="GV10" i="27"/>
  <c r="GW10" i="27"/>
  <c r="GX10" i="27"/>
  <c r="GY10" i="27"/>
  <c r="GZ10" i="27"/>
  <c r="HA10" i="27"/>
  <c r="HB10" i="27"/>
  <c r="HC10" i="27"/>
  <c r="HD10" i="27"/>
  <c r="HE10" i="27"/>
  <c r="HF10" i="27"/>
  <c r="HG10" i="27"/>
  <c r="HH10" i="27"/>
  <c r="HI10" i="27"/>
  <c r="HJ10" i="27"/>
  <c r="HK10" i="27"/>
  <c r="HL10" i="27"/>
  <c r="HM10" i="27"/>
  <c r="HN10" i="27"/>
  <c r="HO10" i="27"/>
  <c r="HP10" i="27"/>
  <c r="HQ10" i="27"/>
  <c r="HR10" i="27"/>
  <c r="HS10" i="27"/>
  <c r="HT10" i="27"/>
  <c r="HU10" i="27"/>
  <c r="HV10" i="27"/>
  <c r="HW10" i="27"/>
  <c r="HX10" i="27"/>
  <c r="HY10" i="27"/>
  <c r="HZ10" i="27"/>
  <c r="IA10" i="27"/>
  <c r="IB10" i="27"/>
  <c r="IC10" i="27"/>
  <c r="ID10" i="27"/>
  <c r="IE10" i="27"/>
  <c r="IF10" i="27"/>
  <c r="IG10" i="27"/>
  <c r="IH10" i="27"/>
  <c r="II10" i="27"/>
  <c r="IJ10" i="27"/>
  <c r="IK10" i="27"/>
  <c r="IL10" i="27"/>
  <c r="IM10" i="27"/>
  <c r="IN10" i="27"/>
  <c r="IO10" i="27"/>
  <c r="IP10" i="27"/>
  <c r="IQ10" i="27"/>
  <c r="IR10" i="27"/>
  <c r="IS10" i="27"/>
  <c r="IT10" i="27"/>
  <c r="IU10" i="27"/>
  <c r="IV10" i="27"/>
  <c r="A9" i="27"/>
  <c r="B9" i="27"/>
  <c r="C9" i="27"/>
  <c r="D9" i="27"/>
  <c r="E9" i="27"/>
  <c r="F9" i="27"/>
  <c r="G9" i="27"/>
  <c r="H9" i="27"/>
  <c r="I9" i="27"/>
  <c r="J9" i="27"/>
  <c r="K9" i="27"/>
  <c r="L9" i="27"/>
  <c r="M9" i="27"/>
  <c r="N9" i="27"/>
  <c r="O9" i="27"/>
  <c r="P9" i="27"/>
  <c r="Q9" i="27"/>
  <c r="R9" i="27"/>
  <c r="S9" i="27"/>
  <c r="T9" i="27"/>
  <c r="U9" i="27"/>
  <c r="V9" i="27"/>
  <c r="W9" i="27"/>
  <c r="X9" i="27"/>
  <c r="Y9" i="27"/>
  <c r="Z9" i="27"/>
  <c r="AA9" i="27"/>
  <c r="AB9" i="27"/>
  <c r="AC9" i="27"/>
  <c r="AD9" i="27"/>
  <c r="AE9" i="27"/>
  <c r="AF9" i="27"/>
  <c r="AG9" i="27"/>
  <c r="AJ9" i="27"/>
  <c r="AK9" i="27"/>
  <c r="AL9" i="27"/>
  <c r="AM9" i="27"/>
  <c r="AN9" i="27"/>
  <c r="AQ9" i="27"/>
  <c r="AR9" i="27"/>
  <c r="AS9" i="27"/>
  <c r="AT9" i="27"/>
  <c r="AU9" i="27"/>
  <c r="AV9" i="27"/>
  <c r="AW9" i="27"/>
  <c r="AX9" i="27"/>
  <c r="AY9" i="27"/>
  <c r="AZ9" i="27"/>
  <c r="BA9" i="27"/>
  <c r="BB9" i="27"/>
  <c r="BC9" i="27"/>
  <c r="BD9" i="27"/>
  <c r="BE9" i="27"/>
  <c r="BF9" i="27"/>
  <c r="BG9" i="27"/>
  <c r="BH9" i="27"/>
  <c r="BI9" i="27"/>
  <c r="BJ9" i="27"/>
  <c r="BK9" i="27"/>
  <c r="BL9" i="27"/>
  <c r="BM9" i="27"/>
  <c r="BN9" i="27"/>
  <c r="BO9" i="27"/>
  <c r="BP9" i="27"/>
  <c r="BQ9" i="27"/>
  <c r="BR9" i="27"/>
  <c r="BS9" i="27"/>
  <c r="BT9" i="27"/>
  <c r="BU9" i="27"/>
  <c r="BV9" i="27"/>
  <c r="BW9" i="27"/>
  <c r="BX9" i="27"/>
  <c r="BY9" i="27"/>
  <c r="BZ9" i="27"/>
  <c r="CA9" i="27"/>
  <c r="CB9" i="27"/>
  <c r="CC9" i="27"/>
  <c r="CD9" i="27"/>
  <c r="CE9" i="27"/>
  <c r="CF9" i="27"/>
  <c r="CG9" i="27"/>
  <c r="CH9" i="27"/>
  <c r="CI9" i="27"/>
  <c r="CJ9" i="27"/>
  <c r="CK9" i="27"/>
  <c r="CL9" i="27"/>
  <c r="CM9" i="27"/>
  <c r="CN9" i="27"/>
  <c r="CO9" i="27"/>
  <c r="CP9" i="27"/>
  <c r="CQ9" i="27"/>
  <c r="CR9" i="27"/>
  <c r="CS9" i="27"/>
  <c r="CT9" i="27"/>
  <c r="CU9" i="27"/>
  <c r="CV9" i="27"/>
  <c r="CW9" i="27"/>
  <c r="CX9" i="27"/>
  <c r="CY9" i="27"/>
  <c r="CZ9" i="27"/>
  <c r="DA9" i="27"/>
  <c r="DB9" i="27"/>
  <c r="DC9" i="27"/>
  <c r="DD9" i="27"/>
  <c r="DE9" i="27"/>
  <c r="DF9" i="27"/>
  <c r="DG9" i="27"/>
  <c r="DH9" i="27"/>
  <c r="DI9" i="27"/>
  <c r="DJ9" i="27"/>
  <c r="DK9" i="27"/>
  <c r="DL9" i="27"/>
  <c r="DM9" i="27"/>
  <c r="DN9" i="27"/>
  <c r="DO9" i="27"/>
  <c r="DP9" i="27"/>
  <c r="DQ9" i="27"/>
  <c r="DR9" i="27"/>
  <c r="DS9" i="27"/>
  <c r="DT9" i="27"/>
  <c r="DU9" i="27"/>
  <c r="DV9" i="27"/>
  <c r="DW9" i="27"/>
  <c r="DX9" i="27"/>
  <c r="DY9" i="27"/>
  <c r="DZ9" i="27"/>
  <c r="EA9" i="27"/>
  <c r="EB9" i="27"/>
  <c r="EC9" i="27"/>
  <c r="ED9" i="27"/>
  <c r="EE9" i="27"/>
  <c r="EF9" i="27"/>
  <c r="EG9" i="27"/>
  <c r="EH9" i="27"/>
  <c r="EI9" i="27"/>
  <c r="EJ9" i="27"/>
  <c r="EK9" i="27"/>
  <c r="EL9" i="27"/>
  <c r="EM9" i="27"/>
  <c r="EN9" i="27"/>
  <c r="EO9" i="27"/>
  <c r="EP9" i="27"/>
  <c r="EQ9" i="27"/>
  <c r="ER9" i="27"/>
  <c r="ES9" i="27"/>
  <c r="ET9" i="27"/>
  <c r="EU9" i="27"/>
  <c r="EV9" i="27"/>
  <c r="EW9" i="27"/>
  <c r="EX9" i="27"/>
  <c r="EY9" i="27"/>
  <c r="EZ9" i="27"/>
  <c r="FA9" i="27"/>
  <c r="FB9" i="27"/>
  <c r="FC9" i="27"/>
  <c r="FD9" i="27"/>
  <c r="FE9" i="27"/>
  <c r="FF9" i="27"/>
  <c r="FG9" i="27"/>
  <c r="FH9" i="27"/>
  <c r="FI9" i="27"/>
  <c r="FJ9" i="27"/>
  <c r="FK9" i="27"/>
  <c r="FL9" i="27"/>
  <c r="FM9" i="27"/>
  <c r="FN9" i="27"/>
  <c r="FO9" i="27"/>
  <c r="FP9" i="27"/>
  <c r="FQ9" i="27"/>
  <c r="FR9" i="27"/>
  <c r="FS9" i="27"/>
  <c r="FT9" i="27"/>
  <c r="FU9" i="27"/>
  <c r="FV9" i="27"/>
  <c r="FW9" i="27"/>
  <c r="FX9" i="27"/>
  <c r="FY9" i="27"/>
  <c r="FZ9" i="27"/>
  <c r="GA9" i="27"/>
  <c r="GB9" i="27"/>
  <c r="GC9" i="27"/>
  <c r="GD9" i="27"/>
  <c r="GE9" i="27"/>
  <c r="GF9" i="27"/>
  <c r="GG9" i="27"/>
  <c r="GH9" i="27"/>
  <c r="GI9" i="27"/>
  <c r="GJ9" i="27"/>
  <c r="GK9" i="27"/>
  <c r="GL9" i="27"/>
  <c r="GM9" i="27"/>
  <c r="GN9" i="27"/>
  <c r="GO9" i="27"/>
  <c r="GP9" i="27"/>
  <c r="GQ9" i="27"/>
  <c r="GR9" i="27"/>
  <c r="GS9" i="27"/>
  <c r="GT9" i="27"/>
  <c r="GU9" i="27"/>
  <c r="GV9" i="27"/>
  <c r="GW9" i="27"/>
  <c r="GX9" i="27"/>
  <c r="GY9" i="27"/>
  <c r="GZ9" i="27"/>
  <c r="HA9" i="27"/>
  <c r="HB9" i="27"/>
  <c r="HC9" i="27"/>
  <c r="HD9" i="27"/>
  <c r="HE9" i="27"/>
  <c r="HF9" i="27"/>
  <c r="HG9" i="27"/>
  <c r="HH9" i="27"/>
  <c r="HI9" i="27"/>
  <c r="HJ9" i="27"/>
  <c r="HK9" i="27"/>
  <c r="HL9" i="27"/>
  <c r="HM9" i="27"/>
  <c r="HN9" i="27"/>
  <c r="HO9" i="27"/>
  <c r="HP9" i="27"/>
  <c r="HQ9" i="27"/>
  <c r="HR9" i="27"/>
  <c r="HS9" i="27"/>
  <c r="HT9" i="27"/>
  <c r="HU9" i="27"/>
  <c r="HV9" i="27"/>
  <c r="HW9" i="27"/>
  <c r="HX9" i="27"/>
  <c r="HY9" i="27"/>
  <c r="HZ9" i="27"/>
  <c r="IA9" i="27"/>
  <c r="IB9" i="27"/>
  <c r="IC9" i="27"/>
  <c r="ID9" i="27"/>
  <c r="IE9" i="27"/>
  <c r="IF9" i="27"/>
  <c r="IG9" i="27"/>
  <c r="IH9" i="27"/>
  <c r="II9" i="27"/>
  <c r="IJ9" i="27"/>
  <c r="IK9" i="27"/>
  <c r="IL9" i="27"/>
  <c r="IM9" i="27"/>
  <c r="IN9" i="27"/>
  <c r="IO9" i="27"/>
  <c r="IP9" i="27"/>
  <c r="IQ9" i="27"/>
  <c r="IR9" i="27"/>
  <c r="IS9" i="27"/>
  <c r="IT9" i="27"/>
  <c r="IU9" i="27"/>
  <c r="IV9" i="27"/>
  <c r="A8" i="27"/>
  <c r="B8" i="27"/>
  <c r="C8" i="27"/>
  <c r="D8" i="27"/>
  <c r="E8" i="27"/>
  <c r="G8" i="27"/>
  <c r="H8" i="27"/>
  <c r="I8" i="27"/>
  <c r="J8" i="27"/>
  <c r="K8" i="27"/>
  <c r="L8" i="27"/>
  <c r="M8" i="27"/>
  <c r="N8" i="27"/>
  <c r="O8" i="27"/>
  <c r="P8" i="27"/>
  <c r="Q8" i="27"/>
  <c r="R8" i="27"/>
  <c r="S8" i="27"/>
  <c r="T8" i="27"/>
  <c r="U8" i="27"/>
  <c r="V8" i="27"/>
  <c r="W8" i="27"/>
  <c r="X8" i="27"/>
  <c r="Y8" i="27"/>
  <c r="Z8" i="27"/>
  <c r="AA8" i="27"/>
  <c r="AB8" i="27"/>
  <c r="AC8" i="27"/>
  <c r="AD8" i="27"/>
  <c r="AE8" i="27"/>
  <c r="AF8" i="27"/>
  <c r="AG8" i="27"/>
  <c r="AH8" i="27"/>
  <c r="AI8" i="27"/>
  <c r="AJ8" i="27"/>
  <c r="AK8" i="27"/>
  <c r="AL8" i="27"/>
  <c r="AM8" i="27"/>
  <c r="AN8" i="27"/>
  <c r="AO8" i="27"/>
  <c r="AP8" i="27"/>
  <c r="AQ8" i="27"/>
  <c r="AR8" i="27"/>
  <c r="AS8" i="27"/>
  <c r="AT8" i="27"/>
  <c r="AU8" i="27"/>
  <c r="AV8" i="27"/>
  <c r="AW8" i="27"/>
  <c r="AX8" i="27"/>
  <c r="AY8" i="27"/>
  <c r="AZ8" i="27"/>
  <c r="BA8" i="27"/>
  <c r="BB8" i="27"/>
  <c r="BC8" i="27"/>
  <c r="BD8" i="27"/>
  <c r="BE8" i="27"/>
  <c r="BF8" i="27"/>
  <c r="BG8" i="27"/>
  <c r="BH8" i="27"/>
  <c r="BI8" i="27"/>
  <c r="BJ8" i="27"/>
  <c r="BK8" i="27"/>
  <c r="BL8" i="27"/>
  <c r="BM8" i="27"/>
  <c r="BN8" i="27"/>
  <c r="BO8" i="27"/>
  <c r="BP8" i="27"/>
  <c r="BQ8" i="27"/>
  <c r="BR8" i="27"/>
  <c r="BS8" i="27"/>
  <c r="BT8" i="27"/>
  <c r="BU8" i="27"/>
  <c r="BV8" i="27"/>
  <c r="BW8" i="27"/>
  <c r="BX8" i="27"/>
  <c r="BY8" i="27"/>
  <c r="BZ8" i="27"/>
  <c r="CA8" i="27"/>
  <c r="CB8" i="27"/>
  <c r="CC8" i="27"/>
  <c r="CD8" i="27"/>
  <c r="CE8" i="27"/>
  <c r="CF8" i="27"/>
  <c r="CG8" i="27"/>
  <c r="CH8" i="27"/>
  <c r="CI8" i="27"/>
  <c r="CJ8" i="27"/>
  <c r="CK8" i="27"/>
  <c r="CL8" i="27"/>
  <c r="CM8" i="27"/>
  <c r="CN8" i="27"/>
  <c r="CO8" i="27"/>
  <c r="CP8" i="27"/>
  <c r="CQ8" i="27"/>
  <c r="CR8" i="27"/>
  <c r="CS8" i="27"/>
  <c r="CT8" i="27"/>
  <c r="CU8" i="27"/>
  <c r="CV8" i="27"/>
  <c r="CW8" i="27"/>
  <c r="CX8" i="27"/>
  <c r="CY8" i="27"/>
  <c r="CZ8" i="27"/>
  <c r="DA8" i="27"/>
  <c r="DB8" i="27"/>
  <c r="DC8" i="27"/>
  <c r="DD8" i="27"/>
  <c r="DE8" i="27"/>
  <c r="DF8" i="27"/>
  <c r="DG8" i="27"/>
  <c r="DH8" i="27"/>
  <c r="DI8" i="27"/>
  <c r="DJ8" i="27"/>
  <c r="DK8" i="27"/>
  <c r="DL8" i="27"/>
  <c r="DM8" i="27"/>
  <c r="DN8" i="27"/>
  <c r="DO8" i="27"/>
  <c r="DP8" i="27"/>
  <c r="DQ8" i="27"/>
  <c r="DR8" i="27"/>
  <c r="DS8" i="27"/>
  <c r="DT8" i="27"/>
  <c r="DU8" i="27"/>
  <c r="DV8" i="27"/>
  <c r="DW8" i="27"/>
  <c r="DX8" i="27"/>
  <c r="DY8" i="27"/>
  <c r="DZ8" i="27"/>
  <c r="EA8" i="27"/>
  <c r="EB8" i="27"/>
  <c r="EC8" i="27"/>
  <c r="ED8" i="27"/>
  <c r="EE8" i="27"/>
  <c r="EF8" i="27"/>
  <c r="EG8" i="27"/>
  <c r="EH8" i="27"/>
  <c r="EI8" i="27"/>
  <c r="EJ8" i="27"/>
  <c r="EK8" i="27"/>
  <c r="EL8" i="27"/>
  <c r="EM8" i="27"/>
  <c r="EN8" i="27"/>
  <c r="EO8" i="27"/>
  <c r="EP8" i="27"/>
  <c r="EQ8" i="27"/>
  <c r="ER8" i="27"/>
  <c r="ES8" i="27"/>
  <c r="ET8" i="27"/>
  <c r="EU8" i="27"/>
  <c r="EV8" i="27"/>
  <c r="EW8" i="27"/>
  <c r="EX8" i="27"/>
  <c r="EY8" i="27"/>
  <c r="EZ8" i="27"/>
  <c r="FA8" i="27"/>
  <c r="FB8" i="27"/>
  <c r="FC8" i="27"/>
  <c r="FD8" i="27"/>
  <c r="FE8" i="27"/>
  <c r="FF8" i="27"/>
  <c r="FG8" i="27"/>
  <c r="FH8" i="27"/>
  <c r="FI8" i="27"/>
  <c r="FJ8" i="27"/>
  <c r="FK8" i="27"/>
  <c r="FL8" i="27"/>
  <c r="FM8" i="27"/>
  <c r="FN8" i="27"/>
  <c r="FO8" i="27"/>
  <c r="FP8" i="27"/>
  <c r="FQ8" i="27"/>
  <c r="FR8" i="27"/>
  <c r="FS8" i="27"/>
  <c r="FT8" i="27"/>
  <c r="FU8" i="27"/>
  <c r="FV8" i="27"/>
  <c r="FW8" i="27"/>
  <c r="FX8" i="27"/>
  <c r="FY8" i="27"/>
  <c r="FZ8" i="27"/>
  <c r="GA8" i="27"/>
  <c r="GB8" i="27"/>
  <c r="GC8" i="27"/>
  <c r="GD8" i="27"/>
  <c r="GE8" i="27"/>
  <c r="GF8" i="27"/>
  <c r="GG8" i="27"/>
  <c r="GH8" i="27"/>
  <c r="GI8" i="27"/>
  <c r="GJ8" i="27"/>
  <c r="GK8" i="27"/>
  <c r="GL8" i="27"/>
  <c r="GM8" i="27"/>
  <c r="GN8" i="27"/>
  <c r="GO8" i="27"/>
  <c r="GP8" i="27"/>
  <c r="GQ8" i="27"/>
  <c r="GR8" i="27"/>
  <c r="GS8" i="27"/>
  <c r="GT8" i="27"/>
  <c r="GU8" i="27"/>
  <c r="GV8" i="27"/>
  <c r="GW8" i="27"/>
  <c r="GX8" i="27"/>
  <c r="GY8" i="27"/>
  <c r="GZ8" i="27"/>
  <c r="HA8" i="27"/>
  <c r="HB8" i="27"/>
  <c r="HC8" i="27"/>
  <c r="HD8" i="27"/>
  <c r="HE8" i="27"/>
  <c r="HF8" i="27"/>
  <c r="HG8" i="27"/>
  <c r="HH8" i="27"/>
  <c r="HI8" i="27"/>
  <c r="HJ8" i="27"/>
  <c r="HK8" i="27"/>
  <c r="HL8" i="27"/>
  <c r="HM8" i="27"/>
  <c r="HN8" i="27"/>
  <c r="HO8" i="27"/>
  <c r="HP8" i="27"/>
  <c r="HQ8" i="27"/>
  <c r="HR8" i="27"/>
  <c r="HS8" i="27"/>
  <c r="HT8" i="27"/>
  <c r="HU8" i="27"/>
  <c r="HV8" i="27"/>
  <c r="HW8" i="27"/>
  <c r="HX8" i="27"/>
  <c r="HY8" i="27"/>
  <c r="HZ8" i="27"/>
  <c r="IA8" i="27"/>
  <c r="IB8" i="27"/>
  <c r="IC8" i="27"/>
  <c r="ID8" i="27"/>
  <c r="IE8" i="27"/>
  <c r="IF8" i="27"/>
  <c r="IG8" i="27"/>
  <c r="IH8" i="27"/>
  <c r="II8" i="27"/>
  <c r="IJ8" i="27"/>
  <c r="IK8" i="27"/>
  <c r="IL8" i="27"/>
  <c r="IM8" i="27"/>
  <c r="IN8" i="27"/>
  <c r="IO8" i="27"/>
  <c r="IP8" i="27"/>
  <c r="IQ8" i="27"/>
  <c r="IR8" i="27"/>
  <c r="IS8" i="27"/>
  <c r="IT8" i="27"/>
  <c r="IU8" i="27"/>
  <c r="IV8" i="27"/>
  <c r="A7" i="27"/>
  <c r="B7" i="27"/>
  <c r="C7" i="27"/>
  <c r="D7" i="27"/>
  <c r="E7" i="27"/>
  <c r="F7" i="27"/>
  <c r="G7" i="27"/>
  <c r="H7" i="27"/>
  <c r="I7" i="27"/>
  <c r="J7" i="27"/>
  <c r="K7" i="27"/>
  <c r="L7" i="27"/>
  <c r="M7" i="27"/>
  <c r="N7" i="27"/>
  <c r="O7" i="27"/>
  <c r="P7" i="27"/>
  <c r="Q7" i="27"/>
  <c r="R7" i="27"/>
  <c r="S7" i="27"/>
  <c r="T7" i="27"/>
  <c r="U7" i="27"/>
  <c r="V7" i="27"/>
  <c r="W7" i="27"/>
  <c r="X7" i="27"/>
  <c r="Y7" i="27"/>
  <c r="Z7" i="27"/>
  <c r="AA7" i="27"/>
  <c r="AB7" i="27"/>
  <c r="AC7" i="27"/>
  <c r="AD7" i="27"/>
  <c r="AE7" i="27"/>
  <c r="AF7" i="27"/>
  <c r="AG7" i="27"/>
  <c r="AH7" i="27"/>
  <c r="AI7" i="27"/>
  <c r="AJ7" i="27"/>
  <c r="AK7" i="27"/>
  <c r="AL7" i="27"/>
  <c r="AM7" i="27"/>
  <c r="AN7" i="27"/>
  <c r="AO7" i="27"/>
  <c r="AP7" i="27"/>
  <c r="AQ7" i="27"/>
  <c r="AR7" i="27"/>
  <c r="AS7" i="27"/>
  <c r="AT7" i="27"/>
  <c r="AU7" i="27"/>
  <c r="AV7" i="27"/>
  <c r="AW7" i="27"/>
  <c r="AX7" i="27"/>
  <c r="AY7" i="27"/>
  <c r="AZ7" i="27"/>
  <c r="BA7" i="27"/>
  <c r="BB7" i="27"/>
  <c r="BC7" i="27"/>
  <c r="BF7" i="27"/>
  <c r="BG7" i="27"/>
  <c r="BH7" i="27"/>
  <c r="BI7" i="27"/>
  <c r="BJ7" i="27"/>
  <c r="BK7" i="27"/>
  <c r="BL7" i="27"/>
  <c r="BM7" i="27"/>
  <c r="BN7" i="27"/>
  <c r="BO7" i="27"/>
  <c r="BP7" i="27"/>
  <c r="BQ7" i="27"/>
  <c r="BR7" i="27"/>
  <c r="BS7" i="27"/>
  <c r="BT7" i="27"/>
  <c r="BU7" i="27"/>
  <c r="BV7" i="27"/>
  <c r="BW7" i="27"/>
  <c r="BX7" i="27"/>
  <c r="BY7" i="27"/>
  <c r="BZ7" i="27"/>
  <c r="CA7" i="27"/>
  <c r="CB7" i="27"/>
  <c r="CC7" i="27"/>
  <c r="CD7" i="27"/>
  <c r="CE7" i="27"/>
  <c r="CF7" i="27"/>
  <c r="CG7" i="27"/>
  <c r="CH7" i="27"/>
  <c r="CI7" i="27"/>
  <c r="CJ7" i="27"/>
  <c r="CK7" i="27"/>
  <c r="CL7" i="27"/>
  <c r="CM7" i="27"/>
  <c r="CN7" i="27"/>
  <c r="CO7" i="27"/>
  <c r="CP7" i="27"/>
  <c r="CQ7" i="27"/>
  <c r="CR7" i="27"/>
  <c r="CS7" i="27"/>
  <c r="CT7" i="27"/>
  <c r="CU7" i="27"/>
  <c r="CV7" i="27"/>
  <c r="CW7" i="27"/>
  <c r="CX7" i="27"/>
  <c r="CY7" i="27"/>
  <c r="CZ7" i="27"/>
  <c r="DA7" i="27"/>
  <c r="DB7" i="27"/>
  <c r="DC7" i="27"/>
  <c r="DD7" i="27"/>
  <c r="DE7" i="27"/>
  <c r="DF7" i="27"/>
  <c r="DG7" i="27"/>
  <c r="DH7" i="27"/>
  <c r="DI7" i="27"/>
  <c r="DJ7" i="27"/>
  <c r="DK7" i="27"/>
  <c r="DL7" i="27"/>
  <c r="DM7" i="27"/>
  <c r="DN7" i="27"/>
  <c r="DO7" i="27"/>
  <c r="DP7" i="27"/>
  <c r="DQ7" i="27"/>
  <c r="DR7" i="27"/>
  <c r="DS7" i="27"/>
  <c r="DT7" i="27"/>
  <c r="DU7" i="27"/>
  <c r="DV7" i="27"/>
  <c r="DW7" i="27"/>
  <c r="DX7" i="27"/>
  <c r="DY7" i="27"/>
  <c r="DZ7" i="27"/>
  <c r="EA7" i="27"/>
  <c r="EB7" i="27"/>
  <c r="EC7" i="27"/>
  <c r="ED7" i="27"/>
  <c r="EE7" i="27"/>
  <c r="EF7" i="27"/>
  <c r="EG7" i="27"/>
  <c r="EH7" i="27"/>
  <c r="EI7" i="27"/>
  <c r="EJ7" i="27"/>
  <c r="EK7" i="27"/>
  <c r="EL7" i="27"/>
  <c r="EM7" i="27"/>
  <c r="EN7" i="27"/>
  <c r="EO7" i="27"/>
  <c r="EP7" i="27"/>
  <c r="EQ7" i="27"/>
  <c r="ER7" i="27"/>
  <c r="ES7" i="27"/>
  <c r="ET7" i="27"/>
  <c r="EU7" i="27"/>
  <c r="EV7" i="27"/>
  <c r="EW7" i="27"/>
  <c r="EX7" i="27"/>
  <c r="EY7" i="27"/>
  <c r="EZ7" i="27"/>
  <c r="FA7" i="27"/>
  <c r="FB7" i="27"/>
  <c r="FC7" i="27"/>
  <c r="FD7" i="27"/>
  <c r="FE7" i="27"/>
  <c r="FF7" i="27"/>
  <c r="FG7" i="27"/>
  <c r="FH7" i="27"/>
  <c r="FI7" i="27"/>
  <c r="FJ7" i="27"/>
  <c r="FK7" i="27"/>
  <c r="FL7" i="27"/>
  <c r="FM7" i="27"/>
  <c r="FN7" i="27"/>
  <c r="FO7" i="27"/>
  <c r="FP7" i="27"/>
  <c r="FQ7" i="27"/>
  <c r="FR7" i="27"/>
  <c r="FS7" i="27"/>
  <c r="FT7" i="27"/>
  <c r="FU7" i="27"/>
  <c r="FV7" i="27"/>
  <c r="FW7" i="27"/>
  <c r="FX7" i="27"/>
  <c r="FY7" i="27"/>
  <c r="FZ7" i="27"/>
  <c r="GA7" i="27"/>
  <c r="GB7" i="27"/>
  <c r="GC7" i="27"/>
  <c r="GD7" i="27"/>
  <c r="GE7" i="27"/>
  <c r="GF7" i="27"/>
  <c r="GG7" i="27"/>
  <c r="GH7" i="27"/>
  <c r="GI7" i="27"/>
  <c r="GJ7" i="27"/>
  <c r="GK7" i="27"/>
  <c r="GL7" i="27"/>
  <c r="GM7" i="27"/>
  <c r="GN7" i="27"/>
  <c r="GO7" i="27"/>
  <c r="GP7" i="27"/>
  <c r="GQ7" i="27"/>
  <c r="GR7" i="27"/>
  <c r="GS7" i="27"/>
  <c r="GT7" i="27"/>
  <c r="GU7" i="27"/>
  <c r="GV7" i="27"/>
  <c r="GW7" i="27"/>
  <c r="GX7" i="27"/>
  <c r="GY7" i="27"/>
  <c r="GZ7" i="27"/>
  <c r="HA7" i="27"/>
  <c r="HB7" i="27"/>
  <c r="HC7" i="27"/>
  <c r="HD7" i="27"/>
  <c r="HE7" i="27"/>
  <c r="HF7" i="27"/>
  <c r="HG7" i="27"/>
  <c r="HH7" i="27"/>
  <c r="HI7" i="27"/>
  <c r="HJ7" i="27"/>
  <c r="HK7" i="27"/>
  <c r="HL7" i="27"/>
  <c r="HM7" i="27"/>
  <c r="HN7" i="27"/>
  <c r="HO7" i="27"/>
  <c r="HP7" i="27"/>
  <c r="HQ7" i="27"/>
  <c r="HR7" i="27"/>
  <c r="HS7" i="27"/>
  <c r="HT7" i="27"/>
  <c r="HU7" i="27"/>
  <c r="HV7" i="27"/>
  <c r="HW7" i="27"/>
  <c r="HX7" i="27"/>
  <c r="HY7" i="27"/>
  <c r="HZ7" i="27"/>
  <c r="IA7" i="27"/>
  <c r="IB7" i="27"/>
  <c r="IC7" i="27"/>
  <c r="ID7" i="27"/>
  <c r="IE7" i="27"/>
  <c r="IF7" i="27"/>
  <c r="IG7" i="27"/>
  <c r="IH7" i="27"/>
  <c r="II7" i="27"/>
  <c r="IJ7" i="27"/>
  <c r="IK7" i="27"/>
  <c r="IL7" i="27"/>
  <c r="IM7" i="27"/>
  <c r="IN7" i="27"/>
  <c r="IO7" i="27"/>
  <c r="IP7" i="27"/>
  <c r="IQ7" i="27"/>
  <c r="IR7" i="27"/>
  <c r="IS7" i="27"/>
  <c r="IT7" i="27"/>
  <c r="IU7" i="27"/>
  <c r="IV7" i="27"/>
  <c r="A6" i="27"/>
  <c r="B6" i="27"/>
  <c r="C6" i="27"/>
  <c r="D6" i="27"/>
  <c r="E6" i="27"/>
  <c r="F6" i="27"/>
  <c r="G6" i="27"/>
  <c r="H6" i="27"/>
  <c r="I6" i="27"/>
  <c r="J6" i="27"/>
  <c r="K6" i="27"/>
  <c r="L6" i="27"/>
  <c r="M6" i="27"/>
  <c r="N6" i="27"/>
  <c r="O6" i="27"/>
  <c r="P6" i="27"/>
  <c r="Q6" i="27"/>
  <c r="R6" i="27"/>
  <c r="S6" i="27"/>
  <c r="T6" i="27"/>
  <c r="U6" i="27"/>
  <c r="V6" i="27"/>
  <c r="W6" i="27"/>
  <c r="X6" i="27"/>
  <c r="Y6" i="27"/>
  <c r="Z6" i="27"/>
  <c r="AA6" i="27"/>
  <c r="AB6" i="27"/>
  <c r="AC6" i="27"/>
  <c r="AD6" i="27"/>
  <c r="AE6" i="27"/>
  <c r="AF6" i="27"/>
  <c r="AG6" i="27"/>
  <c r="AH6" i="27"/>
  <c r="AI6" i="27"/>
  <c r="AJ6" i="27"/>
  <c r="AK6" i="27"/>
  <c r="AL6" i="27"/>
  <c r="AM6" i="27"/>
  <c r="AN6" i="27"/>
  <c r="AO6" i="27"/>
  <c r="AP6" i="27"/>
  <c r="AQ6" i="27"/>
  <c r="AR6" i="27"/>
  <c r="AS6" i="27"/>
  <c r="AT6" i="27"/>
  <c r="AU6" i="27"/>
  <c r="AV6" i="27"/>
  <c r="AW6" i="27"/>
  <c r="AX6" i="27"/>
  <c r="AY6" i="27"/>
  <c r="AZ6" i="27"/>
  <c r="BA6" i="27"/>
  <c r="BB6" i="27"/>
  <c r="BC6" i="27"/>
  <c r="BD6" i="27"/>
  <c r="BE6" i="27"/>
  <c r="BF6" i="27"/>
  <c r="BG6" i="27"/>
  <c r="BH6" i="27"/>
  <c r="BI6" i="27"/>
  <c r="BJ6" i="27"/>
  <c r="BK6" i="27"/>
  <c r="BL6" i="27"/>
  <c r="BM6" i="27"/>
  <c r="BN6" i="27"/>
  <c r="BO6" i="27"/>
  <c r="BP6" i="27"/>
  <c r="BQ6" i="27"/>
  <c r="BR6" i="27"/>
  <c r="BS6" i="27"/>
  <c r="BT6" i="27"/>
  <c r="BU6" i="27"/>
  <c r="BV6" i="27"/>
  <c r="BW6" i="27"/>
  <c r="BX6" i="27"/>
  <c r="BY6" i="27"/>
  <c r="BZ6" i="27"/>
  <c r="CA6" i="27"/>
  <c r="CB6" i="27"/>
  <c r="CC6" i="27"/>
  <c r="CD6" i="27"/>
  <c r="CE6" i="27"/>
  <c r="CF6" i="27"/>
  <c r="CG6" i="27"/>
  <c r="CH6" i="27"/>
  <c r="CI6" i="27"/>
  <c r="CJ6" i="27"/>
  <c r="CK6" i="27"/>
  <c r="CL6" i="27"/>
  <c r="CM6" i="27"/>
  <c r="CN6" i="27"/>
  <c r="CO6" i="27"/>
  <c r="CP6" i="27"/>
  <c r="CQ6" i="27"/>
  <c r="CR6" i="27"/>
  <c r="CS6" i="27"/>
  <c r="CT6" i="27"/>
  <c r="CU6" i="27"/>
  <c r="CV6" i="27"/>
  <c r="CW6" i="27"/>
  <c r="CX6" i="27"/>
  <c r="CY6" i="27"/>
  <c r="CZ6" i="27"/>
  <c r="DA6" i="27"/>
  <c r="DB6" i="27"/>
  <c r="DC6" i="27"/>
  <c r="DD6" i="27"/>
  <c r="DE6" i="27"/>
  <c r="DF6" i="27"/>
  <c r="DG6" i="27"/>
  <c r="DH6" i="27"/>
  <c r="DI6" i="27"/>
  <c r="DJ6" i="27"/>
  <c r="DK6" i="27"/>
  <c r="DL6" i="27"/>
  <c r="DM6" i="27"/>
  <c r="DN6" i="27"/>
  <c r="DO6" i="27"/>
  <c r="DP6" i="27"/>
  <c r="DQ6" i="27"/>
  <c r="DR6" i="27"/>
  <c r="DS6" i="27"/>
  <c r="DT6" i="27"/>
  <c r="DU6" i="27"/>
  <c r="DV6" i="27"/>
  <c r="DW6" i="27"/>
  <c r="DX6" i="27"/>
  <c r="DY6" i="27"/>
  <c r="DZ6" i="27"/>
  <c r="EA6" i="27"/>
  <c r="EB6" i="27"/>
  <c r="EC6" i="27"/>
  <c r="ED6" i="27"/>
  <c r="EE6" i="27"/>
  <c r="EF6" i="27"/>
  <c r="EG6" i="27"/>
  <c r="EH6" i="27"/>
  <c r="EI6" i="27"/>
  <c r="EJ6" i="27"/>
  <c r="EK6" i="27"/>
  <c r="EL6" i="27"/>
  <c r="EM6" i="27"/>
  <c r="EN6" i="27"/>
  <c r="EO6" i="27"/>
  <c r="EP6" i="27"/>
  <c r="EQ6" i="27"/>
  <c r="ER6" i="27"/>
  <c r="ES6" i="27"/>
  <c r="ET6" i="27"/>
  <c r="EU6" i="27"/>
  <c r="EV6" i="27"/>
  <c r="EW6" i="27"/>
  <c r="EX6" i="27"/>
  <c r="EY6" i="27"/>
  <c r="EZ6" i="27"/>
  <c r="FA6" i="27"/>
  <c r="FB6" i="27"/>
  <c r="FC6" i="27"/>
  <c r="FD6" i="27"/>
  <c r="FE6" i="27"/>
  <c r="FF6" i="27"/>
  <c r="FG6" i="27"/>
  <c r="FH6" i="27"/>
  <c r="FI6" i="27"/>
  <c r="FJ6" i="27"/>
  <c r="FK6" i="27"/>
  <c r="FL6" i="27"/>
  <c r="FM6" i="27"/>
  <c r="FN6" i="27"/>
  <c r="FO6" i="27"/>
  <c r="FP6" i="27"/>
  <c r="FQ6" i="27"/>
  <c r="FR6" i="27"/>
  <c r="FS6" i="27"/>
  <c r="FT6" i="27"/>
  <c r="FU6" i="27"/>
  <c r="FV6" i="27"/>
  <c r="FW6" i="27"/>
  <c r="FX6" i="27"/>
  <c r="FY6" i="27"/>
  <c r="FZ6" i="27"/>
  <c r="GA6" i="27"/>
  <c r="GB6" i="27"/>
  <c r="GC6" i="27"/>
  <c r="GD6" i="27"/>
  <c r="GE6" i="27"/>
  <c r="GF6" i="27"/>
  <c r="GG6" i="27"/>
  <c r="GH6" i="27"/>
  <c r="GI6" i="27"/>
  <c r="GJ6" i="27"/>
  <c r="GK6" i="27"/>
  <c r="GL6" i="27"/>
  <c r="GM6" i="27"/>
  <c r="GN6" i="27"/>
  <c r="GO6" i="27"/>
  <c r="GP6" i="27"/>
  <c r="GQ6" i="27"/>
  <c r="GR6" i="27"/>
  <c r="GS6" i="27"/>
  <c r="GT6" i="27"/>
  <c r="GU6" i="27"/>
  <c r="GV6" i="27"/>
  <c r="GW6" i="27"/>
  <c r="GX6" i="27"/>
  <c r="GY6" i="27"/>
  <c r="GZ6" i="27"/>
  <c r="HA6" i="27"/>
  <c r="HB6" i="27"/>
  <c r="HC6" i="27"/>
  <c r="HD6" i="27"/>
  <c r="HE6" i="27"/>
  <c r="HF6" i="27"/>
  <c r="HG6" i="27"/>
  <c r="HH6" i="27"/>
  <c r="HI6" i="27"/>
  <c r="HJ6" i="27"/>
  <c r="HK6" i="27"/>
  <c r="HL6" i="27"/>
  <c r="HM6" i="27"/>
  <c r="HN6" i="27"/>
  <c r="HO6" i="27"/>
  <c r="HP6" i="27"/>
  <c r="HQ6" i="27"/>
  <c r="HR6" i="27"/>
  <c r="HS6" i="27"/>
  <c r="HT6" i="27"/>
  <c r="HU6" i="27"/>
  <c r="HV6" i="27"/>
  <c r="HW6" i="27"/>
  <c r="HX6" i="27"/>
  <c r="HY6" i="27"/>
  <c r="HZ6" i="27"/>
  <c r="IA6" i="27"/>
  <c r="IB6" i="27"/>
  <c r="IC6" i="27"/>
  <c r="ID6" i="27"/>
  <c r="IE6" i="27"/>
  <c r="IF6" i="27"/>
  <c r="IG6" i="27"/>
  <c r="IH6" i="27"/>
  <c r="II6" i="27"/>
  <c r="IJ6" i="27"/>
  <c r="IK6" i="27"/>
  <c r="IL6" i="27"/>
  <c r="IM6" i="27"/>
  <c r="IN6" i="27"/>
  <c r="IO6" i="27"/>
  <c r="IP6" i="27"/>
  <c r="IQ6" i="27"/>
  <c r="IR6" i="27"/>
  <c r="IS6" i="27"/>
  <c r="IT6" i="27"/>
  <c r="IU6" i="27"/>
  <c r="IV6" i="27"/>
  <c r="A5" i="27"/>
  <c r="B5" i="27"/>
  <c r="C5" i="27"/>
  <c r="D5" i="27"/>
  <c r="E5" i="27"/>
  <c r="F5" i="27"/>
  <c r="G5" i="27"/>
  <c r="H5" i="27"/>
  <c r="I5" i="27"/>
  <c r="J5" i="27"/>
  <c r="K5" i="27"/>
  <c r="L5" i="27"/>
  <c r="M5" i="27"/>
  <c r="N5" i="27"/>
  <c r="O5" i="27"/>
  <c r="P5" i="27"/>
  <c r="Q5" i="27"/>
  <c r="R5" i="27"/>
  <c r="S5" i="27"/>
  <c r="T5" i="27"/>
  <c r="U5" i="27"/>
  <c r="V5" i="27"/>
  <c r="W5" i="27"/>
  <c r="X5" i="27"/>
  <c r="Y5" i="27"/>
  <c r="Z5" i="27"/>
  <c r="AA5" i="27"/>
  <c r="AB5" i="27"/>
  <c r="AC5" i="27"/>
  <c r="AD5" i="27"/>
  <c r="AE5" i="27"/>
  <c r="AF5" i="27"/>
  <c r="AG5" i="27"/>
  <c r="AH5" i="27"/>
  <c r="AI5" i="27"/>
  <c r="AJ5" i="27"/>
  <c r="AK5" i="27"/>
  <c r="AL5" i="27"/>
  <c r="AM5" i="27"/>
  <c r="AN5" i="27"/>
  <c r="AO5" i="27"/>
  <c r="AP5" i="27"/>
  <c r="AQ5" i="27"/>
  <c r="AR5" i="27"/>
  <c r="AS5" i="27"/>
  <c r="AT5" i="27"/>
  <c r="AU5" i="27"/>
  <c r="AV5" i="27"/>
  <c r="AW5" i="27"/>
  <c r="AX5" i="27"/>
  <c r="AY5" i="27"/>
  <c r="AZ5" i="27"/>
  <c r="BA5" i="27"/>
  <c r="BB5" i="27"/>
  <c r="BC5" i="27"/>
  <c r="BD5" i="27"/>
  <c r="BE5" i="27"/>
  <c r="BF5" i="27"/>
  <c r="BG5" i="27"/>
  <c r="BH5" i="27"/>
  <c r="BI5" i="27"/>
  <c r="BJ5" i="27"/>
  <c r="BK5" i="27"/>
  <c r="BL5" i="27"/>
  <c r="BM5" i="27"/>
  <c r="BN5" i="27"/>
  <c r="BO5" i="27"/>
  <c r="BP5" i="27"/>
  <c r="BQ5" i="27"/>
  <c r="BR5" i="27"/>
  <c r="BS5" i="27"/>
  <c r="BT5" i="27"/>
  <c r="BU5" i="27"/>
  <c r="BV5" i="27"/>
  <c r="BW5" i="27"/>
  <c r="BX5" i="27"/>
  <c r="BY5" i="27"/>
  <c r="BZ5" i="27"/>
  <c r="CA5" i="27"/>
  <c r="CB5" i="27"/>
  <c r="CC5" i="27"/>
  <c r="CD5" i="27"/>
  <c r="CE5" i="27"/>
  <c r="CF5" i="27"/>
  <c r="CG5" i="27"/>
  <c r="CH5" i="27"/>
  <c r="CI5" i="27"/>
  <c r="CJ5" i="27"/>
  <c r="CK5" i="27"/>
  <c r="CL5" i="27"/>
  <c r="CM5" i="27"/>
  <c r="CN5" i="27"/>
  <c r="CO5" i="27"/>
  <c r="CP5" i="27"/>
  <c r="CQ5" i="27"/>
  <c r="CR5" i="27"/>
  <c r="CS5" i="27"/>
  <c r="CT5" i="27"/>
  <c r="CU5" i="27"/>
  <c r="CV5" i="27"/>
  <c r="CW5" i="27"/>
  <c r="CX5" i="27"/>
  <c r="CY5" i="27"/>
  <c r="CZ5" i="27"/>
  <c r="DA5" i="27"/>
  <c r="DB5" i="27"/>
  <c r="DC5" i="27"/>
  <c r="DD5" i="27"/>
  <c r="DE5" i="27"/>
  <c r="DF5" i="27"/>
  <c r="DG5" i="27"/>
  <c r="DH5" i="27"/>
  <c r="DI5" i="27"/>
  <c r="DJ5" i="27"/>
  <c r="DK5" i="27"/>
  <c r="DL5" i="27"/>
  <c r="DM5" i="27"/>
  <c r="DN5" i="27"/>
  <c r="DO5" i="27"/>
  <c r="DP5" i="27"/>
  <c r="DQ5" i="27"/>
  <c r="DR5" i="27"/>
  <c r="DS5" i="27"/>
  <c r="DT5" i="27"/>
  <c r="DU5" i="27"/>
  <c r="DV5" i="27"/>
  <c r="DW5" i="27"/>
  <c r="DX5" i="27"/>
  <c r="DY5" i="27"/>
  <c r="DZ5" i="27"/>
  <c r="EA5" i="27"/>
  <c r="EB5" i="27"/>
  <c r="EC5" i="27"/>
  <c r="ED5" i="27"/>
  <c r="EE5" i="27"/>
  <c r="EF5" i="27"/>
  <c r="EG5" i="27"/>
  <c r="EH5" i="27"/>
  <c r="EI5" i="27"/>
  <c r="EJ5" i="27"/>
  <c r="EK5" i="27"/>
  <c r="EL5" i="27"/>
  <c r="EM5" i="27"/>
  <c r="EN5" i="27"/>
  <c r="EO5" i="27"/>
  <c r="EP5" i="27"/>
  <c r="EQ5" i="27"/>
  <c r="ER5" i="27"/>
  <c r="ES5" i="27"/>
  <c r="ET5" i="27"/>
  <c r="EU5" i="27"/>
  <c r="EV5" i="27"/>
  <c r="EW5" i="27"/>
  <c r="EX5" i="27"/>
  <c r="EY5" i="27"/>
  <c r="EZ5" i="27"/>
  <c r="FA5" i="27"/>
  <c r="FB5" i="27"/>
  <c r="FC5" i="27"/>
  <c r="FD5" i="27"/>
  <c r="FE5" i="27"/>
  <c r="FF5" i="27"/>
  <c r="FG5" i="27"/>
  <c r="FH5" i="27"/>
  <c r="FI5" i="27"/>
  <c r="FJ5" i="27"/>
  <c r="FK5" i="27"/>
  <c r="FL5" i="27"/>
  <c r="FM5" i="27"/>
  <c r="FN5" i="27"/>
  <c r="FO5" i="27"/>
  <c r="FP5" i="27"/>
  <c r="FQ5" i="27"/>
  <c r="FR5" i="27"/>
  <c r="FS5" i="27"/>
  <c r="FT5" i="27"/>
  <c r="FU5" i="27"/>
  <c r="FV5" i="27"/>
  <c r="FW5" i="27"/>
  <c r="FX5" i="27"/>
  <c r="FY5" i="27"/>
  <c r="FZ5" i="27"/>
  <c r="GA5" i="27"/>
  <c r="GB5" i="27"/>
  <c r="GC5" i="27"/>
  <c r="GD5" i="27"/>
  <c r="GE5" i="27"/>
  <c r="GF5" i="27"/>
  <c r="GG5" i="27"/>
  <c r="GH5" i="27"/>
  <c r="GI5" i="27"/>
  <c r="GJ5" i="27"/>
  <c r="GK5" i="27"/>
  <c r="GL5" i="27"/>
  <c r="GM5" i="27"/>
  <c r="GN5" i="27"/>
  <c r="GO5" i="27"/>
  <c r="GP5" i="27"/>
  <c r="GQ5" i="27"/>
  <c r="GR5" i="27"/>
  <c r="GS5" i="27"/>
  <c r="GT5" i="27"/>
  <c r="GU5" i="27"/>
  <c r="GV5" i="27"/>
  <c r="GW5" i="27"/>
  <c r="GX5" i="27"/>
  <c r="GY5" i="27"/>
  <c r="GZ5" i="27"/>
  <c r="HA5" i="27"/>
  <c r="HB5" i="27"/>
  <c r="HC5" i="27"/>
  <c r="HD5" i="27"/>
  <c r="HE5" i="27"/>
  <c r="HF5" i="27"/>
  <c r="HG5" i="27"/>
  <c r="HH5" i="27"/>
  <c r="HI5" i="27"/>
  <c r="HJ5" i="27"/>
  <c r="HK5" i="27"/>
  <c r="HL5" i="27"/>
  <c r="HM5" i="27"/>
  <c r="HN5" i="27"/>
  <c r="HO5" i="27"/>
  <c r="HP5" i="27"/>
  <c r="HQ5" i="27"/>
  <c r="HR5" i="27"/>
  <c r="HS5" i="27"/>
  <c r="HT5" i="27"/>
  <c r="HU5" i="27"/>
  <c r="HV5" i="27"/>
  <c r="HW5" i="27"/>
  <c r="HX5" i="27"/>
  <c r="HY5" i="27"/>
  <c r="HZ5" i="27"/>
  <c r="IA5" i="27"/>
  <c r="IB5" i="27"/>
  <c r="IC5" i="27"/>
  <c r="ID5" i="27"/>
  <c r="IE5" i="27"/>
  <c r="IF5" i="27"/>
  <c r="IG5" i="27"/>
  <c r="IH5" i="27"/>
  <c r="II5" i="27"/>
  <c r="IJ5" i="27"/>
  <c r="IK5" i="27"/>
  <c r="IL5" i="27"/>
  <c r="IM5" i="27"/>
  <c r="IN5" i="27"/>
  <c r="IO5" i="27"/>
  <c r="IP5" i="27"/>
  <c r="IQ5" i="27"/>
  <c r="IR5" i="27"/>
  <c r="IS5" i="27"/>
  <c r="IT5" i="27"/>
  <c r="IU5" i="27"/>
  <c r="IV5" i="27"/>
  <c r="A4" i="27"/>
  <c r="B4" i="27"/>
  <c r="C4" i="27"/>
  <c r="D4" i="27"/>
  <c r="E4" i="27"/>
  <c r="F4" i="27"/>
  <c r="G4" i="27"/>
  <c r="H4" i="27"/>
  <c r="I4" i="27"/>
  <c r="J4" i="27"/>
  <c r="K4" i="27"/>
  <c r="L4" i="27"/>
  <c r="M4" i="27"/>
  <c r="N4" i="27"/>
  <c r="O4" i="27"/>
  <c r="P4" i="27"/>
  <c r="Q4" i="27"/>
  <c r="R4" i="27"/>
  <c r="S4" i="27"/>
  <c r="T4" i="27"/>
  <c r="U4" i="27"/>
  <c r="V4" i="27"/>
  <c r="W4" i="27"/>
  <c r="X4" i="27"/>
  <c r="Y4" i="27"/>
  <c r="Z4" i="27"/>
  <c r="AA4" i="27"/>
  <c r="AB4" i="27"/>
  <c r="AC4" i="27"/>
  <c r="AD4" i="27"/>
  <c r="AE4" i="27"/>
  <c r="AF4" i="27"/>
  <c r="AG4" i="27"/>
  <c r="AH4" i="27"/>
  <c r="AI4" i="27"/>
  <c r="AJ4" i="27"/>
  <c r="AK4" i="27"/>
  <c r="AL4" i="27"/>
  <c r="AM4" i="27"/>
  <c r="AN4" i="27"/>
  <c r="AO4" i="27"/>
  <c r="AP4" i="27"/>
  <c r="AQ4" i="27"/>
  <c r="AR4" i="27"/>
  <c r="AS4" i="27"/>
  <c r="AT4" i="27"/>
  <c r="AU4" i="27"/>
  <c r="AV4" i="27"/>
  <c r="AW4" i="27"/>
  <c r="AX4" i="27"/>
  <c r="AY4" i="27"/>
  <c r="AZ4" i="27"/>
  <c r="BA4" i="27"/>
  <c r="BB4" i="27"/>
  <c r="BC4" i="27"/>
  <c r="BD4" i="27"/>
  <c r="BE4" i="27"/>
  <c r="BF4" i="27"/>
  <c r="BG4" i="27"/>
  <c r="BH4" i="27"/>
  <c r="BI4" i="27"/>
  <c r="BJ4" i="27"/>
  <c r="BK4" i="27"/>
  <c r="BL4" i="27"/>
  <c r="BM4" i="27"/>
  <c r="BN4" i="27"/>
  <c r="BO4" i="27"/>
  <c r="BP4" i="27"/>
  <c r="BQ4" i="27"/>
  <c r="BR4" i="27"/>
  <c r="BS4" i="27"/>
  <c r="BT4" i="27"/>
  <c r="BU4" i="27"/>
  <c r="BV4" i="27"/>
  <c r="BW4" i="27"/>
  <c r="BX4" i="27"/>
  <c r="BY4" i="27"/>
  <c r="BZ4" i="27"/>
  <c r="CA4" i="27"/>
  <c r="CB4" i="27"/>
  <c r="CC4" i="27"/>
  <c r="CD4" i="27"/>
  <c r="CE4" i="27"/>
  <c r="CF4" i="27"/>
  <c r="CG4" i="27"/>
  <c r="CH4" i="27"/>
  <c r="CI4" i="27"/>
  <c r="CJ4" i="27"/>
  <c r="CK4" i="27"/>
  <c r="CL4" i="27"/>
  <c r="CM4" i="27"/>
  <c r="CN4" i="27"/>
  <c r="CO4" i="27"/>
  <c r="CP4" i="27"/>
  <c r="CQ4" i="27"/>
  <c r="CR4" i="27"/>
  <c r="CS4" i="27"/>
  <c r="CT4" i="27"/>
  <c r="CU4" i="27"/>
  <c r="CV4" i="27"/>
  <c r="CW4" i="27"/>
  <c r="CX4" i="27"/>
  <c r="CY4" i="27"/>
  <c r="CZ4" i="27"/>
  <c r="DA4" i="27"/>
  <c r="DB4" i="27"/>
  <c r="DC4" i="27"/>
  <c r="DD4" i="27"/>
  <c r="DE4" i="27"/>
  <c r="DF4" i="27"/>
  <c r="DG4" i="27"/>
  <c r="DH4" i="27"/>
  <c r="DI4" i="27"/>
  <c r="DJ4" i="27"/>
  <c r="DK4" i="27"/>
  <c r="DL4" i="27"/>
  <c r="DM4" i="27"/>
  <c r="DN4" i="27"/>
  <c r="DO4" i="27"/>
  <c r="DP4" i="27"/>
  <c r="DQ4" i="27"/>
  <c r="DR4" i="27"/>
  <c r="DS4" i="27"/>
  <c r="DT4" i="27"/>
  <c r="DU4" i="27"/>
  <c r="DV4" i="27"/>
  <c r="DW4" i="27"/>
  <c r="DX4" i="27"/>
  <c r="DY4" i="27"/>
  <c r="DZ4" i="27"/>
  <c r="EA4" i="27"/>
  <c r="EB4" i="27"/>
  <c r="EC4" i="27"/>
  <c r="ED4" i="27"/>
  <c r="EE4" i="27"/>
  <c r="EF4" i="27"/>
  <c r="EG4" i="27"/>
  <c r="EH4" i="27"/>
  <c r="EI4" i="27"/>
  <c r="EJ4" i="27"/>
  <c r="EK4" i="27"/>
  <c r="EL4" i="27"/>
  <c r="EM4" i="27"/>
  <c r="EN4" i="27"/>
  <c r="EO4" i="27"/>
  <c r="EP4" i="27"/>
  <c r="EQ4" i="27"/>
  <c r="ER4" i="27"/>
  <c r="ES4" i="27"/>
  <c r="ET4" i="27"/>
  <c r="EU4" i="27"/>
  <c r="EV4" i="27"/>
  <c r="EW4" i="27"/>
  <c r="EX4" i="27"/>
  <c r="EY4" i="27"/>
  <c r="EZ4" i="27"/>
  <c r="FA4" i="27"/>
  <c r="FB4" i="27"/>
  <c r="FC4" i="27"/>
  <c r="FD4" i="27"/>
  <c r="FE4" i="27"/>
  <c r="FF4" i="27"/>
  <c r="FG4" i="27"/>
  <c r="FH4" i="27"/>
  <c r="FI4" i="27"/>
  <c r="FJ4" i="27"/>
  <c r="FK4" i="27"/>
  <c r="FL4" i="27"/>
  <c r="FM4" i="27"/>
  <c r="FN4" i="27"/>
  <c r="FO4" i="27"/>
  <c r="FP4" i="27"/>
  <c r="FQ4" i="27"/>
  <c r="FR4" i="27"/>
  <c r="FS4" i="27"/>
  <c r="FT4" i="27"/>
  <c r="FU4" i="27"/>
  <c r="FV4" i="27"/>
  <c r="FW4" i="27"/>
  <c r="FX4" i="27"/>
  <c r="FY4" i="27"/>
  <c r="FZ4" i="27"/>
  <c r="GA4" i="27"/>
  <c r="GB4" i="27"/>
  <c r="GC4" i="27"/>
  <c r="GD4" i="27"/>
  <c r="GE4" i="27"/>
  <c r="GF4" i="27"/>
  <c r="GG4" i="27"/>
  <c r="GH4" i="27"/>
  <c r="GI4" i="27"/>
  <c r="GJ4" i="27"/>
  <c r="GK4" i="27"/>
  <c r="GL4" i="27"/>
  <c r="GM4" i="27"/>
  <c r="GN4" i="27"/>
  <c r="GO4" i="27"/>
  <c r="GP4" i="27"/>
  <c r="GQ4" i="27"/>
  <c r="GR4" i="27"/>
  <c r="GS4" i="27"/>
  <c r="GT4" i="27"/>
  <c r="GU4" i="27"/>
  <c r="GV4" i="27"/>
  <c r="GW4" i="27"/>
  <c r="GX4" i="27"/>
  <c r="GY4" i="27"/>
  <c r="GZ4" i="27"/>
  <c r="HA4" i="27"/>
  <c r="HB4" i="27"/>
  <c r="HC4" i="27"/>
  <c r="HD4" i="27"/>
  <c r="HE4" i="27"/>
  <c r="HF4" i="27"/>
  <c r="HG4" i="27"/>
  <c r="HH4" i="27"/>
  <c r="HI4" i="27"/>
  <c r="HJ4" i="27"/>
  <c r="HK4" i="27"/>
  <c r="HL4" i="27"/>
  <c r="HM4" i="27"/>
  <c r="HN4" i="27"/>
  <c r="HO4" i="27"/>
  <c r="HP4" i="27"/>
  <c r="HQ4" i="27"/>
  <c r="HR4" i="27"/>
  <c r="HS4" i="27"/>
  <c r="HT4" i="27"/>
  <c r="HU4" i="27"/>
  <c r="HV4" i="27"/>
  <c r="HW4" i="27"/>
  <c r="HX4" i="27"/>
  <c r="HY4" i="27"/>
  <c r="HZ4" i="27"/>
  <c r="IA4" i="27"/>
  <c r="IB4" i="27"/>
  <c r="IC4" i="27"/>
  <c r="ID4" i="27"/>
  <c r="IE4" i="27"/>
  <c r="IF4" i="27"/>
  <c r="IG4" i="27"/>
  <c r="IH4" i="27"/>
  <c r="II4" i="27"/>
  <c r="IJ4" i="27"/>
  <c r="IK4" i="27"/>
  <c r="IL4" i="27"/>
  <c r="IM4" i="27"/>
  <c r="IN4" i="27"/>
  <c r="IO4" i="27"/>
  <c r="IP4" i="27"/>
  <c r="IQ4" i="27"/>
  <c r="IR4" i="27"/>
  <c r="IS4" i="27"/>
  <c r="IT4" i="27"/>
  <c r="IU4" i="27"/>
  <c r="IV4" i="27"/>
  <c r="A3" i="27"/>
  <c r="B3" i="27"/>
  <c r="C3" i="27"/>
  <c r="D3" i="27"/>
  <c r="E3" i="27"/>
  <c r="F3" i="27"/>
  <c r="G3" i="27"/>
  <c r="H3" i="27"/>
  <c r="I3" i="27"/>
  <c r="J3" i="27"/>
  <c r="K3" i="27"/>
  <c r="L3" i="27"/>
  <c r="M3" i="27"/>
  <c r="N3" i="27"/>
  <c r="O3" i="27"/>
  <c r="P3" i="27"/>
  <c r="Q3" i="27"/>
  <c r="R3" i="27"/>
  <c r="S3" i="27"/>
  <c r="T3" i="27"/>
  <c r="U3" i="27"/>
  <c r="V3" i="27"/>
  <c r="W3" i="27"/>
  <c r="X3" i="27"/>
  <c r="Y3" i="27"/>
  <c r="Z3" i="27"/>
  <c r="AA3" i="27"/>
  <c r="AB3" i="27"/>
  <c r="AC3" i="27"/>
  <c r="AD3" i="27"/>
  <c r="AE3" i="27"/>
  <c r="AF3" i="27"/>
  <c r="AG3" i="27"/>
  <c r="AH3" i="27"/>
  <c r="AI3" i="27"/>
  <c r="AJ3" i="27"/>
  <c r="AK3" i="27"/>
  <c r="AL3" i="27"/>
  <c r="AM3" i="27"/>
  <c r="AN3" i="27"/>
  <c r="AO3" i="27"/>
  <c r="AP3" i="27"/>
  <c r="AQ3" i="27"/>
  <c r="AR3" i="27"/>
  <c r="AS3" i="27"/>
  <c r="AT3" i="27"/>
  <c r="AU3" i="27"/>
  <c r="AV3" i="27"/>
  <c r="AW3" i="27"/>
  <c r="AX3" i="27"/>
  <c r="AY3" i="27"/>
  <c r="AZ3" i="27"/>
  <c r="BA3" i="27"/>
  <c r="BB3" i="27"/>
  <c r="BC3" i="27"/>
  <c r="BD3" i="27"/>
  <c r="BE3" i="27"/>
  <c r="BF3" i="27"/>
  <c r="BG3" i="27"/>
  <c r="BH3" i="27"/>
  <c r="BI3" i="27"/>
  <c r="BJ3" i="27"/>
  <c r="BK3" i="27"/>
  <c r="BL3" i="27"/>
  <c r="BM3" i="27"/>
  <c r="BN3" i="27"/>
  <c r="BO3" i="27"/>
  <c r="BP3" i="27"/>
  <c r="BQ3" i="27"/>
  <c r="BR3" i="27"/>
  <c r="BS3" i="27"/>
  <c r="BT3" i="27"/>
  <c r="BU3" i="27"/>
  <c r="BV3" i="27"/>
  <c r="BW3" i="27"/>
  <c r="BX3" i="27"/>
  <c r="BY3" i="27"/>
  <c r="BZ3" i="27"/>
  <c r="CA3" i="27"/>
  <c r="CB3" i="27"/>
  <c r="CC3" i="27"/>
  <c r="CD3" i="27"/>
  <c r="CE3" i="27"/>
  <c r="CF3" i="27"/>
  <c r="CG3" i="27"/>
  <c r="CH3" i="27"/>
  <c r="CI3" i="27"/>
  <c r="CJ3" i="27"/>
  <c r="CK3" i="27"/>
  <c r="CL3" i="27"/>
  <c r="CM3" i="27"/>
  <c r="CN3" i="27"/>
  <c r="CO3" i="27"/>
  <c r="CP3" i="27"/>
  <c r="CQ3" i="27"/>
  <c r="CR3" i="27"/>
  <c r="CS3" i="27"/>
  <c r="CT3" i="27"/>
  <c r="CU3" i="27"/>
  <c r="CV3" i="27"/>
  <c r="CW3" i="27"/>
  <c r="CX3" i="27"/>
  <c r="CY3" i="27"/>
  <c r="CZ3" i="27"/>
  <c r="DA3" i="27"/>
  <c r="DB3" i="27"/>
  <c r="DC3" i="27"/>
  <c r="DD3" i="27"/>
  <c r="DE3" i="27"/>
  <c r="DF3" i="27"/>
  <c r="DG3" i="27"/>
  <c r="DH3" i="27"/>
  <c r="DI3" i="27"/>
  <c r="DJ3" i="27"/>
  <c r="DK3" i="27"/>
  <c r="DL3" i="27"/>
  <c r="DM3" i="27"/>
  <c r="DN3" i="27"/>
  <c r="DO3" i="27"/>
  <c r="DP3" i="27"/>
  <c r="DQ3" i="27"/>
  <c r="DR3" i="27"/>
  <c r="DS3" i="27"/>
  <c r="DT3" i="27"/>
  <c r="DU3" i="27"/>
  <c r="DV3" i="27"/>
  <c r="DW3" i="27"/>
  <c r="DX3" i="27"/>
  <c r="DY3" i="27"/>
  <c r="DZ3" i="27"/>
  <c r="EA3" i="27"/>
  <c r="EB3" i="27"/>
  <c r="EC3" i="27"/>
  <c r="ED3" i="27"/>
  <c r="EE3" i="27"/>
  <c r="EF3" i="27"/>
  <c r="EG3" i="27"/>
  <c r="EH3" i="27"/>
  <c r="EI3" i="27"/>
  <c r="EJ3" i="27"/>
  <c r="EK3" i="27"/>
  <c r="EL3" i="27"/>
  <c r="EM3" i="27"/>
  <c r="EN3" i="27"/>
  <c r="EO3" i="27"/>
  <c r="EP3" i="27"/>
  <c r="EQ3" i="27"/>
  <c r="ER3" i="27"/>
  <c r="ES3" i="27"/>
  <c r="ET3" i="27"/>
  <c r="EU3" i="27"/>
  <c r="EV3" i="27"/>
  <c r="EW3" i="27"/>
  <c r="EX3" i="27"/>
  <c r="EY3" i="27"/>
  <c r="EZ3" i="27"/>
  <c r="FA3" i="27"/>
  <c r="FB3" i="27"/>
  <c r="FC3" i="27"/>
  <c r="FD3" i="27"/>
  <c r="FE3" i="27"/>
  <c r="FF3" i="27"/>
  <c r="FG3" i="27"/>
  <c r="FH3" i="27"/>
  <c r="FI3" i="27"/>
  <c r="FJ3" i="27"/>
  <c r="FK3" i="27"/>
  <c r="FL3" i="27"/>
  <c r="FM3" i="27"/>
  <c r="FN3" i="27"/>
  <c r="FO3" i="27"/>
  <c r="FP3" i="27"/>
  <c r="FQ3" i="27"/>
  <c r="FR3" i="27"/>
  <c r="FS3" i="27"/>
  <c r="FT3" i="27"/>
  <c r="FU3" i="27"/>
  <c r="FV3" i="27"/>
  <c r="FW3" i="27"/>
  <c r="FX3" i="27"/>
  <c r="FY3" i="27"/>
  <c r="FZ3" i="27"/>
  <c r="GA3" i="27"/>
  <c r="GB3" i="27"/>
  <c r="GC3" i="27"/>
  <c r="GD3" i="27"/>
  <c r="GE3" i="27"/>
  <c r="GF3" i="27"/>
  <c r="GG3" i="27"/>
  <c r="GH3" i="27"/>
  <c r="GI3" i="27"/>
  <c r="GJ3" i="27"/>
  <c r="GK3" i="27"/>
  <c r="GL3" i="27"/>
  <c r="GM3" i="27"/>
  <c r="GN3" i="27"/>
  <c r="GO3" i="27"/>
  <c r="GP3" i="27"/>
  <c r="GQ3" i="27"/>
  <c r="GR3" i="27"/>
  <c r="GS3" i="27"/>
  <c r="GT3" i="27"/>
  <c r="GU3" i="27"/>
  <c r="GV3" i="27"/>
  <c r="GW3" i="27"/>
  <c r="GX3" i="27"/>
  <c r="GY3" i="27"/>
  <c r="GZ3" i="27"/>
  <c r="HA3" i="27"/>
  <c r="HB3" i="27"/>
  <c r="HC3" i="27"/>
  <c r="HD3" i="27"/>
  <c r="HE3" i="27"/>
  <c r="HF3" i="27"/>
  <c r="HG3" i="27"/>
  <c r="HH3" i="27"/>
  <c r="HI3" i="27"/>
  <c r="HJ3" i="27"/>
  <c r="HK3" i="27"/>
  <c r="HL3" i="27"/>
  <c r="HM3" i="27"/>
  <c r="HN3" i="27"/>
  <c r="HO3" i="27"/>
  <c r="HP3" i="27"/>
  <c r="HQ3" i="27"/>
  <c r="HR3" i="27"/>
  <c r="HS3" i="27"/>
  <c r="HT3" i="27"/>
  <c r="HU3" i="27"/>
  <c r="HV3" i="27"/>
  <c r="HW3" i="27"/>
  <c r="HX3" i="27"/>
  <c r="HY3" i="27"/>
  <c r="HZ3" i="27"/>
  <c r="IA3" i="27"/>
  <c r="IB3" i="27"/>
  <c r="IC3" i="27"/>
  <c r="ID3" i="27"/>
  <c r="IE3" i="27"/>
  <c r="IF3" i="27"/>
  <c r="IG3" i="27"/>
  <c r="IH3" i="27"/>
  <c r="II3" i="27"/>
  <c r="IJ3" i="27"/>
  <c r="IK3" i="27"/>
  <c r="IL3" i="27"/>
  <c r="IM3" i="27"/>
  <c r="IN3" i="27"/>
  <c r="IO3" i="27"/>
  <c r="IP3" i="27"/>
  <c r="IQ3" i="27"/>
  <c r="IR3" i="27"/>
  <c r="IS3" i="27"/>
  <c r="IT3" i="27"/>
  <c r="IU3" i="27"/>
  <c r="IV3" i="27"/>
  <c r="A2" i="27"/>
  <c r="B2" i="27"/>
  <c r="C2" i="27"/>
  <c r="D2" i="27"/>
  <c r="E2" i="27"/>
  <c r="F2" i="27"/>
  <c r="G2" i="27"/>
  <c r="H2" i="27"/>
  <c r="I2" i="27"/>
  <c r="J2" i="27"/>
  <c r="K2" i="27"/>
  <c r="L2" i="27"/>
  <c r="M2" i="27"/>
  <c r="N2" i="27"/>
  <c r="O2" i="27"/>
  <c r="P2" i="27"/>
  <c r="Q2" i="27"/>
  <c r="R2" i="27"/>
  <c r="S2" i="27"/>
  <c r="T2" i="27"/>
  <c r="U2" i="27"/>
  <c r="V2" i="27"/>
  <c r="W2" i="27"/>
  <c r="X2" i="27"/>
  <c r="Y2" i="27"/>
  <c r="Z2" i="27"/>
  <c r="AA2" i="27"/>
  <c r="AB2" i="27"/>
  <c r="AC2" i="27"/>
  <c r="AD2" i="27"/>
  <c r="AE2" i="27"/>
  <c r="AF2" i="27"/>
  <c r="AG2" i="27"/>
  <c r="AH2" i="27"/>
  <c r="AI2" i="27"/>
  <c r="AJ2" i="27"/>
  <c r="AK2" i="27"/>
  <c r="AL2" i="27"/>
  <c r="AM2" i="27"/>
  <c r="AN2" i="27"/>
  <c r="AO2" i="27"/>
  <c r="AP2" i="27"/>
  <c r="AQ2" i="27"/>
  <c r="AR2" i="27"/>
  <c r="AS2" i="27"/>
  <c r="AT2" i="27"/>
  <c r="AU2" i="27"/>
  <c r="AV2" i="27"/>
  <c r="AW2" i="27"/>
  <c r="AX2" i="27"/>
  <c r="AY2" i="27"/>
  <c r="AZ2" i="27"/>
  <c r="BA2" i="27"/>
  <c r="BB2" i="27"/>
  <c r="BC2" i="27"/>
  <c r="BD2" i="27"/>
  <c r="BE2" i="27"/>
  <c r="BF2" i="27"/>
  <c r="BG2" i="27"/>
  <c r="BH2" i="27"/>
  <c r="BI2" i="27"/>
  <c r="BJ2" i="27"/>
  <c r="BK2" i="27"/>
  <c r="BL2" i="27"/>
  <c r="BM2" i="27"/>
  <c r="BN2" i="27"/>
  <c r="BO2" i="27"/>
  <c r="BP2" i="27"/>
  <c r="BQ2" i="27"/>
  <c r="BR2" i="27"/>
  <c r="BS2" i="27"/>
  <c r="BT2" i="27"/>
  <c r="BU2" i="27"/>
  <c r="BV2" i="27"/>
  <c r="BW2" i="27"/>
  <c r="BX2" i="27"/>
  <c r="BY2" i="27"/>
  <c r="BZ2" i="27"/>
  <c r="CA2" i="27"/>
  <c r="CB2" i="27"/>
  <c r="CC2" i="27"/>
  <c r="CD2" i="27"/>
  <c r="CE2" i="27"/>
  <c r="CF2" i="27"/>
  <c r="CG2" i="27"/>
  <c r="CH2" i="27"/>
  <c r="CI2" i="27"/>
  <c r="CJ2" i="27"/>
  <c r="CK2" i="27"/>
  <c r="CL2" i="27"/>
  <c r="CM2" i="27"/>
  <c r="CN2" i="27"/>
  <c r="CO2" i="27"/>
  <c r="CP2" i="27"/>
  <c r="CQ2" i="27"/>
  <c r="CR2" i="27"/>
  <c r="CS2" i="27"/>
  <c r="CT2" i="27"/>
  <c r="CU2" i="27"/>
  <c r="CV2" i="27"/>
  <c r="CW2" i="27"/>
  <c r="CX2" i="27"/>
  <c r="CY2" i="27"/>
  <c r="CZ2" i="27"/>
  <c r="DA2" i="27"/>
  <c r="DB2" i="27"/>
  <c r="DC2" i="27"/>
  <c r="DD2" i="27"/>
  <c r="DE2" i="27"/>
  <c r="DF2" i="27"/>
  <c r="DG2" i="27"/>
  <c r="DH2" i="27"/>
  <c r="DI2" i="27"/>
  <c r="DJ2" i="27"/>
  <c r="DK2" i="27"/>
  <c r="DL2" i="27"/>
  <c r="DM2" i="27"/>
  <c r="DN2" i="27"/>
  <c r="DO2" i="27"/>
  <c r="DP2" i="27"/>
  <c r="DQ2" i="27"/>
  <c r="DR2" i="27"/>
  <c r="DS2" i="27"/>
  <c r="DT2" i="27"/>
  <c r="DU2" i="27"/>
  <c r="DV2" i="27"/>
  <c r="DW2" i="27"/>
  <c r="DX2" i="27"/>
  <c r="DY2" i="27"/>
  <c r="DZ2" i="27"/>
  <c r="EA2" i="27"/>
  <c r="EB2" i="27"/>
  <c r="EC2" i="27"/>
  <c r="ED2" i="27"/>
  <c r="EE2" i="27"/>
  <c r="EF2" i="27"/>
  <c r="EG2" i="27"/>
  <c r="EH2" i="27"/>
  <c r="EI2" i="27"/>
  <c r="EJ2" i="27"/>
  <c r="EK2" i="27"/>
  <c r="EL2" i="27"/>
  <c r="EM2" i="27"/>
  <c r="EN2" i="27"/>
  <c r="EO2" i="27"/>
  <c r="EP2" i="27"/>
  <c r="EQ2" i="27"/>
  <c r="ER2" i="27"/>
  <c r="ES2" i="27"/>
  <c r="ET2" i="27"/>
  <c r="EU2" i="27"/>
  <c r="EV2" i="27"/>
  <c r="EW2" i="27"/>
  <c r="EX2" i="27"/>
  <c r="EY2" i="27"/>
  <c r="EZ2" i="27"/>
  <c r="FA2" i="27"/>
  <c r="FB2" i="27"/>
  <c r="FC2" i="27"/>
  <c r="FD2" i="27"/>
  <c r="FE2" i="27"/>
  <c r="FF2" i="27"/>
  <c r="FG2" i="27"/>
  <c r="FH2" i="27"/>
  <c r="FI2" i="27"/>
  <c r="FJ2" i="27"/>
  <c r="FK2" i="27"/>
  <c r="FL2" i="27"/>
  <c r="FM2" i="27"/>
  <c r="FN2" i="27"/>
  <c r="FO2" i="27"/>
  <c r="FP2" i="27"/>
  <c r="FQ2" i="27"/>
  <c r="FR2" i="27"/>
  <c r="FS2" i="27"/>
  <c r="FT2" i="27"/>
  <c r="FU2" i="27"/>
  <c r="FV2" i="27"/>
  <c r="FW2" i="27"/>
  <c r="FX2" i="27"/>
  <c r="FY2" i="27"/>
  <c r="FZ2" i="27"/>
  <c r="GA2" i="27"/>
  <c r="GB2" i="27"/>
  <c r="GC2" i="27"/>
  <c r="GD2" i="27"/>
  <c r="GE2" i="27"/>
  <c r="GF2" i="27"/>
  <c r="GG2" i="27"/>
  <c r="GH2" i="27"/>
  <c r="GI2" i="27"/>
  <c r="GJ2" i="27"/>
  <c r="GK2" i="27"/>
  <c r="GL2" i="27"/>
  <c r="GM2" i="27"/>
  <c r="GN2" i="27"/>
  <c r="GO2" i="27"/>
  <c r="GP2" i="27"/>
  <c r="GQ2" i="27"/>
  <c r="GR2" i="27"/>
  <c r="GS2" i="27"/>
  <c r="GT2" i="27"/>
  <c r="GU2" i="27"/>
  <c r="GV2" i="27"/>
  <c r="GW2" i="27"/>
  <c r="GX2" i="27"/>
  <c r="GY2" i="27"/>
  <c r="GZ2" i="27"/>
  <c r="HA2" i="27"/>
  <c r="HB2" i="27"/>
  <c r="HC2" i="27"/>
  <c r="HD2" i="27"/>
  <c r="HE2" i="27"/>
  <c r="HF2" i="27"/>
  <c r="HG2" i="27"/>
  <c r="HH2" i="27"/>
  <c r="HI2" i="27"/>
  <c r="HJ2" i="27"/>
  <c r="HK2" i="27"/>
  <c r="HL2" i="27"/>
  <c r="HM2" i="27"/>
  <c r="HN2" i="27"/>
  <c r="HO2" i="27"/>
  <c r="HP2" i="27"/>
  <c r="HQ2" i="27"/>
  <c r="HR2" i="27"/>
  <c r="HS2" i="27"/>
  <c r="HT2" i="27"/>
  <c r="HU2" i="27"/>
  <c r="HV2" i="27"/>
  <c r="HW2" i="27"/>
  <c r="HX2" i="27"/>
  <c r="HY2" i="27"/>
  <c r="HZ2" i="27"/>
  <c r="IA2" i="27"/>
  <c r="IB2" i="27"/>
  <c r="IC2" i="27"/>
  <c r="ID2" i="27"/>
  <c r="IE2" i="27"/>
  <c r="IF2" i="27"/>
  <c r="IG2" i="27"/>
  <c r="IH2" i="27"/>
  <c r="II2" i="27"/>
  <c r="IJ2" i="27"/>
  <c r="IK2" i="27"/>
  <c r="IL2" i="27"/>
  <c r="IM2" i="27"/>
  <c r="IN2" i="27"/>
  <c r="IO2" i="27"/>
  <c r="IP2" i="27"/>
  <c r="IQ2" i="27"/>
  <c r="IR2" i="27"/>
  <c r="IS2" i="27"/>
  <c r="IT2" i="27"/>
  <c r="IU2" i="27"/>
  <c r="IV2" i="27"/>
  <c r="A1" i="27"/>
  <c r="B1" i="27"/>
  <c r="C1" i="27"/>
  <c r="D1" i="27"/>
  <c r="E1" i="27"/>
  <c r="F1" i="27"/>
  <c r="G1" i="27"/>
  <c r="H1" i="27"/>
  <c r="I1" i="27"/>
  <c r="J1" i="27"/>
  <c r="K1" i="27"/>
  <c r="L1" i="27"/>
  <c r="M1" i="27"/>
  <c r="N1" i="27"/>
  <c r="O1" i="27"/>
  <c r="P1" i="27"/>
  <c r="Q1" i="27"/>
  <c r="R1" i="27"/>
  <c r="S1" i="27"/>
  <c r="T1" i="27"/>
  <c r="U1" i="27"/>
  <c r="V1" i="27"/>
  <c r="W1" i="27"/>
  <c r="X1" i="27"/>
  <c r="Y1" i="27"/>
  <c r="Z1" i="27"/>
  <c r="AA1" i="27"/>
  <c r="AB1" i="27"/>
  <c r="AC1" i="27"/>
  <c r="AD1" i="27"/>
  <c r="AE1" i="27"/>
  <c r="AF1" i="27"/>
  <c r="AG1" i="27"/>
  <c r="AH1" i="27"/>
  <c r="AI1" i="27"/>
  <c r="AJ1" i="27"/>
  <c r="AK1" i="27"/>
  <c r="AL1" i="27"/>
  <c r="AM1" i="27"/>
  <c r="AN1" i="27"/>
  <c r="AO1" i="27"/>
  <c r="AP1" i="27"/>
  <c r="AQ1" i="27"/>
  <c r="AR1" i="27"/>
  <c r="AS1" i="27"/>
  <c r="AT1" i="27"/>
  <c r="AU1" i="27"/>
  <c r="AV1" i="27"/>
  <c r="AW1" i="27"/>
  <c r="AX1" i="27"/>
  <c r="AY1" i="27"/>
  <c r="AZ1" i="27"/>
  <c r="BA1" i="27"/>
  <c r="BB1" i="27"/>
  <c r="BC1" i="27"/>
  <c r="BD1" i="27"/>
  <c r="BE1" i="27"/>
  <c r="BF1" i="27"/>
  <c r="BG1" i="27"/>
  <c r="BH1" i="27"/>
  <c r="BI1" i="27"/>
  <c r="BJ1" i="27"/>
  <c r="BK1" i="27"/>
  <c r="BL1" i="27"/>
  <c r="BM1" i="27"/>
  <c r="BN1" i="27"/>
  <c r="BO1" i="27"/>
  <c r="BP1" i="27"/>
  <c r="BQ1" i="27"/>
  <c r="BR1" i="27"/>
  <c r="BS1" i="27"/>
  <c r="BT1" i="27"/>
  <c r="BU1" i="27"/>
  <c r="BV1" i="27"/>
  <c r="BW1" i="27"/>
  <c r="BX1" i="27"/>
  <c r="BY1" i="27"/>
  <c r="BZ1" i="27"/>
  <c r="CA1" i="27"/>
  <c r="CB1" i="27"/>
  <c r="CC1" i="27"/>
  <c r="CD1" i="27"/>
  <c r="CE1" i="27"/>
  <c r="CF1" i="27"/>
  <c r="CG1" i="27"/>
  <c r="CH1" i="27"/>
  <c r="CI1" i="27"/>
  <c r="CJ1" i="27"/>
  <c r="CK1" i="27"/>
  <c r="CL1" i="27"/>
  <c r="CM1" i="27"/>
  <c r="CN1" i="27"/>
  <c r="CO1" i="27"/>
  <c r="CP1" i="27"/>
  <c r="CQ1" i="27"/>
  <c r="CR1" i="27"/>
  <c r="CS1" i="27"/>
  <c r="CT1" i="27"/>
  <c r="CU1" i="27"/>
  <c r="CV1" i="27"/>
  <c r="CW1" i="27"/>
  <c r="CX1" i="27"/>
  <c r="CY1" i="27"/>
  <c r="CZ1" i="27"/>
  <c r="DA1" i="27"/>
  <c r="DB1" i="27"/>
  <c r="DC1" i="27"/>
  <c r="DD1" i="27"/>
  <c r="DE1" i="27"/>
  <c r="DF1" i="27"/>
  <c r="DG1" i="27"/>
  <c r="DH1" i="27"/>
  <c r="DI1" i="27"/>
  <c r="DJ1" i="27"/>
  <c r="DK1" i="27"/>
  <c r="DL1" i="27"/>
  <c r="DM1" i="27"/>
  <c r="DN1" i="27"/>
  <c r="DO1" i="27"/>
  <c r="DP1" i="27"/>
  <c r="DQ1" i="27"/>
  <c r="DR1" i="27"/>
  <c r="DS1" i="27"/>
  <c r="DT1" i="27"/>
  <c r="DU1" i="27"/>
  <c r="DV1" i="27"/>
  <c r="DW1" i="27"/>
  <c r="DX1" i="27"/>
  <c r="DY1" i="27"/>
  <c r="DZ1" i="27"/>
  <c r="EA1" i="27"/>
  <c r="EB1" i="27"/>
  <c r="EC1" i="27"/>
  <c r="ED1" i="27"/>
  <c r="EE1" i="27"/>
  <c r="EF1" i="27"/>
  <c r="EG1" i="27"/>
  <c r="EH1" i="27"/>
  <c r="EI1" i="27"/>
  <c r="EJ1" i="27"/>
  <c r="EK1" i="27"/>
  <c r="EL1" i="27"/>
  <c r="EM1" i="27"/>
  <c r="EN1" i="27"/>
  <c r="EO1" i="27"/>
  <c r="EP1" i="27"/>
  <c r="EQ1" i="27"/>
  <c r="ER1" i="27"/>
  <c r="ES1" i="27"/>
  <c r="ET1" i="27"/>
  <c r="EU1" i="27"/>
  <c r="EV1" i="27"/>
  <c r="EW1" i="27"/>
  <c r="EX1" i="27"/>
  <c r="EY1" i="27"/>
  <c r="EZ1" i="27"/>
  <c r="FA1" i="27"/>
  <c r="FB1" i="27"/>
  <c r="FC1" i="27"/>
  <c r="FD1" i="27"/>
  <c r="FE1" i="27"/>
  <c r="FF1" i="27"/>
  <c r="FG1" i="27"/>
  <c r="FH1" i="27"/>
  <c r="FI1" i="27"/>
  <c r="FJ1" i="27"/>
  <c r="FK1" i="27"/>
  <c r="FL1" i="27"/>
  <c r="FM1" i="27"/>
  <c r="FN1" i="27"/>
  <c r="FO1" i="27"/>
  <c r="FP1" i="27"/>
  <c r="FQ1" i="27"/>
  <c r="FR1" i="27"/>
  <c r="FS1" i="27"/>
  <c r="FT1" i="27"/>
  <c r="FU1" i="27"/>
  <c r="FV1" i="27"/>
  <c r="FW1" i="27"/>
  <c r="FX1" i="27"/>
  <c r="FY1" i="27"/>
  <c r="FZ1" i="27"/>
  <c r="GA1" i="27"/>
  <c r="GB1" i="27"/>
  <c r="GC1" i="27"/>
  <c r="GD1" i="27"/>
  <c r="GE1" i="27"/>
  <c r="GF1" i="27"/>
  <c r="GG1" i="27"/>
  <c r="GH1" i="27"/>
  <c r="GI1" i="27"/>
  <c r="GJ1" i="27"/>
  <c r="GK1" i="27"/>
  <c r="GL1" i="27"/>
  <c r="GM1" i="27"/>
  <c r="GN1" i="27"/>
  <c r="GO1" i="27"/>
  <c r="GP1" i="27"/>
  <c r="GQ1" i="27"/>
  <c r="GR1" i="27"/>
  <c r="GS1" i="27"/>
  <c r="GT1" i="27"/>
  <c r="GU1" i="27"/>
  <c r="GV1" i="27"/>
  <c r="GW1" i="27"/>
  <c r="GX1" i="27"/>
  <c r="GY1" i="27"/>
  <c r="GZ1" i="27"/>
  <c r="HA1" i="27"/>
  <c r="HB1" i="27"/>
  <c r="HC1" i="27"/>
  <c r="HD1" i="27"/>
  <c r="HE1" i="27"/>
  <c r="HF1" i="27"/>
  <c r="HG1" i="27"/>
  <c r="HH1" i="27"/>
  <c r="HI1" i="27"/>
  <c r="HJ1" i="27"/>
  <c r="HK1" i="27"/>
  <c r="HL1" i="27"/>
  <c r="HM1" i="27"/>
  <c r="HN1" i="27"/>
  <c r="HO1" i="27"/>
  <c r="HP1" i="27"/>
  <c r="HQ1" i="27"/>
  <c r="HR1" i="27"/>
  <c r="HS1" i="27"/>
  <c r="HT1" i="27"/>
  <c r="HU1" i="27"/>
  <c r="HV1" i="27"/>
  <c r="HW1" i="27"/>
  <c r="HX1" i="27"/>
  <c r="HY1" i="27"/>
  <c r="HZ1" i="27"/>
  <c r="IA1" i="27"/>
  <c r="IB1" i="27"/>
  <c r="IC1" i="27"/>
  <c r="ID1" i="27"/>
  <c r="IE1" i="27"/>
  <c r="IF1" i="27"/>
  <c r="IG1" i="27"/>
  <c r="IH1" i="27"/>
  <c r="II1" i="27"/>
  <c r="IJ1" i="27"/>
  <c r="IK1" i="27"/>
  <c r="IL1" i="27"/>
  <c r="IN1" i="27"/>
  <c r="IO1" i="27"/>
  <c r="IP1" i="27"/>
  <c r="IQ1" i="27"/>
  <c r="IR1" i="27"/>
  <c r="IS1" i="27"/>
  <c r="IT1" i="27"/>
  <c r="IU1" i="27"/>
  <c r="IV1" i="27"/>
  <c r="A1454" i="11"/>
  <c r="A1455" i="11"/>
  <c r="A1456" i="11"/>
  <c r="A1457" i="11"/>
  <c r="E37" i="24"/>
  <c r="G37" i="24"/>
  <c r="E38" i="24"/>
  <c r="G38" i="24"/>
  <c r="E39" i="24"/>
  <c r="G39" i="24"/>
  <c r="E40" i="24"/>
  <c r="G40" i="24"/>
  <c r="E41" i="24"/>
  <c r="G41" i="24"/>
  <c r="E42" i="24"/>
  <c r="G42" i="24"/>
  <c r="E43" i="24"/>
  <c r="G43" i="24"/>
  <c r="E44" i="24"/>
  <c r="G44" i="24"/>
  <c r="F13" i="3"/>
  <c r="F14" i="3"/>
  <c r="F15" i="3"/>
  <c r="F16" i="3"/>
  <c r="F17" i="3"/>
  <c r="F18" i="3"/>
  <c r="F8" i="27"/>
  <c r="F19" i="3"/>
  <c r="I27" i="27"/>
  <c r="E26" i="27"/>
  <c r="A80" i="27"/>
  <c r="F81" i="27"/>
  <c r="A2103" i="11"/>
  <c r="A2104" i="11"/>
  <c r="A2105" i="11"/>
  <c r="A2106" i="11"/>
  <c r="A2107" i="11"/>
  <c r="A2108" i="11"/>
  <c r="A2109" i="11"/>
  <c r="A2110" i="11"/>
  <c r="A2111" i="11"/>
  <c r="A2112" i="11"/>
  <c r="A2113" i="11"/>
  <c r="A2114" i="11"/>
  <c r="A2115" i="11"/>
  <c r="A2116" i="11"/>
  <c r="A1530" i="11"/>
  <c r="A1533" i="11"/>
  <c r="A1544" i="11"/>
  <c r="A1545" i="11"/>
  <c r="A1546" i="11"/>
  <c r="A1547" i="11"/>
  <c r="A1548" i="11"/>
  <c r="A1502" i="11"/>
  <c r="A1503" i="11"/>
  <c r="A1504" i="11"/>
  <c r="A1505" i="11"/>
  <c r="A1506" i="11"/>
  <c r="A1507" i="11"/>
  <c r="A1508" i="11"/>
  <c r="A1509" i="11"/>
  <c r="A1510" i="11"/>
  <c r="A1511" i="11"/>
  <c r="A1512" i="11"/>
  <c r="A1513" i="11"/>
  <c r="A1524" i="11"/>
  <c r="A1525" i="11"/>
  <c r="A1526" i="11"/>
  <c r="A1527" i="11"/>
  <c r="A1528" i="11"/>
  <c r="A1529" i="11"/>
  <c r="A1543" i="11"/>
  <c r="A1458" i="11"/>
  <c r="A1459" i="11"/>
  <c r="A1460" i="11"/>
  <c r="A1461" i="11"/>
  <c r="A1462" i="11"/>
  <c r="A1463" i="11"/>
  <c r="A1464" i="11"/>
  <c r="A1465" i="11"/>
  <c r="A1466" i="11"/>
  <c r="A1467" i="11"/>
  <c r="A1468" i="11"/>
  <c r="A1469" i="11"/>
  <c r="A1470" i="11"/>
  <c r="A1471" i="11"/>
  <c r="A1472" i="11"/>
  <c r="A1473" i="11"/>
  <c r="A1494" i="11"/>
  <c r="A1495" i="11"/>
  <c r="A1496" i="11"/>
  <c r="A1497" i="11"/>
  <c r="A1498" i="11"/>
  <c r="A1499" i="11"/>
  <c r="A1500" i="11"/>
  <c r="A1501" i="11"/>
  <c r="A1540" i="11"/>
  <c r="A1541" i="11"/>
  <c r="A1542" i="11"/>
  <c r="A1514" i="11"/>
  <c r="A1515" i="11"/>
  <c r="A1516" i="11"/>
  <c r="A1517" i="11"/>
  <c r="A1518" i="11"/>
  <c r="A1519" i="11"/>
  <c r="A1520" i="11"/>
  <c r="A1523" i="11"/>
  <c r="A1539" i="11"/>
  <c r="A106" i="11"/>
  <c r="A107" i="11"/>
  <c r="A108" i="11"/>
  <c r="A1434" i="11"/>
  <c r="A1435" i="11"/>
  <c r="A1436" i="11"/>
  <c r="A1437" i="11"/>
  <c r="A1438" i="11"/>
  <c r="A1439" i="11"/>
  <c r="A1440" i="11"/>
  <c r="A1441" i="11"/>
  <c r="A1442" i="11"/>
  <c r="A1443" i="11"/>
  <c r="A1444" i="11"/>
  <c r="A1445" i="11"/>
  <c r="A1446" i="11"/>
  <c r="A1447" i="11"/>
  <c r="A1448" i="11"/>
  <c r="A1449" i="11"/>
  <c r="A1450" i="11"/>
  <c r="A1451" i="11"/>
  <c r="A1452" i="11"/>
  <c r="A1453" i="11"/>
  <c r="A1474" i="11"/>
  <c r="A1475" i="11"/>
  <c r="A1476" i="11"/>
  <c r="A1477" i="11"/>
  <c r="A1478" i="11"/>
  <c r="A1479" i="11"/>
  <c r="A1480" i="11"/>
  <c r="A1481" i="11"/>
  <c r="A1482" i="11"/>
  <c r="A1483" i="11"/>
  <c r="A1484" i="11"/>
  <c r="A1485" i="11"/>
  <c r="A1486" i="11"/>
  <c r="A1487" i="11"/>
  <c r="A1488" i="11"/>
  <c r="A1489" i="11"/>
  <c r="A1490" i="11"/>
  <c r="A1491" i="11"/>
  <c r="A1492" i="11"/>
  <c r="A1493" i="11"/>
  <c r="A220" i="11"/>
  <c r="A221" i="11"/>
  <c r="A222" i="11"/>
  <c r="A223" i="11"/>
  <c r="A224" i="11"/>
  <c r="A225" i="11"/>
  <c r="A226" i="11"/>
  <c r="A227" i="11"/>
  <c r="A228" i="11"/>
  <c r="A229" i="11"/>
  <c r="A230" i="11"/>
  <c r="A231" i="11"/>
  <c r="A232" i="11"/>
  <c r="A63" i="11"/>
  <c r="A64" i="11"/>
  <c r="A65" i="11"/>
  <c r="A66" i="11"/>
  <c r="A67" i="11"/>
  <c r="A68" i="11"/>
  <c r="A69" i="11"/>
  <c r="A71" i="27"/>
  <c r="A70" i="11"/>
  <c r="A75" i="11"/>
  <c r="A76" i="11"/>
  <c r="A77" i="11"/>
  <c r="A78" i="11"/>
  <c r="A79" i="11"/>
  <c r="A80" i="11"/>
  <c r="A81" i="11"/>
  <c r="A82" i="11"/>
  <c r="A85" i="11"/>
  <c r="A86" i="11"/>
  <c r="A87" i="11"/>
  <c r="A88" i="11"/>
  <c r="A89" i="11"/>
  <c r="A90" i="11"/>
  <c r="A91" i="11"/>
  <c r="A92" i="11"/>
  <c r="A93" i="11"/>
  <c r="A94" i="11"/>
  <c r="A95" i="11"/>
  <c r="A96" i="11"/>
  <c r="A97" i="11"/>
  <c r="A98" i="11"/>
  <c r="A99" i="11"/>
  <c r="A100" i="11"/>
  <c r="A101" i="11"/>
  <c r="A102" i="11"/>
  <c r="A103" i="11"/>
  <c r="A104" i="11"/>
  <c r="A105" i="11"/>
  <c r="A2220" i="11"/>
  <c r="A2221" i="11"/>
  <c r="A2222" i="11"/>
  <c r="A2223" i="11"/>
  <c r="A2224" i="11"/>
  <c r="A2225" i="11"/>
  <c r="A2226" i="11"/>
  <c r="A2227" i="11"/>
  <c r="A2228" i="11"/>
  <c r="A2229" i="11"/>
  <c r="A2230" i="11"/>
  <c r="A2231" i="11"/>
  <c r="A2232" i="11"/>
  <c r="A2233" i="11"/>
  <c r="A2234" i="11"/>
  <c r="A2235" i="11"/>
  <c r="A2236" i="11"/>
  <c r="A2237" i="11"/>
  <c r="A2238" i="11"/>
  <c r="A2239" i="11"/>
  <c r="A2240" i="11"/>
  <c r="A2241" i="11"/>
  <c r="A2242" i="11"/>
  <c r="A2243" i="11"/>
  <c r="A185" i="11"/>
  <c r="A186" i="11"/>
  <c r="A187" i="11"/>
  <c r="A188" i="11"/>
  <c r="A189" i="11"/>
  <c r="A190" i="11"/>
  <c r="A191" i="11"/>
  <c r="A192" i="11"/>
  <c r="A200" i="11"/>
  <c r="A201" i="11"/>
  <c r="A202" i="11"/>
  <c r="A203" i="11"/>
  <c r="A204" i="11"/>
  <c r="A205" i="11"/>
  <c r="A206" i="11"/>
  <c r="A207" i="11"/>
  <c r="A212" i="11"/>
  <c r="A213" i="11"/>
  <c r="A214" i="11"/>
  <c r="A215" i="11"/>
  <c r="A216" i="11"/>
  <c r="A217" i="11"/>
  <c r="A218" i="11"/>
  <c r="A219" i="11"/>
  <c r="A2199" i="11"/>
  <c r="A2200" i="11"/>
  <c r="A2201" i="11"/>
  <c r="A2202" i="11"/>
  <c r="A2203" i="11"/>
  <c r="A2204" i="11"/>
  <c r="A2205" i="11"/>
  <c r="A2210" i="11"/>
  <c r="A2211" i="11"/>
  <c r="A2212" i="11"/>
  <c r="A2213" i="11"/>
  <c r="A2214" i="11"/>
  <c r="A2215" i="11"/>
  <c r="A2216" i="11"/>
  <c r="A2217" i="11"/>
  <c r="A1395" i="11"/>
  <c r="A1396" i="11"/>
  <c r="A1397" i="11"/>
  <c r="A1398" i="11"/>
  <c r="A1399" i="11"/>
  <c r="A2063" i="11"/>
  <c r="A2064" i="11"/>
  <c r="A2065" i="11"/>
  <c r="A2066" i="11"/>
  <c r="A2067" i="11"/>
  <c r="A2068" i="11"/>
  <c r="A2069" i="11"/>
  <c r="A2070" i="11"/>
  <c r="A2071" i="11"/>
  <c r="A2072" i="11"/>
  <c r="A2073" i="11"/>
  <c r="A2074" i="11"/>
  <c r="A2075" i="11"/>
  <c r="A2076" i="11"/>
  <c r="A2077" i="11"/>
  <c r="A2078" i="11"/>
  <c r="A1404" i="11"/>
  <c r="A1405" i="11"/>
  <c r="A1406" i="11"/>
  <c r="A1407" i="11"/>
  <c r="A1408" i="11"/>
  <c r="A1409" i="11"/>
  <c r="A1410" i="11"/>
  <c r="A1411" i="11"/>
  <c r="A1412" i="11"/>
  <c r="A1413" i="11"/>
  <c r="A1414" i="11"/>
  <c r="A1415" i="11"/>
  <c r="A1416" i="11"/>
  <c r="A1417" i="11"/>
  <c r="A1418" i="11"/>
  <c r="A1419" i="11"/>
  <c r="A2198" i="11"/>
  <c r="A2043" i="11"/>
  <c r="A2044" i="11"/>
  <c r="A2045" i="11"/>
  <c r="A2046" i="11"/>
  <c r="G65" i="27"/>
  <c r="A2047" i="11"/>
  <c r="A2048" i="11"/>
  <c r="A2049" i="11"/>
  <c r="A2050" i="11"/>
  <c r="A2051" i="11"/>
  <c r="A2052" i="11"/>
  <c r="A2053" i="11"/>
  <c r="A2054" i="11"/>
  <c r="A2055" i="11"/>
  <c r="A2056" i="11"/>
  <c r="A2057" i="11"/>
  <c r="A2058" i="11"/>
  <c r="A1384" i="11"/>
  <c r="A1385" i="11"/>
  <c r="A1386" i="11"/>
  <c r="A1387" i="11"/>
  <c r="A1388" i="11"/>
  <c r="A1389" i="11"/>
  <c r="A1390" i="11"/>
  <c r="A1391" i="11"/>
  <c r="A1392" i="11"/>
  <c r="A1393" i="11"/>
  <c r="A1394" i="11"/>
  <c r="F63" i="27"/>
  <c r="A1899" i="11"/>
  <c r="A1900" i="11"/>
  <c r="A1901" i="11"/>
  <c r="A1902" i="11"/>
  <c r="A1903" i="11"/>
  <c r="A1906" i="11"/>
  <c r="A1917" i="11"/>
  <c r="A1918" i="11"/>
  <c r="A1919" i="11"/>
  <c r="A1920" i="11"/>
  <c r="A1921" i="11"/>
  <c r="A62" i="27"/>
  <c r="A1867" i="11"/>
  <c r="A1868" i="11"/>
  <c r="A1869" i="11"/>
  <c r="A1870" i="11"/>
  <c r="A1871" i="11"/>
  <c r="A1872" i="11"/>
  <c r="A1873" i="11"/>
  <c r="A1874" i="11"/>
  <c r="A1897" i="11"/>
  <c r="A1898" i="11"/>
  <c r="A1807" i="11"/>
  <c r="A1808" i="11"/>
  <c r="A1809" i="11"/>
  <c r="A1810" i="11"/>
  <c r="A1811" i="11"/>
  <c r="A1812" i="11"/>
  <c r="A1813" i="11"/>
  <c r="A1814" i="11"/>
  <c r="A1847" i="11"/>
  <c r="A1848" i="11"/>
  <c r="A1849" i="11"/>
  <c r="A1850" i="11"/>
  <c r="A1851" i="11"/>
  <c r="A1852" i="11"/>
  <c r="A1853" i="11"/>
  <c r="A1854" i="11"/>
  <c r="A1887" i="11"/>
  <c r="A1888" i="11"/>
  <c r="A1889" i="11"/>
  <c r="A1890" i="11"/>
  <c r="A1891" i="11"/>
  <c r="A1892" i="11"/>
  <c r="A1893" i="11"/>
  <c r="A1896" i="11"/>
  <c r="A1912" i="11"/>
  <c r="A1913" i="11"/>
  <c r="A1914" i="11"/>
  <c r="A1915" i="11"/>
  <c r="A1916" i="11"/>
  <c r="A1827" i="11"/>
  <c r="A1828" i="11"/>
  <c r="A1829" i="11"/>
  <c r="A1830" i="11"/>
  <c r="A1831" i="11"/>
  <c r="A1832" i="11"/>
  <c r="A1833" i="11"/>
  <c r="A1834" i="11"/>
  <c r="A1560" i="11"/>
  <c r="A1561" i="11"/>
  <c r="A1562" i="11"/>
  <c r="A1563" i="11"/>
  <c r="A1564" i="11"/>
  <c r="A1565" i="11"/>
  <c r="A1566" i="11"/>
  <c r="A1567" i="11"/>
  <c r="A1568" i="11"/>
  <c r="A1569" i="11"/>
  <c r="A1570" i="11"/>
  <c r="A1571" i="11"/>
  <c r="A1572" i="11"/>
  <c r="A1573" i="11"/>
  <c r="A1574" i="11"/>
  <c r="A1575" i="11"/>
  <c r="A1576" i="11"/>
  <c r="A1577" i="11"/>
  <c r="A1578" i="11"/>
  <c r="A1599" i="11"/>
  <c r="A1600" i="11"/>
  <c r="A1601" i="11"/>
  <c r="A1602" i="11"/>
  <c r="A1603" i="11"/>
  <c r="A1604" i="11"/>
  <c r="A1605" i="11"/>
  <c r="A1606" i="11"/>
  <c r="A1607" i="11"/>
  <c r="A1608" i="11"/>
  <c r="A1609" i="11"/>
  <c r="A1610" i="11"/>
  <c r="A1611" i="11"/>
  <c r="A1612" i="11"/>
  <c r="A1613" i="11"/>
  <c r="A1642" i="11"/>
  <c r="A1586" i="11"/>
  <c r="A1588" i="11"/>
  <c r="A1590" i="11"/>
  <c r="A1594" i="11"/>
  <c r="A1622" i="11"/>
  <c r="N82" i="27"/>
  <c r="A1614" i="11"/>
  <c r="A1615" i="11"/>
  <c r="A1616" i="11"/>
  <c r="A1617" i="11"/>
  <c r="A1618" i="11"/>
  <c r="A1639" i="11"/>
  <c r="A1640" i="11"/>
  <c r="A1641" i="11"/>
  <c r="A1643" i="11"/>
  <c r="A1644" i="11"/>
  <c r="A1645" i="11"/>
  <c r="A1648" i="11"/>
  <c r="A1664" i="11"/>
  <c r="A1665" i="11"/>
  <c r="A1666" i="11"/>
  <c r="A1667" i="11"/>
  <c r="A1668" i="11"/>
  <c r="A1579" i="11"/>
  <c r="A1580" i="11"/>
  <c r="A1581" i="11"/>
  <c r="A1582" i="11"/>
  <c r="A1583" i="11"/>
  <c r="A1584" i="11"/>
  <c r="A1585" i="11"/>
  <c r="A1587" i="11"/>
  <c r="A1589" i="11"/>
  <c r="A1591" i="11"/>
  <c r="A1592" i="11"/>
  <c r="A1593" i="11"/>
  <c r="A1595" i="11"/>
  <c r="A53" i="27"/>
  <c r="A1596" i="11"/>
  <c r="A1597" i="11"/>
  <c r="A1598" i="11"/>
  <c r="A1619" i="11"/>
  <c r="A1620" i="11"/>
  <c r="A1621" i="11"/>
  <c r="A1623" i="11"/>
  <c r="A1624" i="11"/>
  <c r="A1625" i="11"/>
  <c r="A1626" i="11"/>
  <c r="A1627" i="11"/>
  <c r="A1628" i="11"/>
  <c r="A1629" i="11"/>
  <c r="A1630" i="11"/>
  <c r="A1631" i="11"/>
  <c r="A1632" i="11"/>
  <c r="A1633" i="11"/>
  <c r="A1634" i="11"/>
  <c r="A1635" i="11"/>
  <c r="A1636" i="11"/>
  <c r="A1637" i="11"/>
  <c r="A1638" i="11"/>
  <c r="A1649" i="11"/>
  <c r="A1650" i="11"/>
  <c r="A1651" i="11"/>
  <c r="A1652" i="11"/>
  <c r="A1653" i="11"/>
  <c r="A1654" i="11"/>
  <c r="A1655" i="11"/>
  <c r="A1658" i="11"/>
  <c r="A1669" i="11"/>
  <c r="A1670" i="11"/>
  <c r="A1671" i="11"/>
  <c r="A1672" i="11"/>
  <c r="A1673" i="11"/>
  <c r="A1559" i="11"/>
  <c r="B2244" i="11"/>
  <c r="B2245" i="11"/>
  <c r="D2244" i="11"/>
  <c r="E2244" i="11"/>
  <c r="C2244" i="11"/>
  <c r="A2244" i="11"/>
  <c r="E2245" i="11"/>
  <c r="D2245" i="11"/>
  <c r="C2245" i="11"/>
  <c r="A2245" i="11"/>
  <c r="W46" i="27"/>
  <c r="A67" i="26"/>
  <c r="U46" i="27"/>
  <c r="S46" i="27"/>
  <c r="Q46" i="27"/>
  <c r="A45" i="26"/>
  <c r="I44" i="27"/>
  <c r="K1" i="26"/>
  <c r="IJ42" i="27"/>
  <c r="I1" i="25"/>
  <c r="A85" i="25"/>
  <c r="A62" i="25"/>
  <c r="E30" i="24"/>
  <c r="A127" i="24"/>
  <c r="A80" i="24"/>
  <c r="G160" i="24"/>
  <c r="G159" i="24"/>
  <c r="G158" i="24"/>
  <c r="G157" i="24"/>
  <c r="G156" i="24"/>
  <c r="G155" i="24"/>
  <c r="G154" i="24"/>
  <c r="G153" i="24"/>
  <c r="E160" i="24"/>
  <c r="E159" i="24"/>
  <c r="E158" i="24"/>
  <c r="E157" i="24"/>
  <c r="E156" i="24"/>
  <c r="E155" i="24"/>
  <c r="E154" i="24"/>
  <c r="E153" i="24"/>
  <c r="G137" i="24"/>
  <c r="G136" i="24"/>
  <c r="G135" i="24"/>
  <c r="G134" i="24"/>
  <c r="G133" i="24"/>
  <c r="G132" i="24"/>
  <c r="G131" i="24"/>
  <c r="G130" i="24"/>
  <c r="E137" i="24"/>
  <c r="E136" i="24"/>
  <c r="E135" i="24"/>
  <c r="E134" i="24"/>
  <c r="E133" i="24"/>
  <c r="E132" i="24"/>
  <c r="E131" i="24"/>
  <c r="E130" i="24"/>
  <c r="G113" i="24"/>
  <c r="G112" i="24"/>
  <c r="G111" i="24"/>
  <c r="G110" i="24"/>
  <c r="G109" i="24"/>
  <c r="G108" i="24"/>
  <c r="G107" i="24"/>
  <c r="G106" i="24"/>
  <c r="E113" i="24"/>
  <c r="E112" i="24"/>
  <c r="E111" i="24"/>
  <c r="E110" i="24"/>
  <c r="E109" i="24"/>
  <c r="E108" i="24"/>
  <c r="E107" i="24"/>
  <c r="E106" i="24"/>
  <c r="G90" i="24"/>
  <c r="G89" i="24"/>
  <c r="G88" i="24"/>
  <c r="G87" i="24"/>
  <c r="G86" i="24"/>
  <c r="G85" i="24"/>
  <c r="G84" i="24"/>
  <c r="G83" i="24"/>
  <c r="E90" i="24"/>
  <c r="E89" i="24"/>
  <c r="E88" i="24"/>
  <c r="E87" i="24"/>
  <c r="E86" i="24"/>
  <c r="E85" i="24"/>
  <c r="E84" i="24"/>
  <c r="E83" i="24"/>
  <c r="G77" i="24"/>
  <c r="G76" i="24"/>
  <c r="G75" i="24"/>
  <c r="E77" i="24"/>
  <c r="HM39" i="27"/>
  <c r="E76" i="24"/>
  <c r="E75" i="24"/>
  <c r="G59" i="24"/>
  <c r="G58" i="24"/>
  <c r="G57" i="24"/>
  <c r="G56" i="24"/>
  <c r="G55" i="24"/>
  <c r="G54" i="24"/>
  <c r="G53" i="24"/>
  <c r="E59" i="24"/>
  <c r="E58" i="24"/>
  <c r="E57" i="24"/>
  <c r="E56" i="24"/>
  <c r="E55" i="24"/>
  <c r="E54" i="24"/>
  <c r="E53" i="24"/>
  <c r="E52" i="24"/>
  <c r="G36" i="24"/>
  <c r="G35" i="24"/>
  <c r="G34" i="24"/>
  <c r="G33" i="24"/>
  <c r="G32" i="24"/>
  <c r="G31" i="24"/>
  <c r="G30" i="24"/>
  <c r="G29" i="24"/>
  <c r="E31" i="24"/>
  <c r="E33" i="24"/>
  <c r="E34" i="24"/>
  <c r="E35" i="24"/>
  <c r="E36" i="24"/>
  <c r="E29" i="24"/>
  <c r="G1" i="24"/>
  <c r="AN37" i="27"/>
  <c r="AM37" i="27"/>
  <c r="AG37" i="27"/>
  <c r="AF37" i="27"/>
  <c r="L34" i="27"/>
  <c r="M1" i="23"/>
  <c r="F85" i="22"/>
  <c r="E85" i="22"/>
  <c r="M78" i="22"/>
  <c r="L78" i="22"/>
  <c r="F84" i="22"/>
  <c r="E84" i="22"/>
  <c r="M77" i="22"/>
  <c r="L77" i="22"/>
  <c r="F83" i="22"/>
  <c r="E83" i="22"/>
  <c r="M76" i="22"/>
  <c r="L76" i="22"/>
  <c r="F82" i="22"/>
  <c r="E82" i="22"/>
  <c r="M75" i="22"/>
  <c r="L75" i="22"/>
  <c r="F81" i="22"/>
  <c r="E81" i="22"/>
  <c r="M74" i="22"/>
  <c r="L74" i="22"/>
  <c r="M71" i="22"/>
  <c r="L71" i="22"/>
  <c r="F71" i="22"/>
  <c r="E71" i="22"/>
  <c r="M68" i="22"/>
  <c r="L68" i="22"/>
  <c r="F68" i="22"/>
  <c r="E68" i="22"/>
  <c r="M67" i="22"/>
  <c r="L67" i="22"/>
  <c r="F67" i="22"/>
  <c r="E67" i="22"/>
  <c r="M66" i="22"/>
  <c r="L66" i="22"/>
  <c r="F66" i="22"/>
  <c r="E66" i="22"/>
  <c r="M65" i="22"/>
  <c r="L65" i="22"/>
  <c r="F65" i="22"/>
  <c r="E65" i="22"/>
  <c r="M64" i="22"/>
  <c r="L64" i="22"/>
  <c r="F64" i="22"/>
  <c r="E64" i="22"/>
  <c r="M63" i="22"/>
  <c r="L63" i="22"/>
  <c r="F63" i="22"/>
  <c r="E63" i="22"/>
  <c r="M62" i="22"/>
  <c r="L62" i="22"/>
  <c r="F62" i="22"/>
  <c r="E62" i="22"/>
  <c r="M59" i="22"/>
  <c r="L59" i="22"/>
  <c r="F59" i="22"/>
  <c r="E59" i="22"/>
  <c r="M58" i="22"/>
  <c r="L58" i="22"/>
  <c r="F58" i="22"/>
  <c r="E58" i="22"/>
  <c r="M57" i="22"/>
  <c r="L57" i="22"/>
  <c r="F57" i="22"/>
  <c r="E57" i="22"/>
  <c r="M56" i="22"/>
  <c r="L56" i="22"/>
  <c r="F56" i="22"/>
  <c r="E56" i="22"/>
  <c r="M55" i="22"/>
  <c r="L55" i="22"/>
  <c r="F55" i="22"/>
  <c r="E55" i="22"/>
  <c r="M54" i="22"/>
  <c r="L54" i="22"/>
  <c r="F54" i="22"/>
  <c r="E54" i="22"/>
  <c r="M53" i="22"/>
  <c r="L53" i="22"/>
  <c r="F53" i="22"/>
  <c r="E53" i="22"/>
  <c r="M52" i="22"/>
  <c r="L52" i="22"/>
  <c r="F52" i="22"/>
  <c r="E52" i="22"/>
  <c r="M51" i="22"/>
  <c r="L51" i="22"/>
  <c r="F51" i="22"/>
  <c r="E51" i="22"/>
  <c r="M50" i="22"/>
  <c r="L50" i="22"/>
  <c r="F50" i="22"/>
  <c r="E50" i="22"/>
  <c r="M49" i="22"/>
  <c r="L49" i="22"/>
  <c r="F49" i="22"/>
  <c r="E49" i="22"/>
  <c r="M48" i="22"/>
  <c r="L48" i="22"/>
  <c r="F48" i="22"/>
  <c r="E48" i="22"/>
  <c r="M47" i="22"/>
  <c r="L47" i="22"/>
  <c r="F47" i="22"/>
  <c r="E47" i="22"/>
  <c r="M46" i="22"/>
  <c r="L46" i="22"/>
  <c r="F46" i="22"/>
  <c r="E46" i="22"/>
  <c r="M45" i="22"/>
  <c r="M33" i="22"/>
  <c r="EY33" i="27"/>
  <c r="L45" i="22"/>
  <c r="L33" i="22"/>
  <c r="EX33" i="27"/>
  <c r="F45" i="22"/>
  <c r="F33" i="22"/>
  <c r="ER33" i="27"/>
  <c r="E45" i="22"/>
  <c r="E33" i="22"/>
  <c r="EQ33" i="27"/>
  <c r="M44" i="22"/>
  <c r="L44" i="22"/>
  <c r="F44" i="22"/>
  <c r="E44" i="22"/>
  <c r="M43" i="22"/>
  <c r="L43" i="22"/>
  <c r="F43" i="22"/>
  <c r="E43" i="22"/>
  <c r="M42" i="22"/>
  <c r="L42" i="22"/>
  <c r="F42" i="22"/>
  <c r="E42" i="22"/>
  <c r="M41" i="22"/>
  <c r="L41" i="22"/>
  <c r="F41" i="22"/>
  <c r="E41" i="22"/>
  <c r="M40" i="22"/>
  <c r="L40" i="22"/>
  <c r="F40" i="22"/>
  <c r="E40" i="22"/>
  <c r="M37" i="22"/>
  <c r="L37" i="22"/>
  <c r="F37" i="22"/>
  <c r="E37" i="22"/>
  <c r="M36" i="22"/>
  <c r="L36" i="22"/>
  <c r="F36" i="22"/>
  <c r="E36" i="22"/>
  <c r="M35" i="22"/>
  <c r="L35" i="22"/>
  <c r="F35" i="22"/>
  <c r="E35" i="22"/>
  <c r="M34" i="22"/>
  <c r="L34" i="22"/>
  <c r="F34" i="22"/>
  <c r="E34" i="22"/>
  <c r="M32" i="22"/>
  <c r="L32" i="22"/>
  <c r="F32" i="22"/>
  <c r="E32" i="22"/>
  <c r="M31" i="22"/>
  <c r="L31" i="22"/>
  <c r="F31" i="22"/>
  <c r="E31" i="22"/>
  <c r="M30" i="22"/>
  <c r="L30" i="22"/>
  <c r="F30" i="22"/>
  <c r="E30" i="22"/>
  <c r="M29" i="22"/>
  <c r="L29" i="22"/>
  <c r="F29" i="22"/>
  <c r="E29" i="22"/>
  <c r="M28" i="22"/>
  <c r="L28" i="22"/>
  <c r="F28" i="22"/>
  <c r="E28" i="22"/>
  <c r="M27" i="22"/>
  <c r="L27" i="22"/>
  <c r="F27" i="22"/>
  <c r="E27" i="22"/>
  <c r="M26" i="22"/>
  <c r="L26" i="22"/>
  <c r="F26" i="22"/>
  <c r="E26" i="22"/>
  <c r="M25" i="22"/>
  <c r="L25" i="22"/>
  <c r="F25" i="22"/>
  <c r="E25" i="22"/>
  <c r="M24" i="22"/>
  <c r="L24" i="22"/>
  <c r="F24" i="22"/>
  <c r="E24" i="22"/>
  <c r="M23" i="22"/>
  <c r="L23" i="22"/>
  <c r="F23" i="22"/>
  <c r="E23" i="22"/>
  <c r="M22" i="22"/>
  <c r="L22" i="22"/>
  <c r="F22" i="22"/>
  <c r="E22" i="22"/>
  <c r="M21" i="22"/>
  <c r="L21" i="22"/>
  <c r="F21" i="22"/>
  <c r="E21" i="22"/>
  <c r="M20" i="22"/>
  <c r="L20" i="22"/>
  <c r="F20" i="22"/>
  <c r="E20" i="22"/>
  <c r="M19" i="22"/>
  <c r="L19" i="22"/>
  <c r="F19" i="22"/>
  <c r="E19" i="22"/>
  <c r="M18" i="22"/>
  <c r="L18" i="22"/>
  <c r="F18" i="22"/>
  <c r="E18" i="22"/>
  <c r="M1" i="22"/>
  <c r="D1" i="21"/>
  <c r="H1" i="1"/>
  <c r="IM1" i="27"/>
  <c r="K1" i="18"/>
  <c r="I1" i="19"/>
  <c r="K1" i="17"/>
  <c r="M1" i="9"/>
  <c r="M1" i="16"/>
  <c r="M1" i="15"/>
  <c r="M1" i="20"/>
  <c r="M1" i="4"/>
  <c r="M1" i="3"/>
  <c r="E45" i="9"/>
  <c r="F45" i="9"/>
  <c r="L45" i="9"/>
  <c r="M45" i="9"/>
  <c r="E38" i="9"/>
  <c r="F38" i="9"/>
  <c r="L38" i="9"/>
  <c r="M38" i="9"/>
  <c r="E39" i="9"/>
  <c r="F39" i="9"/>
  <c r="L39" i="9"/>
  <c r="M39" i="9"/>
  <c r="E40" i="9"/>
  <c r="F40" i="9"/>
  <c r="L40" i="9"/>
  <c r="M40" i="9"/>
  <c r="E41" i="9"/>
  <c r="F41" i="9"/>
  <c r="L41" i="9"/>
  <c r="M41" i="9"/>
  <c r="E42" i="9"/>
  <c r="F42" i="9"/>
  <c r="L42" i="9"/>
  <c r="M42" i="9"/>
  <c r="E43" i="9"/>
  <c r="F43" i="9"/>
  <c r="L43" i="9"/>
  <c r="M43" i="9"/>
  <c r="E44" i="9"/>
  <c r="F44" i="9"/>
  <c r="L44" i="9"/>
  <c r="M44" i="9"/>
  <c r="E16" i="9"/>
  <c r="F16" i="9"/>
  <c r="L16" i="9"/>
  <c r="M16" i="9"/>
  <c r="E17" i="9"/>
  <c r="F17" i="9"/>
  <c r="L17" i="9"/>
  <c r="M17" i="9"/>
  <c r="E18" i="9"/>
  <c r="F18" i="9"/>
  <c r="L18" i="9"/>
  <c r="M18" i="9"/>
  <c r="E19" i="9"/>
  <c r="F19" i="9"/>
  <c r="L19" i="9"/>
  <c r="M19" i="9"/>
  <c r="E20" i="9"/>
  <c r="F20" i="9"/>
  <c r="L20" i="9"/>
  <c r="M20" i="9"/>
  <c r="E13" i="9"/>
  <c r="F13" i="9"/>
  <c r="L13" i="9"/>
  <c r="M13" i="9"/>
  <c r="E14" i="9"/>
  <c r="F14" i="9"/>
  <c r="L14" i="9"/>
  <c r="M14" i="9"/>
  <c r="E15" i="9"/>
  <c r="F15" i="9"/>
  <c r="L15" i="9"/>
  <c r="M15" i="9"/>
  <c r="AN16" i="27"/>
  <c r="AM16" i="27"/>
  <c r="AG16" i="27"/>
  <c r="AF16" i="27"/>
  <c r="L13" i="27"/>
  <c r="E33" i="4"/>
  <c r="F33" i="4"/>
  <c r="E34" i="4"/>
  <c r="F34" i="4"/>
  <c r="E35" i="4"/>
  <c r="F35" i="4"/>
  <c r="E36" i="4"/>
  <c r="F36" i="4"/>
  <c r="L33" i="4"/>
  <c r="M33" i="4"/>
  <c r="L34" i="4"/>
  <c r="M34" i="4"/>
  <c r="L35" i="4"/>
  <c r="M35" i="4"/>
  <c r="L36" i="4"/>
  <c r="M36" i="4"/>
  <c r="L47" i="4"/>
  <c r="M47" i="4"/>
  <c r="L48" i="4"/>
  <c r="M48" i="4"/>
  <c r="L49" i="4"/>
  <c r="M49" i="4"/>
  <c r="L50" i="4"/>
  <c r="M50" i="4"/>
  <c r="L51" i="4"/>
  <c r="M51" i="4"/>
  <c r="L52" i="4"/>
  <c r="M52" i="4"/>
  <c r="L53" i="4"/>
  <c r="M53" i="4"/>
  <c r="L54" i="4"/>
  <c r="M54" i="4"/>
  <c r="L55" i="4"/>
  <c r="M55" i="4"/>
  <c r="L56" i="4"/>
  <c r="M56" i="4"/>
  <c r="L57" i="4"/>
  <c r="M57" i="4"/>
  <c r="L58" i="4"/>
  <c r="M58" i="4"/>
  <c r="E47" i="4"/>
  <c r="F47" i="4"/>
  <c r="E48" i="4"/>
  <c r="F48" i="4"/>
  <c r="E49" i="4"/>
  <c r="F49" i="4"/>
  <c r="E50" i="4"/>
  <c r="F50" i="4"/>
  <c r="E51" i="4"/>
  <c r="F51" i="4"/>
  <c r="E52" i="4"/>
  <c r="F52" i="4"/>
  <c r="E53" i="4"/>
  <c r="F53" i="4"/>
  <c r="E54" i="4"/>
  <c r="F54" i="4"/>
  <c r="E55" i="4"/>
  <c r="F55" i="4"/>
  <c r="E56" i="4"/>
  <c r="F56" i="4"/>
  <c r="E57" i="4"/>
  <c r="F57" i="4"/>
  <c r="E58" i="4"/>
  <c r="F58" i="4"/>
  <c r="L25" i="4"/>
  <c r="M25" i="4"/>
  <c r="L26" i="4"/>
  <c r="M26" i="4"/>
  <c r="L27" i="4"/>
  <c r="M27" i="4"/>
  <c r="L28" i="4"/>
  <c r="M28" i="4"/>
  <c r="L29" i="4"/>
  <c r="M29" i="4"/>
  <c r="L30" i="4"/>
  <c r="M30" i="4"/>
  <c r="L31" i="4"/>
  <c r="M31" i="4"/>
  <c r="L32" i="4"/>
  <c r="M32" i="4"/>
  <c r="E25" i="4"/>
  <c r="F25" i="4"/>
  <c r="E26" i="4"/>
  <c r="F26" i="4"/>
  <c r="E27" i="4"/>
  <c r="F27" i="4"/>
  <c r="E28" i="4"/>
  <c r="F28" i="4"/>
  <c r="E29" i="4"/>
  <c r="F29" i="4"/>
  <c r="E30" i="4"/>
  <c r="F30" i="4"/>
  <c r="E31" i="4"/>
  <c r="F31" i="4"/>
  <c r="E32" i="4"/>
  <c r="F32" i="4"/>
  <c r="E32" i="24"/>
  <c r="M37" i="9"/>
  <c r="L37" i="9"/>
  <c r="F37" i="9"/>
  <c r="E37" i="9"/>
  <c r="M36" i="9"/>
  <c r="L36" i="9"/>
  <c r="F36" i="9"/>
  <c r="E36" i="9"/>
  <c r="M35" i="9"/>
  <c r="L35" i="9"/>
  <c r="F35" i="9"/>
  <c r="E35" i="9"/>
  <c r="M34" i="9"/>
  <c r="L34" i="9"/>
  <c r="F34" i="9"/>
  <c r="E34" i="9"/>
  <c r="M33" i="9"/>
  <c r="L33" i="9"/>
  <c r="F33" i="9"/>
  <c r="E33" i="9"/>
  <c r="M32" i="9"/>
  <c r="L32" i="9"/>
  <c r="F32" i="9"/>
  <c r="E32" i="9"/>
  <c r="M31" i="9"/>
  <c r="L31" i="9"/>
  <c r="F31" i="9"/>
  <c r="E31" i="9"/>
  <c r="M30" i="9"/>
  <c r="L30" i="9"/>
  <c r="F30" i="9"/>
  <c r="E30" i="9"/>
  <c r="M12" i="9"/>
  <c r="L12" i="9"/>
  <c r="F12" i="9"/>
  <c r="E12" i="9"/>
  <c r="M11" i="9"/>
  <c r="L11" i="9"/>
  <c r="F11" i="9"/>
  <c r="E11" i="9"/>
  <c r="M10" i="9"/>
  <c r="L10" i="9"/>
  <c r="F10" i="9"/>
  <c r="E10" i="9"/>
  <c r="M9" i="9"/>
  <c r="L9" i="9"/>
  <c r="F9" i="9"/>
  <c r="E9" i="9"/>
  <c r="M8" i="9"/>
  <c r="L8" i="9"/>
  <c r="F8" i="9"/>
  <c r="E8" i="9"/>
  <c r="M7" i="9"/>
  <c r="L7" i="9"/>
  <c r="F7" i="9"/>
  <c r="E7" i="9"/>
  <c r="M6" i="9"/>
  <c r="L6" i="9"/>
  <c r="F6" i="9"/>
  <c r="E6" i="9"/>
  <c r="M5" i="9"/>
  <c r="L5" i="9"/>
  <c r="F5" i="9"/>
  <c r="E5" i="9"/>
  <c r="HI20" i="27"/>
  <c r="HB20" i="27"/>
  <c r="F84" i="15"/>
  <c r="E84" i="15"/>
  <c r="M77" i="15"/>
  <c r="L77" i="15"/>
  <c r="F83" i="15"/>
  <c r="E83" i="15"/>
  <c r="M76" i="15"/>
  <c r="L76" i="15"/>
  <c r="F82" i="15"/>
  <c r="E82" i="15"/>
  <c r="M75" i="15"/>
  <c r="L75" i="15"/>
  <c r="F81" i="15"/>
  <c r="E81" i="15"/>
  <c r="M74" i="15"/>
  <c r="L74" i="15"/>
  <c r="F80" i="15"/>
  <c r="E80" i="15"/>
  <c r="M73" i="15"/>
  <c r="L73" i="15"/>
  <c r="M70" i="15"/>
  <c r="L70" i="15"/>
  <c r="F70" i="15"/>
  <c r="E70" i="15"/>
  <c r="M67" i="15"/>
  <c r="L67" i="15"/>
  <c r="F67" i="15"/>
  <c r="E67" i="15"/>
  <c r="M66" i="15"/>
  <c r="L66" i="15"/>
  <c r="F66" i="15"/>
  <c r="E66" i="15"/>
  <c r="M65" i="15"/>
  <c r="L65" i="15"/>
  <c r="F65" i="15"/>
  <c r="E65" i="15"/>
  <c r="M64" i="15"/>
  <c r="L64" i="15"/>
  <c r="F64" i="15"/>
  <c r="E64" i="15"/>
  <c r="M63" i="15"/>
  <c r="L63" i="15"/>
  <c r="F63" i="15"/>
  <c r="E63" i="15"/>
  <c r="M62" i="15"/>
  <c r="L62" i="15"/>
  <c r="F62" i="15"/>
  <c r="E62" i="15"/>
  <c r="M61" i="15"/>
  <c r="L61" i="15"/>
  <c r="F61" i="15"/>
  <c r="E61" i="15"/>
  <c r="M46" i="15"/>
  <c r="L46" i="15"/>
  <c r="F46" i="15"/>
  <c r="E46" i="15"/>
  <c r="M45" i="15"/>
  <c r="L45" i="15"/>
  <c r="F45" i="15"/>
  <c r="E45" i="15"/>
  <c r="M44" i="15"/>
  <c r="L44" i="15"/>
  <c r="F44" i="15"/>
  <c r="E44" i="15"/>
  <c r="M43" i="15"/>
  <c r="L43" i="15"/>
  <c r="F43" i="15"/>
  <c r="E43" i="15"/>
  <c r="M42" i="15"/>
  <c r="L42" i="15"/>
  <c r="F42" i="15"/>
  <c r="E42" i="15"/>
  <c r="M41" i="15"/>
  <c r="L41" i="15"/>
  <c r="L18" i="15"/>
  <c r="DX18" i="27"/>
  <c r="F41" i="15"/>
  <c r="E41" i="15"/>
  <c r="E18" i="15"/>
  <c r="DQ18" i="27"/>
  <c r="M40" i="15"/>
  <c r="L40" i="15"/>
  <c r="F40" i="15"/>
  <c r="E40" i="15"/>
  <c r="M39" i="15"/>
  <c r="L39" i="15"/>
  <c r="F39" i="15"/>
  <c r="E39" i="15"/>
  <c r="M24" i="15"/>
  <c r="L24" i="15"/>
  <c r="F24" i="15"/>
  <c r="E24" i="15"/>
  <c r="M23" i="15"/>
  <c r="L23" i="15"/>
  <c r="F23" i="15"/>
  <c r="E23" i="15"/>
  <c r="M22" i="15"/>
  <c r="L22" i="15"/>
  <c r="F22" i="15"/>
  <c r="E22" i="15"/>
  <c r="M21" i="15"/>
  <c r="L21" i="15"/>
  <c r="F21" i="15"/>
  <c r="E21" i="15"/>
  <c r="M20" i="15"/>
  <c r="L20" i="15"/>
  <c r="F20" i="15"/>
  <c r="E20" i="15"/>
  <c r="M19" i="15"/>
  <c r="L19" i="15"/>
  <c r="F19" i="15"/>
  <c r="E19" i="15"/>
  <c r="M17" i="15"/>
  <c r="L17" i="15"/>
  <c r="F17" i="15"/>
  <c r="E17" i="15"/>
  <c r="L13" i="3"/>
  <c r="M13" i="3"/>
  <c r="L14" i="3"/>
  <c r="M14" i="3"/>
  <c r="L15" i="3"/>
  <c r="M15" i="3"/>
  <c r="L16" i="3"/>
  <c r="M16" i="3"/>
  <c r="L17" i="3"/>
  <c r="M17" i="3"/>
  <c r="L18" i="3"/>
  <c r="M18" i="3"/>
  <c r="L19" i="3"/>
  <c r="M19" i="3"/>
  <c r="L20" i="3"/>
  <c r="M20" i="3"/>
  <c r="L21" i="3"/>
  <c r="M21" i="3"/>
  <c r="L22" i="3"/>
  <c r="M22" i="3"/>
  <c r="L23" i="3"/>
  <c r="M23" i="3"/>
  <c r="L24" i="3"/>
  <c r="M24" i="3"/>
  <c r="L25" i="3"/>
  <c r="M25" i="3"/>
  <c r="L26" i="3"/>
  <c r="M26" i="3"/>
  <c r="L27" i="3"/>
  <c r="M27" i="3"/>
  <c r="L28" i="3"/>
  <c r="M28" i="3"/>
  <c r="L29" i="3"/>
  <c r="M29" i="3"/>
  <c r="L30" i="3"/>
  <c r="M30" i="3"/>
  <c r="L31" i="3"/>
  <c r="M31" i="3"/>
  <c r="L32" i="3"/>
  <c r="M32" i="3"/>
  <c r="L33" i="3"/>
  <c r="M33" i="3"/>
  <c r="L34" i="3"/>
  <c r="M34" i="3"/>
  <c r="L35" i="3"/>
  <c r="M35" i="3"/>
  <c r="L36" i="3"/>
  <c r="M36" i="3"/>
  <c r="L37" i="3"/>
  <c r="M37" i="3"/>
  <c r="L8" i="3"/>
  <c r="M8" i="3"/>
  <c r="L9" i="3"/>
  <c r="AO9" i="27"/>
  <c r="M9" i="3"/>
  <c r="AP9" i="27"/>
  <c r="L10" i="3"/>
  <c r="M10" i="3"/>
  <c r="L11" i="3"/>
  <c r="M11" i="3"/>
  <c r="M12" i="3"/>
  <c r="E8" i="3"/>
  <c r="F8" i="3"/>
  <c r="E9" i="3"/>
  <c r="AH9" i="27"/>
  <c r="F9" i="3"/>
  <c r="AI9" i="27"/>
  <c r="E10" i="3"/>
  <c r="F10" i="3"/>
  <c r="E11" i="3"/>
  <c r="F11" i="3"/>
  <c r="F12" i="3"/>
  <c r="L12" i="3"/>
  <c r="E13" i="3"/>
  <c r="E14" i="3"/>
  <c r="E15" i="3"/>
  <c r="E16" i="3"/>
  <c r="E17" i="3"/>
  <c r="E18" i="3"/>
  <c r="E19" i="3"/>
  <c r="E12" i="3"/>
  <c r="M77" i="4"/>
  <c r="L77" i="4"/>
  <c r="M76" i="4"/>
  <c r="L76" i="4"/>
  <c r="M75" i="4"/>
  <c r="L75" i="4"/>
  <c r="M74" i="4"/>
  <c r="L74" i="4"/>
  <c r="M73" i="4"/>
  <c r="L73" i="4"/>
  <c r="F85" i="4"/>
  <c r="E85" i="4"/>
  <c r="F84" i="4"/>
  <c r="E84" i="4"/>
  <c r="F83" i="4"/>
  <c r="E83" i="4"/>
  <c r="F82" i="4"/>
  <c r="E82" i="4"/>
  <c r="F81" i="4"/>
  <c r="E81" i="4"/>
  <c r="M70" i="4"/>
  <c r="L70" i="4"/>
  <c r="M67" i="4"/>
  <c r="L67" i="4"/>
  <c r="M66" i="4"/>
  <c r="L66" i="4"/>
  <c r="M65" i="4"/>
  <c r="L65" i="4"/>
  <c r="M64" i="4"/>
  <c r="L64" i="4"/>
  <c r="M63" i="4"/>
  <c r="L63" i="4"/>
  <c r="M62" i="4"/>
  <c r="L62" i="4"/>
  <c r="M61" i="4"/>
  <c r="L61" i="4"/>
  <c r="F70" i="4"/>
  <c r="E70" i="4"/>
  <c r="F67" i="4"/>
  <c r="E67" i="4"/>
  <c r="F66" i="4"/>
  <c r="E66" i="4"/>
  <c r="F65" i="4"/>
  <c r="E65" i="4"/>
  <c r="F64" i="4"/>
  <c r="E64" i="4"/>
  <c r="F63" i="4"/>
  <c r="E63" i="4"/>
  <c r="F62" i="4"/>
  <c r="E62" i="4"/>
  <c r="F61" i="4"/>
  <c r="E61" i="4"/>
  <c r="M46" i="4"/>
  <c r="L46" i="4"/>
  <c r="M45" i="4"/>
  <c r="L45" i="4"/>
  <c r="M44" i="4"/>
  <c r="L44" i="4"/>
  <c r="M43" i="4"/>
  <c r="L43" i="4"/>
  <c r="M42" i="4"/>
  <c r="L42" i="4"/>
  <c r="M41" i="4"/>
  <c r="L41" i="4"/>
  <c r="M40" i="4"/>
  <c r="L40" i="4"/>
  <c r="M39" i="4"/>
  <c r="L39" i="4"/>
  <c r="F46" i="4"/>
  <c r="E46" i="4"/>
  <c r="F45" i="4"/>
  <c r="E45" i="4"/>
  <c r="F44" i="4"/>
  <c r="E44" i="4"/>
  <c r="F43" i="4"/>
  <c r="E43" i="4"/>
  <c r="F42" i="4"/>
  <c r="E42" i="4"/>
  <c r="F41" i="4"/>
  <c r="E41" i="4"/>
  <c r="F40" i="4"/>
  <c r="E40" i="4"/>
  <c r="F39" i="4"/>
  <c r="E39" i="4"/>
  <c r="M24" i="4"/>
  <c r="FM12" i="27"/>
  <c r="L24" i="4"/>
  <c r="FL12" i="27"/>
  <c r="M23" i="4"/>
  <c r="L23" i="4"/>
  <c r="M22" i="4"/>
  <c r="L22" i="4"/>
  <c r="M21" i="4"/>
  <c r="L21" i="4"/>
  <c r="M20" i="4"/>
  <c r="L20" i="4"/>
  <c r="M19" i="4"/>
  <c r="L19" i="4"/>
  <c r="M18" i="4"/>
  <c r="L18" i="4"/>
  <c r="M17" i="4"/>
  <c r="L17" i="4"/>
  <c r="E18" i="4"/>
  <c r="F18" i="4"/>
  <c r="E19" i="4"/>
  <c r="F19" i="4"/>
  <c r="E20" i="4"/>
  <c r="F20" i="4"/>
  <c r="E21" i="4"/>
  <c r="F21" i="4"/>
  <c r="E22" i="4"/>
  <c r="F22" i="4"/>
  <c r="E23" i="4"/>
  <c r="F23" i="4"/>
  <c r="E24" i="4"/>
  <c r="FE12" i="27"/>
  <c r="F24" i="4"/>
  <c r="FF12" i="27"/>
  <c r="F17" i="4"/>
  <c r="E17" i="4"/>
  <c r="BD7" i="27"/>
  <c r="P82" i="27"/>
  <c r="O82" i="27"/>
  <c r="R82" i="27"/>
  <c r="Q82" i="27"/>
  <c r="IH42" i="27"/>
  <c r="EQ27" i="27"/>
  <c r="EO27" i="27"/>
  <c r="EM27" i="27"/>
  <c r="EX25" i="27"/>
  <c r="EZ25" i="27"/>
  <c r="FB25" i="27"/>
  <c r="FD25" i="27"/>
  <c r="H30" i="27"/>
  <c r="J30" i="27"/>
  <c r="L30" i="27"/>
  <c r="N30" i="27"/>
  <c r="HO39" i="27"/>
  <c r="IF42" i="27"/>
  <c r="I1780" i="11"/>
  <c r="I1792" i="11"/>
  <c r="I1693" i="11"/>
  <c r="I1762" i="11"/>
  <c r="I1701" i="11"/>
  <c r="I1715" i="11"/>
  <c r="I1763" i="11"/>
  <c r="I1747" i="11"/>
  <c r="I1726" i="11"/>
  <c r="I1764" i="11"/>
  <c r="I1779" i="11"/>
  <c r="I1696" i="11"/>
  <c r="I1767" i="11"/>
  <c r="I1699" i="11"/>
  <c r="I1709" i="11"/>
  <c r="I1757" i="11"/>
  <c r="I1736" i="11"/>
  <c r="I1739" i="11"/>
  <c r="I1706" i="11"/>
  <c r="I1725" i="11"/>
  <c r="I1691" i="11"/>
  <c r="I1716" i="11"/>
  <c r="I1744" i="11"/>
  <c r="I1748" i="11"/>
  <c r="I1727" i="11"/>
  <c r="I1765" i="11"/>
  <c r="I1795" i="11"/>
  <c r="I1685" i="11"/>
  <c r="I1758" i="11"/>
  <c r="I1694" i="11"/>
  <c r="I1697" i="11"/>
  <c r="I1711" i="11"/>
  <c r="I1759" i="11"/>
  <c r="I1738" i="11"/>
  <c r="I1741" i="11"/>
  <c r="I1775" i="11"/>
  <c r="I1754" i="11"/>
  <c r="I1783" i="11"/>
  <c r="I1692" i="11"/>
  <c r="I1695" i="11"/>
  <c r="I1705" i="11"/>
  <c r="I1753" i="11"/>
  <c r="I1732" i="11"/>
  <c r="I1770" i="11"/>
  <c r="I1721" i="11"/>
  <c r="I1773" i="11"/>
  <c r="I1687" i="11"/>
  <c r="I1712" i="11"/>
  <c r="I1760" i="11"/>
  <c r="I1724" i="11"/>
  <c r="I1742" i="11"/>
  <c r="I1776" i="11"/>
  <c r="I1794" i="11"/>
  <c r="I1714" i="11"/>
  <c r="I1750" i="11"/>
  <c r="I1690" i="11"/>
  <c r="I1704" i="11"/>
  <c r="I1707" i="11"/>
  <c r="I1755" i="11"/>
  <c r="I1734" i="11"/>
  <c r="I1684" i="11"/>
  <c r="I1737" i="11"/>
  <c r="I1688" i="11"/>
  <c r="I1717" i="11"/>
  <c r="I1720" i="11"/>
  <c r="I1749" i="11"/>
  <c r="I1728" i="11"/>
  <c r="I1766" i="11"/>
  <c r="I1793" i="11"/>
  <c r="I1700" i="11"/>
  <c r="I1746" i="11"/>
  <c r="I1778" i="11"/>
  <c r="I1702" i="11"/>
  <c r="I1708" i="11"/>
  <c r="I1756" i="11"/>
  <c r="I1735" i="11"/>
  <c r="I1796" i="11"/>
  <c r="I1710" i="11"/>
  <c r="I1740" i="11"/>
  <c r="I1686" i="11"/>
  <c r="I1719" i="11"/>
  <c r="I1722" i="11"/>
  <c r="I1751" i="11"/>
  <c r="I1730" i="11"/>
  <c r="I1768" i="11"/>
  <c r="I1774" i="11"/>
  <c r="I1689" i="11"/>
  <c r="I1729" i="11"/>
  <c r="I1703" i="11"/>
  <c r="I1713" i="11"/>
  <c r="I1761" i="11"/>
  <c r="I1745" i="11"/>
  <c r="I1743" i="11"/>
  <c r="I1777" i="11"/>
  <c r="I1718" i="11"/>
  <c r="I1733" i="11"/>
  <c r="I1698" i="11"/>
  <c r="I1723" i="11"/>
  <c r="I1752" i="11"/>
  <c r="I1731" i="11"/>
  <c r="I1769" i="11"/>
  <c r="I1613" i="11"/>
  <c r="I1567" i="11"/>
  <c r="I1566" i="11"/>
  <c r="I1564" i="11"/>
  <c r="I1563" i="11"/>
  <c r="I1561" i="11"/>
  <c r="I1611" i="11"/>
  <c r="I1609" i="11"/>
  <c r="I1608" i="11"/>
  <c r="I1607" i="11"/>
  <c r="I1603" i="11"/>
  <c r="I1602" i="11"/>
  <c r="I1600" i="11"/>
  <c r="I1599" i="11"/>
  <c r="I1577" i="11"/>
  <c r="I1576" i="11"/>
  <c r="I1575" i="11"/>
  <c r="I1574" i="11"/>
  <c r="I1573" i="11"/>
  <c r="I1570" i="11"/>
  <c r="I1569" i="11"/>
  <c r="I1568" i="11"/>
  <c r="I1667" i="11"/>
  <c r="I1648" i="11"/>
  <c r="I1668" i="11"/>
  <c r="I1585" i="11"/>
  <c r="I1583" i="11"/>
  <c r="I1581" i="11"/>
  <c r="I1580" i="11"/>
  <c r="I1673" i="11"/>
  <c r="I1672" i="11"/>
  <c r="I1671" i="11"/>
  <c r="I1670" i="11"/>
  <c r="I1669" i="11"/>
  <c r="I1658" i="11"/>
  <c r="I1655" i="11"/>
  <c r="I1654" i="11"/>
  <c r="I1651" i="11"/>
  <c r="I1650" i="11"/>
  <c r="I1649" i="11"/>
  <c r="I1637" i="11"/>
  <c r="I1632" i="11"/>
  <c r="I1631" i="11"/>
  <c r="I1628" i="11"/>
  <c r="I1627" i="11"/>
  <c r="I1625" i="11"/>
  <c r="I1624" i="11"/>
  <c r="I1623" i="11"/>
  <c r="I1622" i="11"/>
  <c r="I1621" i="11"/>
  <c r="I1619" i="11"/>
  <c r="I1598" i="11"/>
  <c r="I1597" i="11"/>
  <c r="I1596" i="11"/>
  <c r="I1593" i="11"/>
  <c r="I1592" i="11"/>
  <c r="I1591" i="11"/>
  <c r="I1915" i="11"/>
  <c r="I1914" i="11"/>
  <c r="I1913" i="11"/>
  <c r="I1912" i="11"/>
  <c r="I1896" i="11"/>
  <c r="I60" i="27"/>
  <c r="I1893" i="11"/>
  <c r="I1890" i="11"/>
  <c r="I1853" i="11"/>
  <c r="I1852" i="11"/>
  <c r="I1851" i="11"/>
  <c r="I1850" i="11"/>
  <c r="I1848" i="11"/>
  <c r="I1847" i="11"/>
  <c r="I1813" i="11"/>
  <c r="I1812" i="11"/>
  <c r="I1811" i="11"/>
  <c r="I1810" i="11"/>
  <c r="I1808" i="11"/>
  <c r="I1921" i="11"/>
  <c r="I1919" i="11"/>
  <c r="I1906" i="11"/>
  <c r="I1903" i="11"/>
  <c r="I1902" i="11"/>
  <c r="I1900" i="11"/>
  <c r="I1898" i="11"/>
  <c r="I1872" i="11"/>
  <c r="I1871" i="11"/>
  <c r="I1870" i="11"/>
  <c r="I1869" i="11"/>
  <c r="I1868" i="11"/>
  <c r="I1867" i="11"/>
  <c r="I1834" i="11"/>
  <c r="I1833" i="11"/>
  <c r="I1832" i="11"/>
  <c r="I1831" i="11"/>
  <c r="I1828" i="11"/>
  <c r="I1642" i="11"/>
  <c r="I2224" i="11"/>
  <c r="I2220" i="11"/>
  <c r="I2202" i="11"/>
  <c r="I2243" i="11"/>
  <c r="I2239" i="11"/>
  <c r="I69" i="27"/>
  <c r="I2235" i="11"/>
  <c r="I216" i="11"/>
  <c r="I212" i="11"/>
  <c r="I200" i="11"/>
  <c r="I189" i="11"/>
  <c r="I228" i="11"/>
  <c r="I106" i="11"/>
  <c r="I90" i="11"/>
  <c r="I86" i="11"/>
  <c r="I76" i="11"/>
  <c r="I1541" i="11"/>
  <c r="I1540" i="11"/>
  <c r="I1539" i="11"/>
  <c r="I1520" i="11"/>
  <c r="I1519" i="11"/>
  <c r="I1518" i="11"/>
  <c r="I1517" i="11"/>
  <c r="I1516" i="11"/>
  <c r="I1492" i="11"/>
  <c r="I1490" i="11"/>
  <c r="I1489" i="11"/>
  <c r="I1488" i="11"/>
  <c r="I1487" i="11"/>
  <c r="I1486" i="11"/>
  <c r="I1484" i="11"/>
  <c r="I1482" i="11"/>
  <c r="I1481" i="11"/>
  <c r="I1479" i="11"/>
  <c r="I1478" i="11"/>
  <c r="I1477" i="11"/>
  <c r="I1476" i="11"/>
  <c r="I1475" i="11"/>
  <c r="I1474" i="11"/>
  <c r="I1453" i="11"/>
  <c r="I1452" i="11"/>
  <c r="I1451" i="11"/>
  <c r="I1450" i="11"/>
  <c r="I1449" i="11"/>
  <c r="I1448" i="11"/>
  <c r="I1446" i="11"/>
  <c r="I1444" i="11"/>
  <c r="I1442" i="11"/>
  <c r="I1441" i="11"/>
  <c r="I1439" i="11"/>
  <c r="I1438" i="11"/>
  <c r="I1436" i="11"/>
  <c r="I1435" i="11"/>
  <c r="I1510" i="11"/>
  <c r="I1509" i="11"/>
  <c r="I1501" i="11"/>
  <c r="I1500" i="11"/>
  <c r="I1498" i="11"/>
  <c r="I1497" i="11"/>
  <c r="I1496" i="11"/>
  <c r="I1495" i="11"/>
  <c r="I1473" i="11"/>
  <c r="I1471" i="11"/>
  <c r="I1469" i="11"/>
  <c r="I1468" i="11"/>
  <c r="I1467" i="11"/>
  <c r="I1465" i="11"/>
  <c r="I1463" i="11"/>
  <c r="I1462" i="11"/>
  <c r="I1461" i="11"/>
  <c r="I1460" i="11"/>
  <c r="I1459" i="11"/>
  <c r="I1457" i="11"/>
  <c r="I1456" i="11"/>
  <c r="I1455" i="11"/>
  <c r="I1548" i="11"/>
  <c r="I1547" i="11"/>
  <c r="I1546" i="11"/>
  <c r="I1545" i="11"/>
  <c r="I1544" i="11"/>
  <c r="I1533" i="11"/>
  <c r="I1530" i="11"/>
  <c r="I1529" i="11"/>
  <c r="I1525" i="11"/>
  <c r="I1513" i="11"/>
  <c r="I1511" i="11"/>
  <c r="I1399" i="11"/>
  <c r="I1398" i="11"/>
  <c r="I1396" i="11"/>
  <c r="I1395" i="11"/>
  <c r="I1393" i="11"/>
  <c r="I1391" i="11"/>
  <c r="I1389" i="11"/>
  <c r="I1388" i="11"/>
  <c r="I1387" i="11"/>
  <c r="I1386" i="11"/>
  <c r="I1385" i="11"/>
  <c r="I2057" i="11"/>
  <c r="I2056" i="11"/>
  <c r="I2054" i="11"/>
  <c r="I2052" i="11"/>
  <c r="I2051" i="11"/>
  <c r="I2049" i="11"/>
  <c r="I2048" i="11"/>
  <c r="I2047" i="11"/>
  <c r="I2044" i="11"/>
  <c r="I1413" i="11"/>
  <c r="I1411" i="11"/>
  <c r="I1410" i="11"/>
  <c r="I1409" i="11"/>
  <c r="I1407" i="11"/>
  <c r="I1404" i="11"/>
  <c r="I2078" i="11"/>
  <c r="I2077" i="11"/>
  <c r="I2076" i="11"/>
  <c r="I2073" i="11"/>
  <c r="I2072" i="11"/>
  <c r="I2069" i="11"/>
  <c r="I2068" i="11"/>
  <c r="I2067" i="11"/>
  <c r="I2065" i="11"/>
  <c r="I1419" i="11"/>
  <c r="I1418" i="11"/>
  <c r="I1417" i="11"/>
  <c r="I1415" i="11"/>
  <c r="I2225" i="11"/>
  <c r="I2215" i="11"/>
  <c r="I2211" i="11"/>
  <c r="I2203" i="11"/>
  <c r="I2236" i="11"/>
  <c r="I2232" i="11"/>
  <c r="I221" i="11"/>
  <c r="I217" i="11"/>
  <c r="I205" i="11"/>
  <c r="I201" i="11"/>
  <c r="I225" i="11"/>
  <c r="I63" i="11"/>
  <c r="I107" i="11"/>
  <c r="I91" i="11"/>
  <c r="I87" i="11"/>
  <c r="I77" i="11"/>
  <c r="I65" i="11"/>
  <c r="I1434" i="11"/>
  <c r="I1454" i="11"/>
  <c r="I1559" i="11"/>
  <c r="I1640" i="11"/>
  <c r="I1639" i="11"/>
  <c r="I1617" i="11"/>
  <c r="I1616" i="11"/>
  <c r="I1614" i="11"/>
  <c r="I1579" i="11"/>
  <c r="I1807" i="11"/>
  <c r="I1827" i="11"/>
  <c r="I2231" i="11"/>
  <c r="I2217" i="11"/>
  <c r="I2205" i="11"/>
  <c r="I2242" i="11"/>
  <c r="I2238" i="11"/>
  <c r="I215" i="11"/>
  <c r="I207" i="11"/>
  <c r="I203" i="11"/>
  <c r="I192" i="11"/>
  <c r="I227" i="11"/>
  <c r="I105" i="11"/>
  <c r="I2128" i="11"/>
  <c r="I2108" i="11"/>
  <c r="I36" i="11"/>
  <c r="I245" i="11"/>
  <c r="I78" i="27"/>
  <c r="I2164" i="11"/>
  <c r="I2148" i="11"/>
  <c r="I493" i="11"/>
  <c r="I489" i="11"/>
  <c r="I2183" i="11"/>
  <c r="I2111" i="11"/>
  <c r="I166" i="11"/>
  <c r="I164" i="11"/>
  <c r="I162" i="11"/>
  <c r="I156" i="11"/>
  <c r="I152" i="11"/>
  <c r="I262" i="11"/>
  <c r="I260" i="11"/>
  <c r="I256" i="11"/>
  <c r="I252" i="11"/>
  <c r="I248" i="11"/>
  <c r="I169" i="11"/>
  <c r="I145" i="11"/>
  <c r="I45" i="11"/>
  <c r="I41" i="11"/>
  <c r="I37" i="11"/>
  <c r="I238" i="11"/>
  <c r="I234" i="11"/>
  <c r="I30" i="11"/>
  <c r="I2167" i="11"/>
  <c r="I2163" i="11"/>
  <c r="I2143" i="11"/>
  <c r="I496" i="11"/>
  <c r="I2118" i="11"/>
  <c r="I2114" i="11"/>
  <c r="I2106" i="11"/>
  <c r="I124" i="11"/>
  <c r="I46" i="11"/>
  <c r="I42" i="11"/>
  <c r="I38" i="11"/>
  <c r="I235" i="11"/>
  <c r="I49" i="11"/>
  <c r="I21" i="11"/>
  <c r="I17" i="11"/>
  <c r="I2226" i="11"/>
  <c r="I2212" i="11"/>
  <c r="I2200" i="11"/>
  <c r="I2237" i="11"/>
  <c r="I2233" i="11"/>
  <c r="I185" i="11"/>
  <c r="I222" i="11"/>
  <c r="I218" i="11"/>
  <c r="I206" i="11"/>
  <c r="I187" i="11"/>
  <c r="I230" i="11"/>
  <c r="I226" i="11"/>
  <c r="I108" i="11"/>
  <c r="I100" i="11"/>
  <c r="I96" i="11"/>
  <c r="I92" i="11"/>
  <c r="I78" i="11"/>
  <c r="I66" i="11"/>
  <c r="I2166" i="11"/>
  <c r="I2146" i="11"/>
  <c r="I499" i="11"/>
  <c r="I495" i="11"/>
  <c r="I491" i="11"/>
  <c r="I2185" i="11"/>
  <c r="I2129" i="11"/>
  <c r="I2109" i="11"/>
  <c r="I2105" i="11"/>
  <c r="I165" i="11"/>
  <c r="I161" i="11"/>
  <c r="I159" i="11"/>
  <c r="I157" i="11"/>
  <c r="I153" i="11"/>
  <c r="I261" i="11"/>
  <c r="I255" i="11"/>
  <c r="I253" i="11"/>
  <c r="I251" i="11"/>
  <c r="I249" i="11"/>
  <c r="I247" i="11"/>
  <c r="I168" i="11"/>
  <c r="I146" i="11"/>
  <c r="I144" i="11"/>
  <c r="I127" i="11"/>
  <c r="I125" i="11"/>
  <c r="I47" i="11"/>
  <c r="I43" i="11"/>
  <c r="I35" i="11"/>
  <c r="I244" i="11"/>
  <c r="I240" i="11"/>
  <c r="I236" i="11"/>
  <c r="I50" i="11"/>
  <c r="I28" i="11"/>
  <c r="I18" i="11"/>
  <c r="C75" i="27"/>
  <c r="I26" i="11"/>
  <c r="I22" i="11"/>
  <c r="I210" i="11"/>
  <c r="I198" i="11"/>
  <c r="I194" i="11"/>
  <c r="I2209" i="11"/>
  <c r="I1845" i="11"/>
  <c r="I1843" i="11"/>
  <c r="I1841" i="11"/>
  <c r="I1839" i="11"/>
  <c r="I1837" i="11"/>
  <c r="I1835" i="11"/>
  <c r="I1886" i="11"/>
  <c r="I1884" i="11"/>
  <c r="I1882" i="11"/>
  <c r="I1880" i="11"/>
  <c r="I1878" i="11"/>
  <c r="I1876" i="11"/>
  <c r="I1866" i="11"/>
  <c r="I1864" i="11"/>
  <c r="I1862" i="11"/>
  <c r="I1860" i="11"/>
  <c r="I1846" i="11"/>
  <c r="I1844" i="11"/>
  <c r="I1842" i="11"/>
  <c r="I1840" i="11"/>
  <c r="I1838" i="11"/>
  <c r="I1836" i="11"/>
  <c r="I1885" i="11"/>
  <c r="I1883" i="11"/>
  <c r="I1881" i="11"/>
  <c r="I1879" i="11"/>
  <c r="I1877" i="11"/>
  <c r="I1875" i="11"/>
  <c r="I1865" i="11"/>
  <c r="I1863" i="11"/>
  <c r="I1861" i="11"/>
  <c r="I1859" i="11"/>
  <c r="I199" i="11"/>
  <c r="I195" i="11"/>
  <c r="I2218" i="11"/>
  <c r="I2206" i="11"/>
  <c r="I1857" i="11"/>
  <c r="I1855" i="11"/>
  <c r="I1825" i="11"/>
  <c r="I1823" i="11"/>
  <c r="I1821" i="11"/>
  <c r="I1819" i="11"/>
  <c r="I1817" i="11"/>
  <c r="I1815" i="11"/>
  <c r="I219" i="11"/>
  <c r="I2228" i="11"/>
  <c r="I48" i="11"/>
  <c r="I2240" i="11"/>
  <c r="I190" i="11"/>
  <c r="I88" i="11"/>
  <c r="I2149" i="11"/>
  <c r="I2112" i="11"/>
  <c r="I254" i="11"/>
  <c r="I242" i="11"/>
  <c r="I160" i="11"/>
  <c r="I188" i="11"/>
  <c r="I2214" i="11"/>
  <c r="I220" i="11"/>
  <c r="I224" i="11"/>
  <c r="I81" i="11"/>
  <c r="I487" i="11"/>
  <c r="I155" i="11"/>
  <c r="I142" i="11"/>
  <c r="I40" i="11"/>
  <c r="I2123" i="11"/>
  <c r="I1506" i="11"/>
  <c r="I1918" i="11"/>
  <c r="I16" i="11"/>
  <c r="I488" i="11"/>
  <c r="I1604" i="11"/>
  <c r="I1582" i="11"/>
  <c r="I2070" i="11"/>
  <c r="I131" i="11"/>
  <c r="I143" i="11"/>
  <c r="I1578" i="11"/>
  <c r="I1615" i="11"/>
  <c r="I1652" i="11"/>
  <c r="I1594" i="11"/>
  <c r="I1809" i="11"/>
  <c r="I1390" i="11"/>
  <c r="I1414" i="11"/>
  <c r="I231" i="11"/>
  <c r="I1515" i="11"/>
  <c r="I1443" i="11"/>
  <c r="I1494" i="11"/>
  <c r="I1528" i="11"/>
  <c r="I1858" i="11"/>
  <c r="I1856" i="11"/>
  <c r="I1826" i="11"/>
  <c r="I1824" i="11"/>
  <c r="I1822" i="11"/>
  <c r="I1820" i="11"/>
  <c r="I1818" i="11"/>
  <c r="I1816" i="11"/>
  <c r="I1505" i="11"/>
  <c r="I1665" i="11"/>
  <c r="I129" i="11"/>
  <c r="I141" i="11"/>
  <c r="I1440" i="11"/>
  <c r="I1523" i="11"/>
  <c r="I1899" i="11"/>
  <c r="I2221" i="11"/>
  <c r="I2234" i="11"/>
  <c r="I229" i="11"/>
  <c r="I80" i="11"/>
  <c r="I497" i="11"/>
  <c r="I2104" i="11"/>
  <c r="I250" i="11"/>
  <c r="I237" i="11"/>
  <c r="I1502" i="11"/>
  <c r="I2204" i="11"/>
  <c r="I204" i="11"/>
  <c r="I102" i="11"/>
  <c r="I2169" i="11"/>
  <c r="I2115" i="11"/>
  <c r="I151" i="11"/>
  <c r="I130" i="11"/>
  <c r="I243" i="11"/>
  <c r="I1814" i="11"/>
  <c r="I1601" i="11"/>
  <c r="I1485" i="11"/>
  <c r="I1560" i="11"/>
  <c r="I2124" i="11"/>
  <c r="I1666" i="11"/>
  <c r="I1920" i="11"/>
  <c r="I2066" i="11"/>
  <c r="I214" i="11"/>
  <c r="I85" i="11"/>
  <c r="I1572" i="11"/>
  <c r="I1636" i="11"/>
  <c r="I1897" i="11"/>
  <c r="I1384" i="11"/>
  <c r="I1408" i="11"/>
  <c r="I64" i="11"/>
  <c r="I1491" i="11"/>
  <c r="I1437" i="11"/>
  <c r="I1472" i="11"/>
  <c r="I1524" i="11"/>
  <c r="I1458" i="11"/>
  <c r="I68" i="11"/>
  <c r="I2199" i="11"/>
  <c r="I1606" i="11"/>
  <c r="I33" i="11"/>
  <c r="I51" i="27"/>
  <c r="I2050" i="11"/>
  <c r="I2213" i="11"/>
  <c r="I213" i="11"/>
  <c r="I101" i="11"/>
  <c r="I70" i="11"/>
  <c r="I484" i="11"/>
  <c r="I259" i="11"/>
  <c r="I44" i="11"/>
  <c r="I31" i="11"/>
  <c r="I2230" i="11"/>
  <c r="I2241" i="11"/>
  <c r="I191" i="11"/>
  <c r="I95" i="11"/>
  <c r="I2144" i="11"/>
  <c r="I2107" i="11"/>
  <c r="I167" i="11"/>
  <c r="I126" i="11"/>
  <c r="I32" i="11"/>
  <c r="I140" i="11"/>
  <c r="I1620" i="11"/>
  <c r="I1634" i="11"/>
  <c r="I1416" i="11"/>
  <c r="I1483" i="11"/>
  <c r="I1888" i="11"/>
  <c r="I1643" i="11"/>
  <c r="I1901" i="11"/>
  <c r="I1412" i="11"/>
  <c r="I2229" i="11"/>
  <c r="I2168" i="11"/>
  <c r="I163" i="11"/>
  <c r="I1664" i="11"/>
  <c r="I1586" i="11"/>
  <c r="I1630" i="11"/>
  <c r="I1891" i="11"/>
  <c r="I1514" i="11"/>
  <c r="I94" i="11"/>
  <c r="I39" i="11"/>
  <c r="I2222" i="11"/>
  <c r="I492" i="11"/>
  <c r="I20" i="11"/>
  <c r="I2074" i="11"/>
  <c r="I1641" i="11"/>
  <c r="I2058" i="11"/>
  <c r="I1508" i="11"/>
  <c r="I1512" i="11"/>
  <c r="I2147" i="11"/>
  <c r="I2110" i="11"/>
  <c r="I239" i="11"/>
  <c r="I1480" i="11"/>
  <c r="I186" i="11"/>
  <c r="I158" i="11"/>
  <c r="I202" i="11"/>
  <c r="I98" i="11"/>
  <c r="I2126" i="11"/>
  <c r="I154" i="11"/>
  <c r="I2103" i="11"/>
  <c r="I99" i="11"/>
  <c r="I128" i="11"/>
  <c r="I1503" i="11"/>
  <c r="I233" i="11"/>
  <c r="I2170" i="11"/>
  <c r="I485" i="11"/>
  <c r="I67" i="11"/>
  <c r="I2117" i="11"/>
  <c r="I223" i="11"/>
  <c r="I2245" i="11"/>
  <c r="I2125" i="11"/>
  <c r="I258" i="11"/>
  <c r="I2150" i="11"/>
  <c r="I1543" i="11"/>
  <c r="I2244" i="11"/>
  <c r="I2063" i="11"/>
  <c r="I2210" i="11"/>
  <c r="I246" i="11"/>
  <c r="I2216" i="11"/>
  <c r="I1635" i="11"/>
  <c r="I1527" i="11"/>
  <c r="I2198" i="11"/>
  <c r="I257" i="11"/>
  <c r="I1499" i="11"/>
  <c r="I2130" i="11"/>
  <c r="I1405" i="11"/>
  <c r="I1562" i="11"/>
  <c r="I1645" i="11"/>
  <c r="I1584" i="11"/>
  <c r="I1626" i="11"/>
  <c r="I1889" i="11"/>
  <c r="I1874" i="11"/>
  <c r="I1392" i="11"/>
  <c r="I1406" i="11"/>
  <c r="I2223" i="11"/>
  <c r="I82" i="11"/>
  <c r="I1493" i="11"/>
  <c r="I1445" i="11"/>
  <c r="I1504" i="11"/>
  <c r="I1464" i="11"/>
  <c r="I1526" i="11"/>
  <c r="I2127" i="11"/>
  <c r="I2201" i="11"/>
  <c r="I1507" i="11"/>
  <c r="I69" i="11"/>
  <c r="I34" i="11"/>
  <c r="I1610" i="11"/>
  <c r="I1588" i="11"/>
  <c r="I1638" i="11"/>
  <c r="I1590" i="11"/>
  <c r="I1887" i="11"/>
  <c r="I1829" i="11"/>
  <c r="I1394" i="11"/>
  <c r="I2046" i="11"/>
  <c r="I2064" i="11"/>
  <c r="I103" i="11"/>
  <c r="I1542" i="11"/>
  <c r="I1447" i="11"/>
  <c r="I2055" i="11"/>
  <c r="I1612" i="11"/>
  <c r="I1644" i="11"/>
  <c r="I1633" i="11"/>
  <c r="I1589" i="11"/>
  <c r="I232" i="11"/>
  <c r="I1565" i="11"/>
  <c r="I1605" i="11"/>
  <c r="I1571" i="11"/>
  <c r="I1618" i="11"/>
  <c r="I1587" i="11"/>
  <c r="I1653" i="11"/>
  <c r="I1629" i="11"/>
  <c r="I1595" i="11"/>
  <c r="I1830" i="11"/>
  <c r="I2075" i="11"/>
  <c r="I2043" i="11"/>
  <c r="I104" i="11"/>
  <c r="I2113" i="11"/>
  <c r="I139" i="11"/>
  <c r="I1916" i="11"/>
  <c r="I1892" i="11"/>
  <c r="I1849" i="11"/>
  <c r="I1917" i="11"/>
  <c r="I1873" i="11"/>
  <c r="I1397" i="11"/>
  <c r="I2053" i="11"/>
  <c r="I2045" i="11"/>
  <c r="I2071" i="11"/>
  <c r="I2227" i="11"/>
  <c r="I1854" i="11"/>
  <c r="I1470" i="11"/>
  <c r="I1466" i="11"/>
  <c r="I2207" i="11"/>
  <c r="I2208" i="11"/>
  <c r="I2219" i="11"/>
  <c r="I193" i="11"/>
  <c r="I196" i="11"/>
  <c r="I197" i="11"/>
  <c r="I208" i="11"/>
  <c r="I209" i="11"/>
  <c r="I211" i="11"/>
  <c r="I71" i="11"/>
  <c r="I72" i="11"/>
  <c r="I135" i="11"/>
  <c r="I147" i="11"/>
  <c r="I134" i="11"/>
  <c r="I138" i="11"/>
  <c r="I150" i="11"/>
  <c r="I23" i="11"/>
  <c r="I24" i="11"/>
  <c r="I25" i="11"/>
  <c r="I27" i="11"/>
  <c r="I133" i="11"/>
  <c r="I137" i="11"/>
  <c r="I149" i="11"/>
  <c r="I132" i="11"/>
  <c r="I136" i="11"/>
  <c r="I148" i="11"/>
</calcChain>
</file>

<file path=xl/sharedStrings.xml><?xml version="1.0" encoding="utf-8"?>
<sst xmlns="http://schemas.openxmlformats.org/spreadsheetml/2006/main" count="5697" uniqueCount="230">
  <si>
    <t>#</t>
  </si>
  <si>
    <t>First Name</t>
  </si>
  <si>
    <t>Last Name</t>
  </si>
  <si>
    <t>M/F</t>
  </si>
  <si>
    <t>Team:</t>
  </si>
  <si>
    <t>Coach:</t>
  </si>
  <si>
    <t>Group Team Show - Small Group Division</t>
  </si>
  <si>
    <t>Group Team Show - Large Group Division</t>
  </si>
  <si>
    <t>Participant
ID#</t>
  </si>
  <si>
    <t>10 and under age group</t>
  </si>
  <si>
    <t>11 - 12 age group</t>
  </si>
  <si>
    <t>13 - 14 age group</t>
  </si>
  <si>
    <t>23 - 29 age group</t>
  </si>
  <si>
    <t>50 and older age group</t>
  </si>
  <si>
    <t>Male Single Rope Individual Speed (60 Seconds)</t>
  </si>
  <si>
    <t>EventName</t>
  </si>
  <si>
    <t>ALT-Alternates</t>
  </si>
  <si>
    <t>MTU-Male Triple Unders</t>
  </si>
  <si>
    <t>FTU-Female Triple Unders</t>
  </si>
  <si>
    <t>MSRS-Male Single Rope Speed</t>
  </si>
  <si>
    <t>FSRS-Female Single Rope Speed</t>
  </si>
  <si>
    <t>SRSR-Single Rope Speed Relay</t>
  </si>
  <si>
    <t>DDSR-Double Dutch Speed Relay</t>
  </si>
  <si>
    <t>DDPS-Double Dutch Pairs Speed</t>
  </si>
  <si>
    <t>MTMS-Male Three Minute Speed</t>
  </si>
  <si>
    <t>FTMS-Female Three Minute Speed</t>
  </si>
  <si>
    <t>MSRF-Male Single Rope Freestyle</t>
  </si>
  <si>
    <t>FSRF-Female Single Rope Freestyle</t>
  </si>
  <si>
    <t>SRPF-Single Rope Pairs Freestyle</t>
  </si>
  <si>
    <t>FSRPF-Female Single Rope Pairs Freestyle</t>
  </si>
  <si>
    <t>DDSF-Double Dutch Single Freestyle</t>
  </si>
  <si>
    <t>FDDSF-Female Double Dutch Single Freestyle</t>
  </si>
  <si>
    <t>DDPF-Double Dutch Pairs Freestyle</t>
  </si>
  <si>
    <t>FDDPF-Female Double Dutch Pairs Freestyle</t>
  </si>
  <si>
    <t>TSS-Team Show Small Group</t>
  </si>
  <si>
    <t>TSL-Team Show Large Group</t>
  </si>
  <si>
    <t>TEAM</t>
  </si>
  <si>
    <t>EVENT</t>
  </si>
  <si>
    <t>AGE</t>
  </si>
  <si>
    <t>compid1</t>
  </si>
  <si>
    <t>compid2</t>
  </si>
  <si>
    <t>compid3</t>
  </si>
  <si>
    <t>compid4</t>
  </si>
  <si>
    <t>Valid Ages</t>
  </si>
  <si>
    <t>10-under</t>
  </si>
  <si>
    <t>11-12</t>
  </si>
  <si>
    <t>12-Under</t>
  </si>
  <si>
    <t>13-14</t>
  </si>
  <si>
    <t>15-17</t>
  </si>
  <si>
    <t>18-22</t>
  </si>
  <si>
    <t>23-29</t>
  </si>
  <si>
    <t>30-49</t>
  </si>
  <si>
    <t>50-Over</t>
  </si>
  <si>
    <t>30-Over</t>
  </si>
  <si>
    <t>18-Over</t>
  </si>
  <si>
    <t>Event</t>
  </si>
  <si>
    <t>Age</t>
  </si>
  <si>
    <t>MSRS</t>
  </si>
  <si>
    <t>30 - 49 age group</t>
  </si>
  <si>
    <t>TSS</t>
  </si>
  <si>
    <t>TSL</t>
  </si>
  <si>
    <t>AgeID</t>
  </si>
  <si>
    <t>10-Under</t>
  </si>
  <si>
    <t>15-Over</t>
  </si>
  <si>
    <t>Age Group</t>
  </si>
  <si>
    <t>AgeGroup</t>
  </si>
  <si>
    <t>Team #</t>
  </si>
  <si>
    <t>Female Single Rope Individual Speed (60 Seconds)</t>
  </si>
  <si>
    <t>Male Single Rope Endurance Speed (3 Minutes)</t>
  </si>
  <si>
    <t>Female Single Rope Endurance Speed (3 Minutes)</t>
  </si>
  <si>
    <t>18 and older age group</t>
  </si>
  <si>
    <t>Male Single Rope Triple Unders</t>
  </si>
  <si>
    <t>List the entries in each age group last name, first name. Please indicate those not interested in qualifying for Nationals</t>
  </si>
  <si>
    <t>Female Single Rope Triple Unders</t>
  </si>
  <si>
    <t>FSRS</t>
  </si>
  <si>
    <t>MTMS</t>
  </si>
  <si>
    <t>FTMS</t>
  </si>
  <si>
    <t>MTU</t>
  </si>
  <si>
    <t>FTU</t>
  </si>
  <si>
    <t>Single Rope Speed Relay:</t>
  </si>
  <si>
    <t>SRSR</t>
  </si>
  <si>
    <t>Name</t>
  </si>
  <si>
    <t>Age as of</t>
  </si>
  <si>
    <t>18 and older</t>
  </si>
  <si>
    <t>30 and older (all participants must be at least 30 years of age)</t>
  </si>
  <si>
    <t>Any</t>
  </si>
  <si>
    <t>Double Dutch Pairs Speed:</t>
  </si>
  <si>
    <t>Double Dutch Speed Relay</t>
  </si>
  <si>
    <t>Team Show</t>
  </si>
  <si>
    <t>Judges</t>
  </si>
  <si>
    <t>Competitor Information</t>
  </si>
  <si>
    <t>Coach Phone #:</t>
  </si>
  <si>
    <t>Teams must declare a “coach of record”for each tournament. The coach of record is any adult that will fulfill the duties of the</t>
  </si>
  <si>
    <t>official coach if the official coach is unavailable due to judging, competing, serving as a tournament director, or is absent from</t>
  </si>
  <si>
    <t>the premises for any reason. The coach of record may be contacted in case of emergency, file protests, advocate for jumpers, and</t>
  </si>
  <si>
    <t>act as the official spokesperson for the team when the official coach is not available.</t>
  </si>
  <si>
    <t>Name of Jumper wildcarding</t>
  </si>
  <si>
    <t>Wildcards are accepted only if there are fewer than four entries in that event. If there are more applicants than there are available</t>
  </si>
  <si>
    <t>positions, then all jumpers must compete to qualify for Nationals in that event. All fees and registration paperwork must be received by</t>
  </si>
  <si>
    <t>the deadline in order to be eligible to wildcard. Wildcards registering at the National level must have been accepted as a wildcard entry</t>
  </si>
  <si>
    <t>by the Regional Tournament Director.</t>
  </si>
  <si>
    <r>
      <t xml:space="preserve">Wildcards </t>
    </r>
    <r>
      <rPr>
        <b/>
        <sz val="12"/>
        <color indexed="8"/>
        <rFont val="Calibri"/>
        <family val="2"/>
      </rPr>
      <t>(see Rulebook for details)</t>
    </r>
  </si>
  <si>
    <t>Male Single Rope Individual Freestyle</t>
  </si>
  <si>
    <t>Female Single Rope Individual Freestyle</t>
  </si>
  <si>
    <t>Rank</t>
  </si>
  <si>
    <t>Single Rope Pairs Freestyle</t>
  </si>
  <si>
    <t>SRPF</t>
  </si>
  <si>
    <t>15-17 age group</t>
  </si>
  <si>
    <t>13-14 age group</t>
  </si>
  <si>
    <t>Double Dutch Single Freestyle</t>
  </si>
  <si>
    <t>Double Dutch Pairs Freestyle</t>
  </si>
  <si>
    <t>DDPF</t>
  </si>
  <si>
    <t>DDSF</t>
  </si>
  <si>
    <t>FSRPF</t>
  </si>
  <si>
    <t>FDDSF</t>
  </si>
  <si>
    <t>FDDPF</t>
  </si>
  <si>
    <t>FSRF</t>
  </si>
  <si>
    <t>MSRF</t>
  </si>
  <si>
    <t>DDPS</t>
  </si>
  <si>
    <t>DDSR</t>
  </si>
  <si>
    <t>For Tournament Data Management Only - Please do not modify this data!</t>
  </si>
  <si>
    <t>Compete Order</t>
  </si>
  <si>
    <t>Event Code</t>
  </si>
  <si>
    <t>#/Rank</t>
  </si>
  <si>
    <t>Tournament Database Import Records - Please do not modify!!</t>
  </si>
  <si>
    <t>Coach Email:</t>
  </si>
  <si>
    <t>Coach of Record:</t>
  </si>
  <si>
    <t>N</t>
  </si>
  <si>
    <t>Y</t>
  </si>
  <si>
    <t>M</t>
  </si>
  <si>
    <t>F</t>
  </si>
  <si>
    <t>(Persons 18 years and older allowed to compete at Nationals without qualifying at Regionals)</t>
  </si>
  <si>
    <r>
      <t xml:space="preserve">Bday
</t>
    </r>
    <r>
      <rPr>
        <sz val="8"/>
        <color indexed="8"/>
        <rFont val="Calibri"/>
        <family val="2"/>
      </rPr>
      <t>(mm/dd/yyyy)</t>
    </r>
  </si>
  <si>
    <t>Enter the participant ID for each competitor in the appropriate age group.</t>
  </si>
  <si>
    <t>Enter the participant ID for each competitor in the appropriate age group.  Max 5 entries per age group.</t>
  </si>
  <si>
    <t xml:space="preserve">Rank your entries in each age group by priority to be selected to compete. </t>
  </si>
  <si>
    <t>The maximum number of total entries allowed per age group is 40.</t>
  </si>
  <si>
    <t>AAAAAHfu7RU=</t>
  </si>
  <si>
    <t>AAAAAHfu7RY=</t>
  </si>
  <si>
    <t>AAAAAHfu7Rc=</t>
  </si>
  <si>
    <t>EventID</t>
  </si>
  <si>
    <t>18-over</t>
  </si>
  <si>
    <t>30-over</t>
  </si>
  <si>
    <t>For Tournament Director Use Only (v5)</t>
  </si>
  <si>
    <t>Teams may enter one routine in each division.  However, individual jumpers may only compete in one division or the other, but not in both.</t>
  </si>
  <si>
    <t>See the USAJR Rulebook for details.</t>
  </si>
  <si>
    <t>8-Under</t>
  </si>
  <si>
    <t>Your Tournament Name HERE</t>
  </si>
  <si>
    <t>Tournament Type</t>
  </si>
  <si>
    <t>USA</t>
  </si>
  <si>
    <t>USAJR #</t>
  </si>
  <si>
    <t>Row Labels</t>
  </si>
  <si>
    <t>Grand Total</t>
  </si>
  <si>
    <t>Total</t>
  </si>
  <si>
    <t>Count of #/Rank</t>
  </si>
  <si>
    <t>Male Single Rope Double Under Speed (30 Seconds)</t>
  </si>
  <si>
    <t>Female Single Rope Double Under Speed (30 Seconds)</t>
  </si>
  <si>
    <t>MTDU</t>
  </si>
  <si>
    <t>FTDU</t>
  </si>
  <si>
    <t>MTDU-Male Single Rope Double Under</t>
  </si>
  <si>
    <t>FTDU-Female Single Rope Double Under</t>
  </si>
  <si>
    <t>11-12 age group</t>
  </si>
  <si>
    <t>MTSS-Male Thirty Second Speed</t>
  </si>
  <si>
    <t>FTSS-Female Thirty Second Speed</t>
  </si>
  <si>
    <t>Male Single Rope Individual Speed (30 Seconds)</t>
  </si>
  <si>
    <t>Female Single Rope Individual Speed (30 Seconds)</t>
  </si>
  <si>
    <t>MTSS</t>
  </si>
  <si>
    <t>FTSS</t>
  </si>
  <si>
    <t>1st Date of 9</t>
  </si>
  <si>
    <r>
      <t xml:space="preserve">Compete in 8-U
</t>
    </r>
    <r>
      <rPr>
        <sz val="8"/>
        <color indexed="8"/>
        <rFont val="Calibri"/>
        <family val="2"/>
      </rPr>
      <t>(Y or N)</t>
    </r>
  </si>
  <si>
    <t>8 and under age group</t>
  </si>
  <si>
    <t>9 age group</t>
  </si>
  <si>
    <t>10 age group</t>
  </si>
  <si>
    <t>11 age group</t>
  </si>
  <si>
    <t>12 age group</t>
  </si>
  <si>
    <t>13 age group</t>
  </si>
  <si>
    <t>14 age group</t>
  </si>
  <si>
    <t>8-under</t>
  </si>
  <si>
    <t>(Note: If registrering an 8 or younger athlete, they will only be able to compete at regionals and the Gold Rush Classic.  If they would like to compete at nationals, they need to be loaded in 10 - Under age group.)</t>
  </si>
  <si>
    <t>Note: For competitors 8 and younger, listing them as Compete in 8-U = (Y) will place them in that age group for regionals and Gold Rush.  To qualify for nationals, do not check the "Compete in 8-u" field and the athlete will be able to compete at 9 age group for girls and 10-U age group for boys.</t>
  </si>
  <si>
    <t>Support Box Access:             1</t>
  </si>
  <si>
    <t>OPTIONAL:</t>
  </si>
  <si>
    <r>
      <t xml:space="preserve">Teams may provide a Team Contact to receive information and correspondance from the USAJR office or Tournament Director regarding this tournament </t>
    </r>
    <r>
      <rPr>
        <b/>
        <i/>
        <sz val="10"/>
        <color theme="1"/>
        <rFont val="Calibri"/>
        <family val="2"/>
        <scheme val="minor"/>
      </rPr>
      <t>in addition to the Head Coach.</t>
    </r>
  </si>
  <si>
    <t>Team Contact:</t>
  </si>
  <si>
    <t>Team Contact Email:</t>
  </si>
  <si>
    <t>Team Contact Phone:</t>
  </si>
  <si>
    <r>
      <t>The coaches’ box has been renamed “Support Box”.</t>
    </r>
    <r>
      <rPr>
        <u/>
        <sz val="8"/>
        <color theme="1"/>
        <rFont val="Calibri"/>
        <family val="2"/>
        <scheme val="minor"/>
      </rPr>
      <t xml:space="preserve"> A team may declare up to 4 support people including the Coach and the “Coach of Record”</t>
    </r>
    <r>
      <rPr>
        <sz val="8"/>
        <color theme="1"/>
        <rFont val="Calibri"/>
        <family val="2"/>
        <scheme val="minor"/>
      </rPr>
      <t xml:space="preserve">.  The support people must be at least 18 years of age.  These support people, along with the official coach and the “coach of record”, will be allowed in the support box.  The support people may or may not be registered athletes and must be named at the time of registration.  Support people will </t>
    </r>
    <r>
      <rPr>
        <u/>
        <sz val="8"/>
        <color theme="1"/>
        <rFont val="Calibri"/>
        <family val="2"/>
        <scheme val="minor"/>
      </rPr>
      <t>not</t>
    </r>
    <r>
      <rPr>
        <sz val="8"/>
        <color theme="1"/>
        <rFont val="Calibri"/>
        <family val="2"/>
        <scheme val="minor"/>
      </rPr>
      <t xml:space="preserve"> have any official coaching or coach of record decision-making duties while in the box and on the floor.  All coaching decisions and inquiries must go through team coach or coach of record.  Requests for exceptions may be made in writing to the Tournament Director.</t>
    </r>
  </si>
  <si>
    <r>
      <t xml:space="preserve">Coaches:  </t>
    </r>
    <r>
      <rPr>
        <sz val="11"/>
        <color theme="1"/>
        <rFont val="Calibri"/>
        <family val="2"/>
        <scheme val="minor"/>
      </rPr>
      <t>Complete the information in each column for each person being nominated as a judge or volunteer for this event.  Teams are required to provide a minimum of 1 judge for every 4 athletes competing in this event, and additinal judges are always helpful.  Judges that are available as either only a speed judge or only a freestyle judge will count as 0.5 judge.  Non-judging volunteers are also needed.   Please only indicate Yes in columns with "*" if person has experience in that area.</t>
    </r>
  </si>
  <si>
    <t>Non-Judging Volunteers</t>
  </si>
  <si>
    <t>Level 1 or 2</t>
  </si>
  <si>
    <t>Speed</t>
  </si>
  <si>
    <t>Head Speed</t>
  </si>
  <si>
    <t>Presentation</t>
  </si>
  <si>
    <t>Head Present</t>
  </si>
  <si>
    <t>Content</t>
  </si>
  <si>
    <t>Head Content</t>
  </si>
  <si>
    <t>Head Free</t>
  </si>
  <si>
    <t>Floor Mgr</t>
  </si>
  <si>
    <t>Yrs Reg. Exp.</t>
  </si>
  <si>
    <t>Yrs Nat'l Exp.</t>
  </si>
  <si>
    <t>.</t>
  </si>
  <si>
    <t>Tabulator</t>
  </si>
  <si>
    <t>Runner</t>
  </si>
  <si>
    <t>Clerk</t>
  </si>
  <si>
    <t>*Audio Asst.</t>
  </si>
  <si>
    <t>*Computer Table</t>
  </si>
  <si>
    <t>where needed</t>
  </si>
  <si>
    <t>ex. John</t>
  </si>
  <si>
    <t>ex. Smith</t>
  </si>
  <si>
    <t>AB1234C</t>
  </si>
  <si>
    <t>Yes</t>
  </si>
  <si>
    <t>No</t>
  </si>
  <si>
    <t xml:space="preserve">Team: </t>
  </si>
  <si>
    <t>USAJR Membership #</t>
  </si>
  <si>
    <t>15-16</t>
  </si>
  <si>
    <t>17-18</t>
  </si>
  <si>
    <t>19-22</t>
  </si>
  <si>
    <t>15 - 16 age group</t>
  </si>
  <si>
    <t>19 - 22 age group</t>
  </si>
  <si>
    <t>17 - 18 age group</t>
  </si>
  <si>
    <t>17-18 age group</t>
  </si>
  <si>
    <t>15-16 age group</t>
  </si>
  <si>
    <t>18-22 age group</t>
  </si>
  <si>
    <t>19-23 age group</t>
  </si>
  <si>
    <t>19-22 age group</t>
  </si>
  <si>
    <t>15-18</t>
  </si>
  <si>
    <t>19-Over</t>
  </si>
  <si>
    <t>19-over</t>
  </si>
  <si>
    <t>15 - 18 age group</t>
  </si>
  <si>
    <t>19 and older age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</si>
</sst>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5" x14ac:knownFonts="1">
    <font>
      <sz val="11"/>
      <color theme="1"/>
      <name val="Calibri"/>
      <family val="2"/>
      <scheme val="minor"/>
    </font>
    <font>
      <sz val="11"/>
      <color indexed="8"/>
      <name val="Calibri"/>
      <family val="2"/>
    </font>
    <font>
      <sz val="8"/>
      <color indexed="8"/>
      <name val="Calibri"/>
      <family val="2"/>
    </font>
    <font>
      <sz val="10"/>
      <color indexed="8"/>
      <name val="Arial"/>
      <family val="2"/>
    </font>
    <font>
      <sz val="11"/>
      <color indexed="8"/>
      <name val="Calibri"/>
      <family val="2"/>
    </font>
    <font>
      <sz val="11"/>
      <color indexed="8"/>
      <name val="Calibri"/>
      <family val="2"/>
    </font>
    <font>
      <sz val="10"/>
      <color indexed="8"/>
      <name val="Arial"/>
      <family val="2"/>
    </font>
    <font>
      <b/>
      <sz val="12"/>
      <color indexed="8"/>
      <name val="Calibri"/>
      <family val="2"/>
    </font>
    <font>
      <b/>
      <sz val="11"/>
      <color indexed="8"/>
      <name val="Calibri"/>
      <family val="2"/>
    </font>
    <font>
      <sz val="11"/>
      <color indexed="10"/>
      <name val="Calibri"/>
      <family val="2"/>
    </font>
    <font>
      <b/>
      <sz val="14"/>
      <color indexed="8"/>
      <name val="Times New Roman"/>
      <family val="1"/>
    </font>
    <font>
      <sz val="10"/>
      <color indexed="8"/>
      <name val="Times New Roman"/>
      <family val="1"/>
    </font>
    <font>
      <b/>
      <sz val="8"/>
      <color indexed="8"/>
      <name val="Times New Roman"/>
      <family val="1"/>
    </font>
    <font>
      <sz val="8"/>
      <color indexed="8"/>
      <name val="Times New Roman"/>
      <family val="1"/>
    </font>
    <font>
      <sz val="8"/>
      <color indexed="8"/>
      <name val="Calibri"/>
      <family val="2"/>
    </font>
    <font>
      <b/>
      <sz val="8"/>
      <color indexed="8"/>
      <name val="Calibri"/>
      <family val="2"/>
    </font>
    <font>
      <b/>
      <sz val="14"/>
      <color indexed="8"/>
      <name val="Calibri"/>
      <family val="2"/>
    </font>
    <font>
      <sz val="9"/>
      <color indexed="8"/>
      <name val="Calibri"/>
      <family val="2"/>
    </font>
    <font>
      <b/>
      <u/>
      <sz val="11"/>
      <color indexed="8"/>
      <name val="Calibri"/>
      <family val="2"/>
    </font>
    <font>
      <b/>
      <u/>
      <sz val="12"/>
      <color indexed="8"/>
      <name val="Calibri"/>
      <family val="2"/>
    </font>
    <font>
      <b/>
      <sz val="16"/>
      <color indexed="8"/>
      <name val="Calibri"/>
      <family val="2"/>
    </font>
    <font>
      <b/>
      <sz val="9"/>
      <color indexed="8"/>
      <name val="Calibri"/>
      <family val="2"/>
    </font>
    <font>
      <b/>
      <sz val="11"/>
      <color indexed="10"/>
      <name val="Calibri"/>
      <family val="2"/>
    </font>
    <font>
      <sz val="8"/>
      <name val="Calibri"/>
      <family val="2"/>
    </font>
    <font>
      <u/>
      <sz val="11"/>
      <color theme="10"/>
      <name val="Calibri"/>
      <family val="2"/>
      <scheme val="minor"/>
    </font>
    <font>
      <u/>
      <sz val="11"/>
      <color theme="11"/>
      <name val="Calibri"/>
      <family val="2"/>
      <scheme val="minor"/>
    </font>
    <font>
      <sz val="8"/>
      <name val="Calibri"/>
      <family val="2"/>
      <scheme val="minor"/>
    </font>
    <font>
      <b/>
      <sz val="11"/>
      <color theme="1"/>
      <name val="Calibri"/>
      <family val="2"/>
      <scheme val="minor"/>
    </font>
    <font>
      <sz val="10"/>
      <color theme="1"/>
      <name val="Calibri"/>
      <family val="2"/>
      <scheme val="minor"/>
    </font>
    <font>
      <b/>
      <i/>
      <sz val="10"/>
      <color theme="1"/>
      <name val="Calibri"/>
      <family val="2"/>
      <scheme val="minor"/>
    </font>
    <font>
      <u/>
      <sz val="8"/>
      <color theme="1"/>
      <name val="Calibri"/>
      <family val="2"/>
      <scheme val="minor"/>
    </font>
    <font>
      <sz val="8"/>
      <color theme="1"/>
      <name val="Calibri"/>
      <family val="2"/>
      <scheme val="minor"/>
    </font>
    <font>
      <i/>
      <sz val="11"/>
      <color theme="1"/>
      <name val="Calibri"/>
      <family val="2"/>
      <scheme val="minor"/>
    </font>
    <font>
      <b/>
      <sz val="18"/>
      <color theme="1"/>
      <name val="Calibri"/>
      <family val="2"/>
      <scheme val="minor"/>
    </font>
    <font>
      <u/>
      <sz val="11"/>
      <color theme="1"/>
      <name val="Calibri"/>
      <family val="2"/>
      <scheme val="minor"/>
    </font>
  </fonts>
  <fills count="10">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22"/>
        <bgColor indexed="0"/>
      </patternFill>
    </fill>
    <fill>
      <patternFill patternType="solid">
        <fgColor indexed="1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39">
    <border>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22"/>
      </left>
      <right style="thin">
        <color indexed="22"/>
      </right>
      <top/>
      <bottom style="thin">
        <color indexed="2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22"/>
      </left>
      <right style="thin">
        <color indexed="22"/>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diagonal/>
    </border>
    <border>
      <left style="medium">
        <color indexed="64"/>
      </left>
      <right style="thin">
        <color auto="1"/>
      </right>
      <top style="thin">
        <color auto="1"/>
      </top>
      <bottom style="thin">
        <color auto="1"/>
      </bottom>
      <diagonal/>
    </border>
    <border>
      <left style="medium">
        <color indexed="64"/>
      </left>
      <right/>
      <top style="thin">
        <color auto="1"/>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auto="1"/>
      </bottom>
      <diagonal/>
    </border>
    <border>
      <left style="thin">
        <color auto="1"/>
      </left>
      <right style="thin">
        <color auto="1"/>
      </right>
      <top style="thin">
        <color auto="1"/>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22"/>
      </right>
      <top/>
      <bottom/>
      <diagonal/>
    </border>
  </borders>
  <cellStyleXfs count="205">
    <xf numFmtId="0" fontId="0" fillId="0" borderId="0"/>
    <xf numFmtId="0" fontId="3" fillId="0" borderId="0"/>
    <xf numFmtId="0" fontId="6"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171">
    <xf numFmtId="0" fontId="0" fillId="0" borderId="0" xfId="0"/>
    <xf numFmtId="0" fontId="0" fillId="0" borderId="2" xfId="0" applyBorder="1" applyAlignment="1">
      <alignment horizontal="center"/>
    </xf>
    <xf numFmtId="0" fontId="0" fillId="0" borderId="0" xfId="0" applyAlignment="1">
      <alignment horizontal="center"/>
    </xf>
    <xf numFmtId="0" fontId="0" fillId="3" borderId="2" xfId="0" applyFill="1" applyBorder="1" applyAlignment="1">
      <alignment horizontal="center"/>
    </xf>
    <xf numFmtId="0" fontId="0" fillId="0" borderId="0" xfId="0" applyAlignment="1">
      <alignment horizontal="centerContinuous"/>
    </xf>
    <xf numFmtId="0" fontId="10" fillId="0" borderId="0" xfId="0" applyFont="1" applyAlignment="1">
      <alignment horizontal="left" vertical="center"/>
    </xf>
    <xf numFmtId="0" fontId="11" fillId="0" borderId="0" xfId="0" applyFont="1" applyAlignment="1">
      <alignment horizontal="left" vertical="center"/>
    </xf>
    <xf numFmtId="0" fontId="4" fillId="0" borderId="1" xfId="1" applyFont="1" applyFill="1" applyBorder="1" applyAlignment="1"/>
    <xf numFmtId="0" fontId="0" fillId="0" borderId="0" xfId="0" applyAlignment="1"/>
    <xf numFmtId="0" fontId="4" fillId="4" borderId="3" xfId="1" applyFont="1" applyFill="1" applyBorder="1" applyAlignment="1">
      <alignment horizont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centerContinuous"/>
    </xf>
    <xf numFmtId="0" fontId="14" fillId="3" borderId="2" xfId="0" applyFont="1" applyFill="1" applyBorder="1" applyAlignment="1">
      <alignment horizontal="center"/>
    </xf>
    <xf numFmtId="0" fontId="14" fillId="0" borderId="0" xfId="0" applyFont="1"/>
    <xf numFmtId="0" fontId="15" fillId="3" borderId="2" xfId="0" applyFont="1" applyFill="1" applyBorder="1" applyAlignment="1">
      <alignment horizontal="center"/>
    </xf>
    <xf numFmtId="15" fontId="15" fillId="3" borderId="2" xfId="0" applyNumberFormat="1" applyFont="1" applyFill="1" applyBorder="1" applyAlignment="1">
      <alignment horizontal="center" wrapText="1"/>
    </xf>
    <xf numFmtId="0" fontId="0" fillId="3" borderId="2" xfId="0" applyFill="1" applyBorder="1"/>
    <xf numFmtId="0" fontId="5" fillId="0" borderId="1" xfId="2" applyFont="1" applyFill="1" applyBorder="1" applyAlignment="1">
      <alignment wrapText="1"/>
    </xf>
    <xf numFmtId="0" fontId="16" fillId="0" borderId="0" xfId="0" applyFont="1"/>
    <xf numFmtId="0" fontId="17" fillId="0" borderId="0" xfId="0" applyFont="1"/>
    <xf numFmtId="0" fontId="19" fillId="0" borderId="0" xfId="0" applyFont="1" applyBorder="1" applyAlignment="1">
      <alignment horizontal="right"/>
    </xf>
    <xf numFmtId="0" fontId="0" fillId="0" borderId="0" xfId="0" applyProtection="1">
      <protection locked="0"/>
    </xf>
    <xf numFmtId="0" fontId="17" fillId="3" borderId="2" xfId="0" applyFont="1" applyFill="1" applyBorder="1" applyProtection="1"/>
    <xf numFmtId="0" fontId="5" fillId="4" borderId="2" xfId="2" applyFont="1" applyFill="1" applyBorder="1" applyAlignment="1">
      <alignment horizontal="center"/>
    </xf>
    <xf numFmtId="0" fontId="9" fillId="5" borderId="5" xfId="0" applyFont="1" applyFill="1" applyBorder="1" applyAlignment="1"/>
    <xf numFmtId="0" fontId="9" fillId="5" borderId="5" xfId="0" applyFont="1" applyFill="1" applyBorder="1"/>
    <xf numFmtId="0" fontId="22" fillId="5" borderId="6" xfId="0" applyFont="1" applyFill="1" applyBorder="1"/>
    <xf numFmtId="0" fontId="0" fillId="2" borderId="2" xfId="0" applyFill="1" applyBorder="1" applyAlignment="1">
      <alignment wrapText="1"/>
    </xf>
    <xf numFmtId="0" fontId="9" fillId="5" borderId="5" xfId="0" applyFont="1" applyFill="1" applyBorder="1" applyAlignment="1">
      <alignment horizontal="center"/>
    </xf>
    <xf numFmtId="0" fontId="9" fillId="5" borderId="7" xfId="0" applyFont="1" applyFill="1" applyBorder="1" applyAlignment="1">
      <alignment horizontal="center"/>
    </xf>
    <xf numFmtId="0" fontId="5" fillId="0" borderId="2" xfId="2" applyFont="1" applyFill="1" applyBorder="1" applyAlignment="1">
      <alignment horizontal="center" wrapText="1"/>
    </xf>
    <xf numFmtId="0" fontId="0" fillId="5" borderId="5" xfId="0" applyFill="1" applyBorder="1"/>
    <xf numFmtId="0" fontId="0" fillId="5" borderId="7" xfId="0" applyFill="1" applyBorder="1"/>
    <xf numFmtId="0" fontId="0" fillId="0" borderId="0" xfId="0" applyNumberFormat="1"/>
    <xf numFmtId="0" fontId="0" fillId="0" borderId="2" xfId="0" applyBorder="1" applyAlignment="1" applyProtection="1">
      <alignment horizontal="center"/>
      <protection locked="0"/>
    </xf>
    <xf numFmtId="0" fontId="0" fillId="0" borderId="2" xfId="0" applyBorder="1" applyProtection="1">
      <protection locked="0"/>
    </xf>
    <xf numFmtId="0" fontId="0" fillId="0" borderId="0" xfId="0" applyProtection="1"/>
    <xf numFmtId="0" fontId="0" fillId="0" borderId="0" xfId="0" applyAlignment="1" applyProtection="1">
      <alignment horizontal="centerContinuous"/>
    </xf>
    <xf numFmtId="0" fontId="15" fillId="3" borderId="2" xfId="0" applyFont="1" applyFill="1" applyBorder="1" applyAlignment="1" applyProtection="1">
      <alignment horizontal="center"/>
    </xf>
    <xf numFmtId="0" fontId="3" fillId="0" borderId="0" xfId="1"/>
    <xf numFmtId="0" fontId="6" fillId="0" borderId="0" xfId="2"/>
    <xf numFmtId="0" fontId="14" fillId="3" borderId="2" xfId="0" applyFont="1" applyFill="1" applyBorder="1" applyProtection="1"/>
    <xf numFmtId="0" fontId="19" fillId="0" borderId="0" xfId="0" applyFont="1" applyBorder="1" applyAlignment="1" applyProtection="1">
      <alignment horizontal="right"/>
    </xf>
    <xf numFmtId="0" fontId="0" fillId="3" borderId="2" xfId="0" applyFill="1" applyBorder="1" applyProtection="1"/>
    <xf numFmtId="0" fontId="1" fillId="0" borderId="2" xfId="2" applyFont="1" applyFill="1" applyBorder="1" applyAlignment="1">
      <alignment horizontal="center" wrapText="1"/>
    </xf>
    <xf numFmtId="0" fontId="4" fillId="0" borderId="0" xfId="2" applyFont="1" applyFill="1" applyBorder="1" applyAlignment="1">
      <alignment horizontal="center" wrapText="1"/>
    </xf>
    <xf numFmtId="0" fontId="5" fillId="4" borderId="8" xfId="2" applyFont="1" applyFill="1" applyBorder="1" applyAlignment="1">
      <alignment horizontal="center"/>
    </xf>
    <xf numFmtId="0" fontId="4" fillId="4" borderId="8" xfId="2" applyFont="1" applyFill="1" applyBorder="1" applyAlignment="1">
      <alignment horizontal="center" wrapText="1"/>
    </xf>
    <xf numFmtId="0" fontId="5" fillId="0" borderId="9" xfId="2" applyFont="1" applyFill="1" applyBorder="1" applyAlignment="1">
      <alignment horizontal="center" wrapText="1"/>
    </xf>
    <xf numFmtId="0" fontId="5" fillId="0" borderId="9" xfId="2" applyFont="1" applyFill="1" applyBorder="1" applyAlignment="1">
      <alignment wrapText="1"/>
    </xf>
    <xf numFmtId="0" fontId="1" fillId="0" borderId="0" xfId="2" applyFont="1" applyFill="1" applyBorder="1" applyAlignment="1">
      <alignment horizontal="center" wrapText="1"/>
    </xf>
    <xf numFmtId="0" fontId="0" fillId="3" borderId="2" xfId="0" applyFill="1" applyBorder="1" applyAlignment="1" applyProtection="1">
      <alignment horizontal="center"/>
    </xf>
    <xf numFmtId="0" fontId="20" fillId="0" borderId="0" xfId="0" applyFont="1" applyProtection="1">
      <protection locked="0"/>
    </xf>
    <xf numFmtId="0" fontId="14" fillId="0" borderId="0" xfId="0" applyFont="1" applyAlignment="1" applyProtection="1">
      <alignment horizontal="centerContinuous"/>
    </xf>
    <xf numFmtId="15" fontId="15" fillId="3" borderId="2" xfId="0" applyNumberFormat="1" applyFont="1" applyFill="1" applyBorder="1" applyAlignment="1" applyProtection="1">
      <alignment horizontal="center" wrapText="1"/>
    </xf>
    <xf numFmtId="0" fontId="16" fillId="0" borderId="0" xfId="0" applyFont="1" applyProtection="1"/>
    <xf numFmtId="0" fontId="17" fillId="0" borderId="0" xfId="0" applyFont="1" applyProtection="1"/>
    <xf numFmtId="0" fontId="10" fillId="0" borderId="0" xfId="0" applyFont="1" applyAlignment="1" applyProtection="1">
      <alignment horizontal="left" vertical="center"/>
    </xf>
    <xf numFmtId="0" fontId="12" fillId="0" borderId="0" xfId="0" applyFont="1" applyAlignment="1" applyProtection="1">
      <alignment horizontal="left" vertical="center"/>
    </xf>
    <xf numFmtId="0" fontId="14" fillId="0" borderId="0" xfId="0" applyFont="1" applyProtection="1"/>
    <xf numFmtId="0" fontId="13" fillId="0" borderId="0" xfId="0" applyFont="1" applyAlignment="1" applyProtection="1">
      <alignment horizontal="left" vertical="center"/>
    </xf>
    <xf numFmtId="0" fontId="15" fillId="3" borderId="2" xfId="0" applyFont="1" applyFill="1" applyBorder="1" applyAlignment="1" applyProtection="1">
      <alignment horizontal="center" textRotation="90"/>
    </xf>
    <xf numFmtId="0" fontId="14" fillId="3" borderId="2" xfId="0" applyFont="1" applyFill="1" applyBorder="1" applyAlignment="1" applyProtection="1">
      <alignment horizontal="center"/>
    </xf>
    <xf numFmtId="0" fontId="16" fillId="0" borderId="0" xfId="0" applyFont="1" applyAlignment="1" applyProtection="1">
      <alignment horizontal="centerContinuous"/>
    </xf>
    <xf numFmtId="0" fontId="20" fillId="0" borderId="0" xfId="0" applyFont="1" applyProtection="1"/>
    <xf numFmtId="0" fontId="0" fillId="6" borderId="2" xfId="0" applyFill="1" applyBorder="1" applyProtection="1"/>
    <xf numFmtId="0" fontId="0" fillId="6" borderId="10" xfId="0" applyFill="1" applyBorder="1" applyProtection="1"/>
    <xf numFmtId="0" fontId="0" fillId="6" borderId="2" xfId="0" applyFill="1" applyBorder="1" applyProtection="1">
      <protection locked="0"/>
    </xf>
    <xf numFmtId="0" fontId="0" fillId="7" borderId="4" xfId="0" applyFill="1" applyBorder="1" applyProtection="1"/>
    <xf numFmtId="0" fontId="0" fillId="0" borderId="0" xfId="0" applyAlignment="1" applyProtection="1">
      <alignment horizontal="center"/>
    </xf>
    <xf numFmtId="0" fontId="16" fillId="0" borderId="0" xfId="0" applyFont="1" applyAlignment="1" applyProtection="1">
      <alignment horizontal="left"/>
    </xf>
    <xf numFmtId="14" fontId="0" fillId="3" borderId="2" xfId="0" applyNumberFormat="1" applyFill="1" applyBorder="1" applyProtection="1"/>
    <xf numFmtId="14" fontId="0" fillId="0" borderId="0" xfId="0" applyNumberFormat="1" applyProtection="1"/>
    <xf numFmtId="0" fontId="18" fillId="0" borderId="0" xfId="0" applyFont="1" applyProtection="1"/>
    <xf numFmtId="0" fontId="11" fillId="0" borderId="0" xfId="0" applyFont="1" applyProtection="1"/>
    <xf numFmtId="0" fontId="0" fillId="0" borderId="0" xfId="0" applyAlignment="1" applyProtection="1">
      <alignment horizontal="left"/>
    </xf>
    <xf numFmtId="0" fontId="11" fillId="0" borderId="0" xfId="0" applyFont="1" applyAlignment="1" applyProtection="1">
      <alignment horizontal="left" vertical="center"/>
    </xf>
    <xf numFmtId="0" fontId="0" fillId="6" borderId="10" xfId="0" applyFill="1" applyBorder="1" applyAlignment="1" applyProtection="1">
      <alignment horizontal="right"/>
    </xf>
    <xf numFmtId="0" fontId="0" fillId="8" borderId="2" xfId="0" applyFill="1" applyBorder="1" applyAlignment="1" applyProtection="1">
      <alignment horizontal="center" vertical="top"/>
    </xf>
    <xf numFmtId="0" fontId="21" fillId="8" borderId="2" xfId="0" applyFont="1" applyFill="1" applyBorder="1" applyProtection="1"/>
    <xf numFmtId="15" fontId="15" fillId="8" borderId="2" xfId="0" applyNumberFormat="1" applyFont="1" applyFill="1" applyBorder="1" applyAlignment="1" applyProtection="1">
      <alignment horizontal="center" vertical="top" wrapText="1"/>
    </xf>
    <xf numFmtId="0" fontId="15" fillId="8" borderId="2" xfId="0" applyFont="1" applyFill="1" applyBorder="1" applyAlignment="1" applyProtection="1">
      <alignment horizontal="center" vertical="top"/>
    </xf>
    <xf numFmtId="0" fontId="0" fillId="8" borderId="2" xfId="0" applyFill="1" applyBorder="1" applyAlignment="1" applyProtection="1">
      <alignment horizontal="center" vertical="top" wrapText="1"/>
    </xf>
    <xf numFmtId="0" fontId="0" fillId="3" borderId="10" xfId="0" applyFill="1" applyBorder="1" applyAlignment="1">
      <alignment horizontal="center"/>
    </xf>
    <xf numFmtId="0" fontId="0" fillId="3" borderId="10" xfId="0" applyFill="1" applyBorder="1" applyAlignment="1" applyProtection="1">
      <alignment horizontal="center"/>
    </xf>
    <xf numFmtId="0" fontId="0" fillId="0" borderId="0" xfId="0" pivotButton="1"/>
    <xf numFmtId="0" fontId="0" fillId="0" borderId="0" xfId="0" applyAlignment="1">
      <alignment horizontal="left"/>
    </xf>
    <xf numFmtId="0" fontId="0" fillId="0" borderId="0" xfId="0" applyAlignment="1">
      <alignment horizontal="left" indent="1"/>
    </xf>
    <xf numFmtId="1" fontId="0" fillId="0" borderId="2" xfId="0" applyNumberFormat="1" applyBorder="1" applyAlignment="1" applyProtection="1">
      <alignment horizontal="center"/>
      <protection locked="0"/>
    </xf>
    <xf numFmtId="0" fontId="2" fillId="3" borderId="2" xfId="0" applyFont="1" applyFill="1" applyBorder="1" applyAlignment="1" applyProtection="1">
      <alignment horizontal="center"/>
    </xf>
    <xf numFmtId="0" fontId="2" fillId="3" borderId="2" xfId="0" applyFont="1" applyFill="1" applyBorder="1" applyAlignment="1">
      <alignment horizontal="center"/>
    </xf>
    <xf numFmtId="0" fontId="1" fillId="0" borderId="12" xfId="1" applyFont="1" applyFill="1" applyBorder="1" applyAlignment="1"/>
    <xf numFmtId="49" fontId="0" fillId="0" borderId="0" xfId="0" applyNumberFormat="1" applyAlignment="1" applyProtection="1">
      <alignment horizontal="centerContinuous"/>
    </xf>
    <xf numFmtId="49" fontId="2" fillId="3" borderId="2" xfId="0" applyNumberFormat="1" applyFont="1" applyFill="1" applyBorder="1" applyAlignment="1" applyProtection="1">
      <alignment horizontal="center"/>
    </xf>
    <xf numFmtId="49" fontId="2" fillId="3" borderId="2" xfId="0" applyNumberFormat="1" applyFont="1" applyFill="1" applyBorder="1" applyAlignment="1">
      <alignment horizontal="center"/>
    </xf>
    <xf numFmtId="0" fontId="14" fillId="7" borderId="0" xfId="0" applyFont="1" applyFill="1" applyProtection="1"/>
    <xf numFmtId="0" fontId="21" fillId="8" borderId="2" xfId="0" applyFont="1" applyFill="1" applyBorder="1" applyAlignment="1" applyProtection="1">
      <alignment horizontal="center"/>
    </xf>
    <xf numFmtId="0" fontId="11" fillId="9" borderId="0" xfId="0" applyFont="1" applyFill="1" applyAlignment="1" applyProtection="1"/>
    <xf numFmtId="0" fontId="3" fillId="0" borderId="10" xfId="0" applyFont="1" applyFill="1" applyBorder="1" applyAlignment="1" applyProtection="1">
      <alignment horizontal="left"/>
      <protection locked="0"/>
    </xf>
    <xf numFmtId="1" fontId="3" fillId="0" borderId="10" xfId="0" applyNumberFormat="1"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0" fontId="3" fillId="0" borderId="10" xfId="0" applyFont="1" applyBorder="1" applyProtection="1">
      <protection locked="0"/>
    </xf>
    <xf numFmtId="0" fontId="3" fillId="0" borderId="0" xfId="0" applyFont="1" applyBorder="1" applyProtection="1">
      <protection locked="0"/>
    </xf>
    <xf numFmtId="0" fontId="0" fillId="0" borderId="0" xfId="0" applyAlignment="1" applyProtection="1">
      <alignment horizontal="centerContinuous" wrapText="1"/>
    </xf>
    <xf numFmtId="164" fontId="3" fillId="0" borderId="10" xfId="0" applyNumberFormat="1" applyFont="1" applyFill="1" applyBorder="1" applyAlignment="1" applyProtection="1">
      <alignment horizontal="center"/>
      <protection locked="0"/>
    </xf>
    <xf numFmtId="164" fontId="3" fillId="0" borderId="10" xfId="0" applyNumberFormat="1" applyFont="1" applyBorder="1" applyAlignment="1" applyProtection="1">
      <alignment horizontal="center"/>
      <protection locked="0"/>
    </xf>
    <xf numFmtId="164" fontId="0" fillId="0" borderId="2" xfId="0" applyNumberFormat="1" applyBorder="1" applyAlignment="1" applyProtection="1">
      <alignment horizontal="center"/>
      <protection locked="0"/>
    </xf>
    <xf numFmtId="0" fontId="0" fillId="0" borderId="2" xfId="0" quotePrefix="1" applyBorder="1" applyAlignment="1" applyProtection="1">
      <alignment horizontal="center"/>
      <protection locked="0"/>
    </xf>
    <xf numFmtId="0" fontId="8" fillId="6" borderId="23" xfId="0" applyFont="1" applyFill="1" applyBorder="1" applyProtection="1"/>
    <xf numFmtId="0" fontId="0" fillId="0" borderId="24" xfId="0" applyBorder="1" applyProtection="1">
      <protection locked="0"/>
    </xf>
    <xf numFmtId="0" fontId="0" fillId="0" borderId="25" xfId="0" applyBorder="1" applyProtection="1"/>
    <xf numFmtId="0" fontId="8" fillId="6" borderId="26" xfId="0" applyFont="1" applyFill="1" applyBorder="1" applyProtection="1"/>
    <xf numFmtId="0" fontId="0" fillId="0" borderId="14" xfId="0" applyBorder="1" applyProtection="1">
      <protection locked="0"/>
    </xf>
    <xf numFmtId="0" fontId="0" fillId="0" borderId="0" xfId="0" applyBorder="1" applyProtection="1"/>
    <xf numFmtId="0" fontId="14" fillId="7" borderId="27" xfId="0" applyFont="1" applyFill="1" applyBorder="1" applyProtection="1"/>
    <xf numFmtId="0" fontId="0" fillId="7" borderId="16" xfId="0" applyFill="1" applyBorder="1" applyProtection="1"/>
    <xf numFmtId="0" fontId="14" fillId="7" borderId="19" xfId="0" applyFont="1" applyFill="1" applyBorder="1" applyProtection="1"/>
    <xf numFmtId="0" fontId="14" fillId="7" borderId="30" xfId="0" applyFont="1" applyFill="1" applyBorder="1" applyProtection="1"/>
    <xf numFmtId="0" fontId="0" fillId="7" borderId="17" xfId="0" applyFill="1" applyBorder="1" applyProtection="1"/>
    <xf numFmtId="0" fontId="0" fillId="0" borderId="32" xfId="0" applyBorder="1" applyProtection="1"/>
    <xf numFmtId="0" fontId="27" fillId="0" borderId="0" xfId="0" applyFont="1" applyBorder="1"/>
    <xf numFmtId="0" fontId="0" fillId="0" borderId="20" xfId="0" applyBorder="1"/>
    <xf numFmtId="0" fontId="0" fillId="0" borderId="19" xfId="0" applyBorder="1" applyProtection="1"/>
    <xf numFmtId="0" fontId="0" fillId="0" borderId="21" xfId="0" applyBorder="1" applyProtection="1"/>
    <xf numFmtId="0" fontId="0" fillId="0" borderId="29" xfId="0" applyBorder="1" applyProtection="1">
      <protection locked="0"/>
    </xf>
    <xf numFmtId="0" fontId="0" fillId="0" borderId="34" xfId="0" applyBorder="1" applyProtection="1">
      <protection locked="0"/>
    </xf>
    <xf numFmtId="0" fontId="27" fillId="6" borderId="13" xfId="0" applyFont="1" applyFill="1" applyBorder="1" applyAlignment="1">
      <alignment horizontal="right"/>
    </xf>
    <xf numFmtId="0" fontId="27" fillId="6" borderId="13" xfId="0" applyFont="1" applyFill="1" applyBorder="1"/>
    <xf numFmtId="0" fontId="27" fillId="6" borderId="15" xfId="0" applyFont="1" applyFill="1" applyBorder="1"/>
    <xf numFmtId="0" fontId="27" fillId="6" borderId="14" xfId="0" applyFont="1" applyFill="1" applyBorder="1"/>
    <xf numFmtId="0" fontId="27" fillId="6" borderId="31" xfId="0" applyFont="1" applyFill="1" applyBorder="1"/>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0" fillId="0" borderId="0" xfId="0" applyBorder="1"/>
    <xf numFmtId="0" fontId="0" fillId="0" borderId="14" xfId="0" applyBorder="1"/>
    <xf numFmtId="0" fontId="0" fillId="6" borderId="14" xfId="0" applyFill="1" applyBorder="1" applyAlignment="1">
      <alignment horizontal="center" textRotation="45" wrapText="1"/>
    </xf>
    <xf numFmtId="0" fontId="0" fillId="0" borderId="0" xfId="0" applyFill="1" applyBorder="1" applyAlignment="1">
      <alignment horizontal="center" wrapText="1"/>
    </xf>
    <xf numFmtId="0" fontId="32" fillId="0" borderId="14" xfId="0" applyFont="1" applyBorder="1"/>
    <xf numFmtId="0" fontId="32" fillId="0" borderId="14" xfId="0" applyFont="1" applyBorder="1" applyAlignment="1">
      <alignment horizontal="center"/>
    </xf>
    <xf numFmtId="0" fontId="32" fillId="6" borderId="14" xfId="0" applyFont="1" applyFill="1" applyBorder="1" applyAlignment="1">
      <alignment horizontal="center"/>
    </xf>
    <xf numFmtId="0" fontId="0" fillId="0" borderId="14" xfId="0" applyBorder="1" applyAlignment="1" applyProtection="1">
      <alignment horizontal="center"/>
      <protection locked="0"/>
    </xf>
    <xf numFmtId="0" fontId="0" fillId="6" borderId="14" xfId="0" applyFill="1" applyBorder="1" applyAlignment="1">
      <alignment horizontal="center" wrapText="1"/>
    </xf>
    <xf numFmtId="0" fontId="33" fillId="0" borderId="0" xfId="0" applyFont="1" applyAlignment="1" applyProtection="1">
      <alignment horizontal="left"/>
    </xf>
    <xf numFmtId="0" fontId="34" fillId="0" borderId="0" xfId="0" applyFont="1"/>
    <xf numFmtId="0" fontId="34" fillId="0" borderId="0" xfId="0" applyFont="1" applyBorder="1"/>
    <xf numFmtId="0" fontId="0" fillId="6" borderId="14" xfId="0" applyFill="1" applyBorder="1"/>
    <xf numFmtId="0" fontId="0" fillId="6" borderId="14" xfId="0" applyFill="1" applyBorder="1" applyAlignment="1">
      <alignment wrapText="1"/>
    </xf>
    <xf numFmtId="0" fontId="0" fillId="6" borderId="14" xfId="0" applyFill="1" applyBorder="1" applyAlignment="1">
      <alignment horizontal="center" textRotation="45"/>
    </xf>
    <xf numFmtId="0" fontId="0" fillId="6" borderId="13" xfId="0" applyFill="1" applyBorder="1" applyAlignment="1">
      <alignment horizontal="center" textRotation="45"/>
    </xf>
    <xf numFmtId="0" fontId="1" fillId="0" borderId="1" xfId="2" applyFont="1" applyFill="1" applyBorder="1" applyAlignment="1">
      <alignment wrapText="1"/>
    </xf>
    <xf numFmtId="0" fontId="0" fillId="3" borderId="14" xfId="0" applyFill="1" applyBorder="1" applyAlignment="1" applyProtection="1">
      <alignment horizontal="center"/>
    </xf>
    <xf numFmtId="0" fontId="0" fillId="3" borderId="14" xfId="0" applyFill="1" applyBorder="1" applyProtection="1"/>
    <xf numFmtId="14" fontId="0" fillId="6" borderId="14" xfId="0" applyNumberFormat="1" applyFill="1" applyBorder="1" applyProtection="1"/>
    <xf numFmtId="0" fontId="1" fillId="0" borderId="38" xfId="2" applyFont="1" applyFill="1" applyBorder="1" applyAlignment="1">
      <alignment horizontal="center" wrapText="1"/>
    </xf>
    <xf numFmtId="0" fontId="28" fillId="7" borderId="35" xfId="0" applyFont="1" applyFill="1" applyBorder="1" applyAlignment="1">
      <alignment horizontal="left" wrapText="1"/>
    </xf>
    <xf numFmtId="0" fontId="28" fillId="7" borderId="36" xfId="0" applyFont="1" applyFill="1" applyBorder="1" applyAlignment="1">
      <alignment horizontal="left" wrapText="1"/>
    </xf>
    <xf numFmtId="0" fontId="2" fillId="7" borderId="33" xfId="0" applyFont="1" applyFill="1" applyBorder="1" applyAlignment="1" applyProtection="1">
      <alignment horizontal="center" wrapText="1"/>
    </xf>
    <xf numFmtId="0" fontId="2" fillId="7" borderId="18" xfId="0" applyFont="1" applyFill="1" applyBorder="1" applyAlignment="1" applyProtection="1">
      <alignment horizontal="center" wrapText="1"/>
    </xf>
    <xf numFmtId="0" fontId="2" fillId="7" borderId="22" xfId="0" applyFont="1" applyFill="1" applyBorder="1" applyAlignment="1" applyProtection="1">
      <alignment horizontal="center" wrapText="1"/>
    </xf>
    <xf numFmtId="0" fontId="2" fillId="7" borderId="28" xfId="0" applyFont="1" applyFill="1" applyBorder="1" applyAlignment="1" applyProtection="1">
      <alignment horizontal="center" wrapText="1"/>
    </xf>
    <xf numFmtId="0" fontId="27" fillId="0" borderId="0" xfId="0" applyFont="1" applyAlignment="1">
      <alignment horizontal="right"/>
    </xf>
    <xf numFmtId="0" fontId="27" fillId="0" borderId="0" xfId="0" applyFont="1" applyAlignment="1">
      <alignment horizontal="left" wrapText="1"/>
    </xf>
    <xf numFmtId="0" fontId="27" fillId="0" borderId="37" xfId="0" applyFont="1" applyBorder="1" applyAlignment="1">
      <alignment horizontal="left" wrapText="1"/>
    </xf>
    <xf numFmtId="0" fontId="0" fillId="0" borderId="0" xfId="0" applyAlignment="1">
      <alignment horizontal="center"/>
    </xf>
    <xf numFmtId="0" fontId="14" fillId="7" borderId="11" xfId="0" applyFont="1" applyFill="1" applyBorder="1" applyAlignment="1" applyProtection="1">
      <alignment horizontal="center"/>
    </xf>
    <xf numFmtId="0" fontId="23" fillId="7" borderId="11" xfId="0" applyFont="1" applyFill="1" applyBorder="1" applyAlignment="1" applyProtection="1">
      <alignment horizontal="center" wrapText="1"/>
    </xf>
    <xf numFmtId="0" fontId="11" fillId="7" borderId="0" xfId="0" applyFont="1" applyFill="1" applyProtection="1"/>
    <xf numFmtId="0" fontId="11" fillId="7" borderId="0" xfId="0" applyFont="1" applyFill="1" applyAlignment="1" applyProtection="1">
      <alignment horizontal="left"/>
    </xf>
    <xf numFmtId="0" fontId="0" fillId="0" borderId="0" xfId="0" applyAlignment="1" applyProtection="1">
      <alignment horizontal="center" wrapText="1"/>
    </xf>
    <xf numFmtId="0" fontId="17" fillId="7" borderId="0" xfId="0" applyFont="1" applyFill="1" applyProtection="1"/>
  </cellXfs>
  <cellStyles count="205">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Normal" xfId="0" builtinId="0"/>
    <cellStyle name="Normal_Sheet8" xfId="1"/>
    <cellStyle name="Normal_Sheet8_1" xfId="2"/>
  </cellStyles>
  <dxfs count="5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17</xdr:col>
      <xdr:colOff>7620</xdr:colOff>
      <xdr:row>1</xdr:row>
      <xdr:rowOff>76200</xdr:rowOff>
    </xdr:from>
    <xdr:ext cx="2232660" cy="264560"/>
    <xdr:sp macro="" textlink="">
      <xdr:nvSpPr>
        <xdr:cNvPr id="2" name="TextBox 1">
          <a:extLst>
            <a:ext uri="{FF2B5EF4-FFF2-40B4-BE49-F238E27FC236}">
              <a16:creationId xmlns="" xmlns:a16="http://schemas.microsoft.com/office/drawing/2014/main" id="{16714C27-EA25-46C8-BF5F-08E19AA621D2}"/>
            </a:ext>
          </a:extLst>
        </xdr:cNvPr>
        <xdr:cNvSpPr txBox="1"/>
      </xdr:nvSpPr>
      <xdr:spPr>
        <a:xfrm>
          <a:off x="8294370" y="371475"/>
          <a:ext cx="22326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i="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cky/AppData/Local/Microsoft/Windows/INetCache/Content.Outlook/59Y2SO6E/Official%20AAU%20Regional%20and%20National%20Registration%202018%20Rev%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m Info"/>
      <sheetName val="Judges"/>
      <sheetName val="Competitor"/>
      <sheetName val="Group Team Show"/>
      <sheetName val="Male Individual Rope Singles"/>
      <sheetName val="Female Individual Rope Singles"/>
      <sheetName val="Individual Triple Unders"/>
      <sheetName val="Individual Rope Pairs"/>
      <sheetName val="3 Person Double Dutch"/>
      <sheetName val="4 Person Double Dutch"/>
      <sheetName val="4 Person Single Rope Event"/>
      <sheetName val="Lists"/>
      <sheetName val="analysis"/>
      <sheetName val="ConsolidatedEventList"/>
      <sheetName val="DV-IDENTITY-0"/>
    </sheetNames>
    <sheetDataSet>
      <sheetData sheetId="0"/>
      <sheetData sheetId="1"/>
      <sheetData sheetId="2">
        <row r="3">
          <cell r="A3" t="str">
            <v>Participant
ID#</v>
          </cell>
          <cell r="B3" t="str">
            <v>First Name</v>
          </cell>
          <cell r="C3" t="str">
            <v>Last Name</v>
          </cell>
          <cell r="D3" t="str">
            <v>AAU #</v>
          </cell>
          <cell r="E3" t="str">
            <v>M/F</v>
          </cell>
          <cell r="F3" t="str">
            <v>Bday
(mm/dd/yyyy)</v>
          </cell>
          <cell r="G3" t="str">
            <v>Age as of 06/16/19</v>
          </cell>
          <cell r="H3" t="str">
            <v>Age Group</v>
          </cell>
          <cell r="I3" t="str">
            <v>Non-Qual
(Y or N)</v>
          </cell>
        </row>
        <row r="4">
          <cell r="A4">
            <v>1</v>
          </cell>
          <cell r="G4">
            <v>0</v>
          </cell>
          <cell r="H4" t="str">
            <v/>
          </cell>
        </row>
        <row r="5">
          <cell r="A5">
            <v>2</v>
          </cell>
          <cell r="G5">
            <v>0</v>
          </cell>
          <cell r="H5" t="str">
            <v/>
          </cell>
        </row>
        <row r="6">
          <cell r="A6">
            <v>3</v>
          </cell>
          <cell r="G6">
            <v>0</v>
          </cell>
          <cell r="H6" t="str">
            <v/>
          </cell>
        </row>
        <row r="7">
          <cell r="A7">
            <v>4</v>
          </cell>
          <cell r="G7">
            <v>0</v>
          </cell>
          <cell r="H7" t="str">
            <v/>
          </cell>
        </row>
        <row r="8">
          <cell r="A8">
            <v>5</v>
          </cell>
          <cell r="G8">
            <v>0</v>
          </cell>
          <cell r="H8" t="str">
            <v/>
          </cell>
        </row>
        <row r="9">
          <cell r="A9">
            <v>6</v>
          </cell>
          <cell r="G9">
            <v>0</v>
          </cell>
          <cell r="H9" t="str">
            <v/>
          </cell>
        </row>
        <row r="10">
          <cell r="A10">
            <v>7</v>
          </cell>
          <cell r="G10">
            <v>0</v>
          </cell>
          <cell r="H10" t="str">
            <v/>
          </cell>
        </row>
        <row r="11">
          <cell r="A11">
            <v>8</v>
          </cell>
          <cell r="G11">
            <v>0</v>
          </cell>
          <cell r="H11" t="str">
            <v/>
          </cell>
        </row>
        <row r="12">
          <cell r="A12">
            <v>9</v>
          </cell>
          <cell r="G12">
            <v>0</v>
          </cell>
          <cell r="H12" t="str">
            <v/>
          </cell>
        </row>
        <row r="13">
          <cell r="A13">
            <v>10</v>
          </cell>
          <cell r="G13">
            <v>0</v>
          </cell>
          <cell r="H13" t="str">
            <v/>
          </cell>
        </row>
        <row r="14">
          <cell r="A14">
            <v>11</v>
          </cell>
          <cell r="G14">
            <v>0</v>
          </cell>
          <cell r="H14" t="str">
            <v/>
          </cell>
        </row>
        <row r="15">
          <cell r="A15">
            <v>12</v>
          </cell>
          <cell r="G15">
            <v>0</v>
          </cell>
          <cell r="H15" t="str">
            <v/>
          </cell>
        </row>
        <row r="16">
          <cell r="A16">
            <v>13</v>
          </cell>
          <cell r="G16">
            <v>0</v>
          </cell>
          <cell r="H16" t="str">
            <v/>
          </cell>
        </row>
        <row r="17">
          <cell r="A17">
            <v>14</v>
          </cell>
          <cell r="G17">
            <v>0</v>
          </cell>
          <cell r="H17" t="str">
            <v/>
          </cell>
        </row>
        <row r="18">
          <cell r="A18">
            <v>15</v>
          </cell>
          <cell r="G18">
            <v>0</v>
          </cell>
          <cell r="H18" t="str">
            <v/>
          </cell>
        </row>
        <row r="19">
          <cell r="A19">
            <v>16</v>
          </cell>
          <cell r="G19">
            <v>0</v>
          </cell>
          <cell r="H19" t="str">
            <v/>
          </cell>
        </row>
        <row r="20">
          <cell r="A20">
            <v>17</v>
          </cell>
          <cell r="G20">
            <v>0</v>
          </cell>
          <cell r="H20" t="str">
            <v/>
          </cell>
        </row>
        <row r="21">
          <cell r="A21">
            <v>18</v>
          </cell>
          <cell r="G21">
            <v>0</v>
          </cell>
          <cell r="H21" t="str">
            <v/>
          </cell>
        </row>
        <row r="22">
          <cell r="A22">
            <v>19</v>
          </cell>
          <cell r="G22">
            <v>0</v>
          </cell>
          <cell r="H22" t="str">
            <v/>
          </cell>
        </row>
        <row r="23">
          <cell r="A23">
            <v>20</v>
          </cell>
          <cell r="G23">
            <v>0</v>
          </cell>
          <cell r="H23" t="str">
            <v/>
          </cell>
        </row>
        <row r="24">
          <cell r="A24">
            <v>21</v>
          </cell>
          <cell r="G24">
            <v>0</v>
          </cell>
          <cell r="H24" t="str">
            <v/>
          </cell>
        </row>
        <row r="25">
          <cell r="A25">
            <v>22</v>
          </cell>
          <cell r="G25">
            <v>0</v>
          </cell>
          <cell r="H25" t="str">
            <v/>
          </cell>
        </row>
        <row r="26">
          <cell r="A26">
            <v>23</v>
          </cell>
          <cell r="G26">
            <v>0</v>
          </cell>
          <cell r="H26" t="str">
            <v/>
          </cell>
        </row>
        <row r="27">
          <cell r="A27">
            <v>24</v>
          </cell>
          <cell r="G27">
            <v>0</v>
          </cell>
          <cell r="H27" t="str">
            <v/>
          </cell>
        </row>
        <row r="28">
          <cell r="A28">
            <v>25</v>
          </cell>
          <cell r="G28">
            <v>0</v>
          </cell>
          <cell r="H28" t="str">
            <v/>
          </cell>
        </row>
        <row r="29">
          <cell r="A29">
            <v>26</v>
          </cell>
          <cell r="G29">
            <v>0</v>
          </cell>
          <cell r="H29" t="str">
            <v/>
          </cell>
        </row>
        <row r="30">
          <cell r="A30">
            <v>27</v>
          </cell>
          <cell r="G30">
            <v>0</v>
          </cell>
          <cell r="H30" t="str">
            <v/>
          </cell>
        </row>
        <row r="31">
          <cell r="A31">
            <v>28</v>
          </cell>
          <cell r="G31">
            <v>0</v>
          </cell>
          <cell r="H31" t="str">
            <v/>
          </cell>
        </row>
        <row r="32">
          <cell r="A32">
            <v>29</v>
          </cell>
          <cell r="G32">
            <v>0</v>
          </cell>
          <cell r="H32" t="str">
            <v/>
          </cell>
        </row>
        <row r="33">
          <cell r="A33">
            <v>30</v>
          </cell>
          <cell r="G33">
            <v>0</v>
          </cell>
          <cell r="H33" t="str">
            <v/>
          </cell>
        </row>
        <row r="34">
          <cell r="A34">
            <v>31</v>
          </cell>
          <cell r="G34">
            <v>0</v>
          </cell>
          <cell r="H34" t="str">
            <v/>
          </cell>
        </row>
        <row r="35">
          <cell r="A35">
            <v>32</v>
          </cell>
          <cell r="G35">
            <v>0</v>
          </cell>
          <cell r="H35" t="str">
            <v/>
          </cell>
        </row>
        <row r="36">
          <cell r="A36">
            <v>33</v>
          </cell>
          <cell r="G36">
            <v>0</v>
          </cell>
          <cell r="H36" t="str">
            <v/>
          </cell>
        </row>
        <row r="37">
          <cell r="A37">
            <v>34</v>
          </cell>
          <cell r="G37">
            <v>0</v>
          </cell>
          <cell r="H37" t="str">
            <v/>
          </cell>
        </row>
        <row r="38">
          <cell r="A38">
            <v>35</v>
          </cell>
          <cell r="G38">
            <v>0</v>
          </cell>
          <cell r="H38" t="str">
            <v/>
          </cell>
        </row>
        <row r="39">
          <cell r="A39">
            <v>36</v>
          </cell>
          <cell r="G39">
            <v>0</v>
          </cell>
          <cell r="H39" t="str">
            <v/>
          </cell>
        </row>
        <row r="40">
          <cell r="A40">
            <v>37</v>
          </cell>
          <cell r="G40">
            <v>0</v>
          </cell>
          <cell r="H40" t="str">
            <v/>
          </cell>
        </row>
        <row r="41">
          <cell r="A41">
            <v>38</v>
          </cell>
          <cell r="G41">
            <v>0</v>
          </cell>
          <cell r="H41" t="str">
            <v/>
          </cell>
        </row>
        <row r="42">
          <cell r="A42">
            <v>39</v>
          </cell>
          <cell r="G42">
            <v>0</v>
          </cell>
          <cell r="H42" t="str">
            <v/>
          </cell>
        </row>
        <row r="43">
          <cell r="A43">
            <v>40</v>
          </cell>
          <cell r="G43">
            <v>0</v>
          </cell>
          <cell r="H43" t="str">
            <v/>
          </cell>
        </row>
        <row r="44">
          <cell r="A44">
            <v>41</v>
          </cell>
          <cell r="G44">
            <v>0</v>
          </cell>
          <cell r="H44" t="str">
            <v/>
          </cell>
        </row>
        <row r="45">
          <cell r="A45">
            <v>42</v>
          </cell>
          <cell r="G45">
            <v>0</v>
          </cell>
          <cell r="H45" t="str">
            <v/>
          </cell>
        </row>
        <row r="46">
          <cell r="A46">
            <v>43</v>
          </cell>
          <cell r="G46">
            <v>0</v>
          </cell>
          <cell r="H46" t="str">
            <v/>
          </cell>
        </row>
        <row r="47">
          <cell r="A47">
            <v>44</v>
          </cell>
          <cell r="G47">
            <v>0</v>
          </cell>
          <cell r="H47" t="str">
            <v/>
          </cell>
        </row>
        <row r="48">
          <cell r="A48">
            <v>45</v>
          </cell>
          <cell r="G48">
            <v>0</v>
          </cell>
          <cell r="H48" t="str">
            <v/>
          </cell>
        </row>
        <row r="49">
          <cell r="A49">
            <v>46</v>
          </cell>
          <cell r="G49">
            <v>0</v>
          </cell>
          <cell r="H49" t="str">
            <v/>
          </cell>
        </row>
        <row r="50">
          <cell r="A50">
            <v>47</v>
          </cell>
          <cell r="G50">
            <v>0</v>
          </cell>
          <cell r="H50" t="str">
            <v/>
          </cell>
        </row>
        <row r="51">
          <cell r="A51">
            <v>48</v>
          </cell>
          <cell r="G51">
            <v>0</v>
          </cell>
          <cell r="H51" t="str">
            <v/>
          </cell>
        </row>
        <row r="52">
          <cell r="A52">
            <v>49</v>
          </cell>
          <cell r="G52">
            <v>0</v>
          </cell>
          <cell r="H52" t="str">
            <v/>
          </cell>
        </row>
        <row r="53">
          <cell r="A53">
            <v>50</v>
          </cell>
          <cell r="G53">
            <v>0</v>
          </cell>
          <cell r="H53" t="str">
            <v/>
          </cell>
        </row>
        <row r="54">
          <cell r="A54">
            <v>51</v>
          </cell>
          <cell r="G54">
            <v>0</v>
          </cell>
          <cell r="H54" t="str">
            <v/>
          </cell>
        </row>
        <row r="55">
          <cell r="A55">
            <v>52</v>
          </cell>
          <cell r="G55">
            <v>0</v>
          </cell>
          <cell r="H55" t="str">
            <v/>
          </cell>
        </row>
        <row r="56">
          <cell r="A56">
            <v>53</v>
          </cell>
          <cell r="G56">
            <v>0</v>
          </cell>
          <cell r="H56" t="str">
            <v/>
          </cell>
        </row>
        <row r="57">
          <cell r="A57">
            <v>54</v>
          </cell>
          <cell r="G57">
            <v>0</v>
          </cell>
          <cell r="H57" t="str">
            <v/>
          </cell>
        </row>
        <row r="58">
          <cell r="A58">
            <v>55</v>
          </cell>
          <cell r="G58">
            <v>0</v>
          </cell>
          <cell r="H58" t="str">
            <v/>
          </cell>
        </row>
        <row r="59">
          <cell r="A59">
            <v>56</v>
          </cell>
          <cell r="G59">
            <v>0</v>
          </cell>
          <cell r="H59" t="str">
            <v/>
          </cell>
        </row>
        <row r="60">
          <cell r="A60">
            <v>57</v>
          </cell>
          <cell r="G60">
            <v>0</v>
          </cell>
          <cell r="H60" t="str">
            <v/>
          </cell>
        </row>
        <row r="61">
          <cell r="A61">
            <v>58</v>
          </cell>
          <cell r="G61">
            <v>0</v>
          </cell>
          <cell r="H61" t="str">
            <v/>
          </cell>
        </row>
        <row r="62">
          <cell r="A62">
            <v>59</v>
          </cell>
          <cell r="G62">
            <v>0</v>
          </cell>
          <cell r="H62" t="str">
            <v/>
          </cell>
        </row>
        <row r="63">
          <cell r="A63">
            <v>60</v>
          </cell>
          <cell r="G63">
            <v>0</v>
          </cell>
          <cell r="H63" t="str">
            <v/>
          </cell>
        </row>
        <row r="64">
          <cell r="A64">
            <v>61</v>
          </cell>
          <cell r="G64">
            <v>0</v>
          </cell>
          <cell r="H64" t="str">
            <v/>
          </cell>
        </row>
        <row r="65">
          <cell r="A65">
            <v>62</v>
          </cell>
          <cell r="G65">
            <v>0</v>
          </cell>
          <cell r="H65" t="str">
            <v/>
          </cell>
        </row>
        <row r="66">
          <cell r="A66">
            <v>63</v>
          </cell>
          <cell r="G66">
            <v>0</v>
          </cell>
          <cell r="H66" t="str">
            <v/>
          </cell>
        </row>
        <row r="67">
          <cell r="A67">
            <v>64</v>
          </cell>
          <cell r="G67">
            <v>0</v>
          </cell>
          <cell r="H67" t="str">
            <v/>
          </cell>
        </row>
        <row r="68">
          <cell r="A68">
            <v>65</v>
          </cell>
          <cell r="G68">
            <v>0</v>
          </cell>
          <cell r="H68" t="str">
            <v/>
          </cell>
        </row>
        <row r="69">
          <cell r="A69">
            <v>66</v>
          </cell>
          <cell r="G69">
            <v>0</v>
          </cell>
          <cell r="H69" t="str">
            <v/>
          </cell>
        </row>
        <row r="70">
          <cell r="A70">
            <v>67</v>
          </cell>
          <cell r="G70">
            <v>0</v>
          </cell>
          <cell r="H70" t="str">
            <v/>
          </cell>
        </row>
        <row r="71">
          <cell r="A71">
            <v>68</v>
          </cell>
          <cell r="G71">
            <v>0</v>
          </cell>
          <cell r="H71" t="str">
            <v/>
          </cell>
        </row>
        <row r="72">
          <cell r="A72">
            <v>69</v>
          </cell>
          <cell r="G72">
            <v>0</v>
          </cell>
          <cell r="H72" t="str">
            <v/>
          </cell>
        </row>
        <row r="73">
          <cell r="A73">
            <v>70</v>
          </cell>
          <cell r="G73">
            <v>0</v>
          </cell>
          <cell r="H73" t="str">
            <v/>
          </cell>
        </row>
        <row r="74">
          <cell r="A74">
            <v>71</v>
          </cell>
          <cell r="G74">
            <v>0</v>
          </cell>
          <cell r="H74" t="str">
            <v/>
          </cell>
        </row>
        <row r="75">
          <cell r="A75">
            <v>72</v>
          </cell>
          <cell r="G75">
            <v>0</v>
          </cell>
          <cell r="H75" t="str">
            <v/>
          </cell>
        </row>
        <row r="76">
          <cell r="A76">
            <v>73</v>
          </cell>
          <cell r="G76">
            <v>0</v>
          </cell>
          <cell r="H76" t="str">
            <v/>
          </cell>
        </row>
        <row r="77">
          <cell r="A77">
            <v>74</v>
          </cell>
          <cell r="G77">
            <v>0</v>
          </cell>
          <cell r="H77" t="str">
            <v/>
          </cell>
        </row>
        <row r="78">
          <cell r="A78">
            <v>75</v>
          </cell>
          <cell r="G78">
            <v>0</v>
          </cell>
          <cell r="H78" t="str">
            <v/>
          </cell>
        </row>
        <row r="79">
          <cell r="A79">
            <v>76</v>
          </cell>
          <cell r="G79">
            <v>0</v>
          </cell>
          <cell r="H79" t="str">
            <v/>
          </cell>
        </row>
        <row r="80">
          <cell r="A80">
            <v>77</v>
          </cell>
          <cell r="G80">
            <v>0</v>
          </cell>
          <cell r="H80" t="str">
            <v/>
          </cell>
        </row>
        <row r="81">
          <cell r="A81">
            <v>78</v>
          </cell>
          <cell r="G81">
            <v>0</v>
          </cell>
          <cell r="H81" t="str">
            <v/>
          </cell>
        </row>
        <row r="82">
          <cell r="A82">
            <v>79</v>
          </cell>
          <cell r="G82">
            <v>0</v>
          </cell>
          <cell r="H82" t="str">
            <v/>
          </cell>
        </row>
        <row r="83">
          <cell r="A83">
            <v>80</v>
          </cell>
          <cell r="G83">
            <v>0</v>
          </cell>
          <cell r="H83" t="str">
            <v/>
          </cell>
        </row>
        <row r="84">
          <cell r="A84">
            <v>81</v>
          </cell>
          <cell r="G84">
            <v>0</v>
          </cell>
          <cell r="H84" t="str">
            <v/>
          </cell>
        </row>
        <row r="85">
          <cell r="A85">
            <v>82</v>
          </cell>
          <cell r="G85">
            <v>0</v>
          </cell>
          <cell r="H85" t="str">
            <v/>
          </cell>
        </row>
        <row r="86">
          <cell r="A86">
            <v>83</v>
          </cell>
          <cell r="G86">
            <v>0</v>
          </cell>
          <cell r="H86" t="str">
            <v/>
          </cell>
        </row>
        <row r="87">
          <cell r="A87">
            <v>84</v>
          </cell>
          <cell r="G87">
            <v>0</v>
          </cell>
          <cell r="H87" t="str">
            <v/>
          </cell>
        </row>
        <row r="88">
          <cell r="A88">
            <v>85</v>
          </cell>
          <cell r="G88">
            <v>0</v>
          </cell>
          <cell r="H88" t="str">
            <v/>
          </cell>
        </row>
        <row r="89">
          <cell r="A89">
            <v>86</v>
          </cell>
          <cell r="G89">
            <v>0</v>
          </cell>
          <cell r="H89" t="str">
            <v/>
          </cell>
        </row>
        <row r="90">
          <cell r="A90">
            <v>87</v>
          </cell>
          <cell r="G90">
            <v>0</v>
          </cell>
          <cell r="H90" t="str">
            <v/>
          </cell>
        </row>
        <row r="91">
          <cell r="A91">
            <v>88</v>
          </cell>
          <cell r="G91">
            <v>0</v>
          </cell>
          <cell r="H91" t="str">
            <v/>
          </cell>
        </row>
        <row r="92">
          <cell r="A92">
            <v>89</v>
          </cell>
          <cell r="G92">
            <v>0</v>
          </cell>
          <cell r="H92" t="str">
            <v/>
          </cell>
        </row>
        <row r="93">
          <cell r="A93">
            <v>90</v>
          </cell>
          <cell r="G93">
            <v>0</v>
          </cell>
          <cell r="H93" t="str">
            <v/>
          </cell>
        </row>
        <row r="94">
          <cell r="A94">
            <v>91</v>
          </cell>
          <cell r="G94">
            <v>0</v>
          </cell>
          <cell r="H94" t="str">
            <v/>
          </cell>
        </row>
        <row r="95">
          <cell r="A95">
            <v>92</v>
          </cell>
          <cell r="G95">
            <v>0</v>
          </cell>
          <cell r="H95" t="str">
            <v/>
          </cell>
        </row>
        <row r="96">
          <cell r="A96">
            <v>93</v>
          </cell>
          <cell r="G96">
            <v>0</v>
          </cell>
          <cell r="H96" t="str">
            <v/>
          </cell>
        </row>
        <row r="97">
          <cell r="A97">
            <v>94</v>
          </cell>
          <cell r="G97">
            <v>0</v>
          </cell>
          <cell r="H97" t="str">
            <v/>
          </cell>
        </row>
        <row r="98">
          <cell r="A98">
            <v>95</v>
          </cell>
          <cell r="G98">
            <v>0</v>
          </cell>
          <cell r="H98" t="str">
            <v/>
          </cell>
        </row>
        <row r="99">
          <cell r="A99">
            <v>96</v>
          </cell>
          <cell r="G99">
            <v>0</v>
          </cell>
          <cell r="H99" t="str">
            <v/>
          </cell>
        </row>
        <row r="100">
          <cell r="A100">
            <v>97</v>
          </cell>
          <cell r="G100">
            <v>0</v>
          </cell>
          <cell r="H100" t="str">
            <v/>
          </cell>
        </row>
        <row r="101">
          <cell r="A101">
            <v>98</v>
          </cell>
          <cell r="G101">
            <v>0</v>
          </cell>
          <cell r="H101" t="str">
            <v/>
          </cell>
        </row>
        <row r="102">
          <cell r="A102">
            <v>99</v>
          </cell>
          <cell r="G102">
            <v>0</v>
          </cell>
          <cell r="H102" t="str">
            <v/>
          </cell>
        </row>
        <row r="103">
          <cell r="A103">
            <v>100</v>
          </cell>
          <cell r="G103">
            <v>0</v>
          </cell>
          <cell r="H103" t="str">
            <v/>
          </cell>
        </row>
      </sheetData>
      <sheetData sheetId="3"/>
      <sheetData sheetId="4"/>
      <sheetData sheetId="5"/>
      <sheetData sheetId="6"/>
      <sheetData sheetId="7"/>
      <sheetData sheetId="8"/>
      <sheetData sheetId="9"/>
      <sheetData sheetId="10"/>
      <sheetData sheetId="11">
        <row r="3">
          <cell r="D3" t="str">
            <v>AgeID</v>
          </cell>
          <cell r="E3" t="str">
            <v>Valid Ages</v>
          </cell>
          <cell r="F3" t="str">
            <v>Compete Order</v>
          </cell>
          <cell r="H3" t="str">
            <v>AGE</v>
          </cell>
          <cell r="I3" t="str">
            <v>Age Group Male</v>
          </cell>
          <cell r="K3" t="str">
            <v>AGE</v>
          </cell>
          <cell r="L3" t="str">
            <v>Age Group Female</v>
          </cell>
        </row>
        <row r="4">
          <cell r="D4">
            <v>1</v>
          </cell>
          <cell r="E4" t="str">
            <v>8-Under</v>
          </cell>
          <cell r="F4">
            <v>1</v>
          </cell>
          <cell r="H4">
            <v>5</v>
          </cell>
          <cell r="I4" t="str">
            <v>8-Under</v>
          </cell>
          <cell r="K4">
            <v>5</v>
          </cell>
          <cell r="L4" t="str">
            <v>8-Under</v>
          </cell>
        </row>
        <row r="5">
          <cell r="D5">
            <v>2</v>
          </cell>
          <cell r="E5" t="str">
            <v>9</v>
          </cell>
          <cell r="F5">
            <v>2</v>
          </cell>
          <cell r="H5">
            <v>6</v>
          </cell>
          <cell r="I5" t="str">
            <v>8-Under</v>
          </cell>
          <cell r="K5">
            <v>6</v>
          </cell>
          <cell r="L5" t="str">
            <v>8-Under</v>
          </cell>
        </row>
        <row r="6">
          <cell r="D6">
            <v>3</v>
          </cell>
          <cell r="E6" t="str">
            <v>10</v>
          </cell>
          <cell r="F6">
            <v>3</v>
          </cell>
          <cell r="H6">
            <v>7</v>
          </cell>
          <cell r="I6" t="str">
            <v>8-Under</v>
          </cell>
          <cell r="K6">
            <v>7</v>
          </cell>
          <cell r="L6" t="str">
            <v>8-Under</v>
          </cell>
        </row>
        <row r="7">
          <cell r="D7">
            <v>4</v>
          </cell>
          <cell r="E7" t="str">
            <v>9-10</v>
          </cell>
          <cell r="F7">
            <v>4</v>
          </cell>
          <cell r="H7">
            <v>8</v>
          </cell>
          <cell r="I7" t="str">
            <v>8-Under</v>
          </cell>
          <cell r="K7">
            <v>8</v>
          </cell>
          <cell r="L7" t="str">
            <v>8-Under</v>
          </cell>
        </row>
        <row r="8">
          <cell r="D8">
            <v>5</v>
          </cell>
          <cell r="E8" t="str">
            <v>10-Under</v>
          </cell>
          <cell r="F8">
            <v>5</v>
          </cell>
          <cell r="H8">
            <v>9</v>
          </cell>
          <cell r="I8" t="str">
            <v>9-10</v>
          </cell>
          <cell r="K8">
            <v>9</v>
          </cell>
          <cell r="L8">
            <v>9</v>
          </cell>
        </row>
        <row r="9">
          <cell r="D9">
            <v>6</v>
          </cell>
          <cell r="E9" t="str">
            <v>11</v>
          </cell>
          <cell r="F9">
            <v>6</v>
          </cell>
          <cell r="H9">
            <v>10</v>
          </cell>
          <cell r="I9" t="str">
            <v>9-10</v>
          </cell>
          <cell r="K9">
            <v>10</v>
          </cell>
          <cell r="L9">
            <v>10</v>
          </cell>
        </row>
        <row r="10">
          <cell r="D10">
            <v>7</v>
          </cell>
          <cell r="E10" t="str">
            <v>12</v>
          </cell>
          <cell r="F10">
            <v>7</v>
          </cell>
          <cell r="H10">
            <v>11</v>
          </cell>
          <cell r="I10" t="str">
            <v>11-12</v>
          </cell>
          <cell r="K10">
            <v>11</v>
          </cell>
          <cell r="L10">
            <v>11</v>
          </cell>
        </row>
        <row r="11">
          <cell r="D11">
            <v>8</v>
          </cell>
          <cell r="E11" t="str">
            <v>11-12</v>
          </cell>
          <cell r="F11">
            <v>8</v>
          </cell>
          <cell r="H11">
            <v>12</v>
          </cell>
          <cell r="I11" t="str">
            <v>11-12</v>
          </cell>
          <cell r="K11">
            <v>12</v>
          </cell>
          <cell r="L11">
            <v>12</v>
          </cell>
        </row>
        <row r="12">
          <cell r="D12">
            <v>9</v>
          </cell>
          <cell r="E12" t="str">
            <v>12-Under</v>
          </cell>
          <cell r="F12">
            <v>9</v>
          </cell>
          <cell r="H12">
            <v>13</v>
          </cell>
          <cell r="I12" t="str">
            <v>13-14</v>
          </cell>
          <cell r="K12">
            <v>13</v>
          </cell>
          <cell r="L12">
            <v>13</v>
          </cell>
        </row>
        <row r="13">
          <cell r="D13">
            <v>10</v>
          </cell>
          <cell r="E13" t="str">
            <v>13</v>
          </cell>
          <cell r="F13">
            <v>10</v>
          </cell>
          <cell r="H13">
            <v>14</v>
          </cell>
          <cell r="I13" t="str">
            <v>13-14</v>
          </cell>
          <cell r="K13">
            <v>14</v>
          </cell>
          <cell r="L13">
            <v>14</v>
          </cell>
        </row>
        <row r="14">
          <cell r="D14">
            <v>11</v>
          </cell>
          <cell r="E14" t="str">
            <v>14</v>
          </cell>
          <cell r="F14">
            <v>11</v>
          </cell>
          <cell r="H14">
            <v>15</v>
          </cell>
          <cell r="I14" t="str">
            <v>15-16</v>
          </cell>
          <cell r="K14">
            <v>15</v>
          </cell>
          <cell r="L14" t="str">
            <v>15-16</v>
          </cell>
        </row>
        <row r="15">
          <cell r="D15">
            <v>12</v>
          </cell>
          <cell r="E15" t="str">
            <v>13-14</v>
          </cell>
          <cell r="F15">
            <v>12</v>
          </cell>
          <cell r="H15">
            <v>16</v>
          </cell>
          <cell r="I15" t="str">
            <v>15-16</v>
          </cell>
          <cell r="K15">
            <v>16</v>
          </cell>
          <cell r="L15" t="str">
            <v>15-16</v>
          </cell>
        </row>
        <row r="16">
          <cell r="D16">
            <v>13</v>
          </cell>
          <cell r="E16" t="str">
            <v>14-Under</v>
          </cell>
          <cell r="F16">
            <v>13</v>
          </cell>
          <cell r="H16">
            <v>17</v>
          </cell>
          <cell r="I16" t="str">
            <v>17-18</v>
          </cell>
          <cell r="K16">
            <v>17</v>
          </cell>
          <cell r="L16" t="str">
            <v>17-18</v>
          </cell>
        </row>
        <row r="17">
          <cell r="D17">
            <v>14</v>
          </cell>
          <cell r="E17" t="str">
            <v>15-16</v>
          </cell>
          <cell r="F17">
            <v>14</v>
          </cell>
          <cell r="H17">
            <v>18</v>
          </cell>
          <cell r="I17" t="str">
            <v>17-18</v>
          </cell>
          <cell r="K17">
            <v>18</v>
          </cell>
          <cell r="L17" t="str">
            <v>17-18</v>
          </cell>
        </row>
        <row r="18">
          <cell r="D18">
            <v>15</v>
          </cell>
          <cell r="E18" t="str">
            <v>17-18</v>
          </cell>
          <cell r="F18">
            <v>15</v>
          </cell>
          <cell r="H18">
            <v>19</v>
          </cell>
          <cell r="I18" t="str">
            <v>19-22</v>
          </cell>
          <cell r="K18">
            <v>19</v>
          </cell>
          <cell r="L18" t="str">
            <v>19-22</v>
          </cell>
        </row>
        <row r="19">
          <cell r="D19">
            <v>16</v>
          </cell>
          <cell r="E19" t="str">
            <v>19-22</v>
          </cell>
          <cell r="F19">
            <v>16</v>
          </cell>
          <cell r="H19">
            <v>20</v>
          </cell>
          <cell r="I19" t="str">
            <v>19-22</v>
          </cell>
          <cell r="K19">
            <v>20</v>
          </cell>
          <cell r="L19" t="str">
            <v>19-22</v>
          </cell>
        </row>
        <row r="20">
          <cell r="D20">
            <v>17</v>
          </cell>
          <cell r="E20" t="str">
            <v>15-Over</v>
          </cell>
          <cell r="F20">
            <v>16</v>
          </cell>
          <cell r="H20">
            <v>21</v>
          </cell>
          <cell r="I20" t="str">
            <v>19-22</v>
          </cell>
          <cell r="K20">
            <v>21</v>
          </cell>
          <cell r="L20" t="str">
            <v>19-22</v>
          </cell>
        </row>
        <row r="21">
          <cell r="H21">
            <v>22</v>
          </cell>
          <cell r="I21" t="str">
            <v>19-22</v>
          </cell>
          <cell r="K21">
            <v>22</v>
          </cell>
          <cell r="L21" t="str">
            <v>19-22</v>
          </cell>
        </row>
      </sheetData>
      <sheetData sheetId="12"/>
      <sheetData sheetId="13"/>
      <sheetData sheetId="1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ee Purser" refreshedDate="42302.878194675926" createdVersion="4" refreshedVersion="4" minRefreshableVersion="3" recordCount="2228">
  <cacheSource type="worksheet">
    <worksheetSource ref="A3:I2245" sheet="ConsolidatedEventList"/>
  </cacheSource>
  <cacheFields count="9">
    <cacheField name="TEAM" numFmtId="0">
      <sharedItems containsSemiMixedTypes="0" containsString="0" containsNumber="1" containsInteger="1" minValue="0" maxValue="0"/>
    </cacheField>
    <cacheField name="#/Rank" numFmtId="0">
      <sharedItems containsSemiMixedTypes="0" containsString="0" containsNumber="1" containsInteger="1" minValue="1" maxValue="20"/>
    </cacheField>
    <cacheField name="EVENT" numFmtId="0">
      <sharedItems/>
    </cacheField>
    <cacheField name="AGE" numFmtId="0">
      <sharedItems containsMixedTypes="1" containsNumber="1" containsInteger="1" minValue="9" maxValue="17" count="21">
        <s v="10-under"/>
        <s v="11-12"/>
        <s v="13-14"/>
        <s v="15-17"/>
        <s v="18-over"/>
        <s v="30-over"/>
        <n v="9"/>
        <n v="10"/>
        <n v="11"/>
        <n v="12"/>
        <n v="13"/>
        <n v="14"/>
        <n v="15"/>
        <n v="16"/>
        <n v="17"/>
        <s v="18-22"/>
        <s v="23-29"/>
        <s v="30-49"/>
        <s v="50-Over"/>
        <s v="8-Under"/>
        <s v="Any"/>
      </sharedItems>
    </cacheField>
    <cacheField name="compid1" numFmtId="0">
      <sharedItems containsSemiMixedTypes="0" containsString="0" containsNumber="1" containsInteger="1" minValue="0" maxValue="0"/>
    </cacheField>
    <cacheField name="compid2" numFmtId="0">
      <sharedItems containsString="0" containsBlank="1" containsNumber="1" containsInteger="1" minValue="0" maxValue="0"/>
    </cacheField>
    <cacheField name="compid3" numFmtId="0">
      <sharedItems containsString="0" containsBlank="1" containsNumber="1" containsInteger="1" minValue="0" maxValue="0"/>
    </cacheField>
    <cacheField name="compid4" numFmtId="0">
      <sharedItems containsString="0" containsBlank="1" containsNumber="1" containsInteger="1" minValue="0" maxValue="0"/>
    </cacheField>
    <cacheField name="EventID" numFmtId="0">
      <sharedItems count="24">
        <s v="DDPF-Double Dutch Pairs Freestyle"/>
        <s v="DDPS-Double Dutch Pairs Speed"/>
        <s v="DDSF-Double Dutch Single Freestyle"/>
        <s v="DDSR-Double Dutch Speed Relay"/>
        <s v="FDDPF-Female Double Dutch Pairs Freestyle"/>
        <s v="FDDSF-Female Double Dutch Single Freestyle"/>
        <s v="FSRF-Female Single Rope Freestyle"/>
        <s v="FSRPF-Female Single Rope Pairs Freestyle"/>
        <s v="FSRS-Female Single Rope Speed"/>
        <s v="FTDU-Female Single Rope Double Under"/>
        <s v="FTMS-Female Three Minute Speed"/>
        <s v="FTSS-Female Thirty Second Speed"/>
        <s v="FTU-Female Triple Unders"/>
        <s v="MSRF-Male Single Rope Freestyle"/>
        <s v="MSRS-Male Single Rope Speed"/>
        <s v="MTDU-Male Single Rope Double Under"/>
        <s v="MTMS-Male Three Minute Speed"/>
        <s v="MTSS-Male Thirty Second Speed"/>
        <s v="MTU-Male Triple Unders"/>
        <s v="SRPF-Single Rope Pairs Freestyle"/>
        <s v="SRSR-Single Rope Speed Relay"/>
        <s v="TSL-Team Show Large Group"/>
        <s v="TSS-Team Show Small Group"/>
        <s v="SRSM-Single Rope Speed Medley"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28">
  <r>
    <n v="0"/>
    <n v="1"/>
    <s v="DDPF"/>
    <x v="0"/>
    <n v="0"/>
    <n v="0"/>
    <n v="0"/>
    <n v="0"/>
    <x v="0"/>
  </r>
  <r>
    <n v="0"/>
    <n v="2"/>
    <s v="DDPF"/>
    <x v="0"/>
    <n v="0"/>
    <n v="0"/>
    <n v="0"/>
    <n v="0"/>
    <x v="0"/>
  </r>
  <r>
    <n v="0"/>
    <n v="3"/>
    <s v="DDPF"/>
    <x v="0"/>
    <n v="0"/>
    <n v="0"/>
    <n v="0"/>
    <n v="0"/>
    <x v="0"/>
  </r>
  <r>
    <n v="0"/>
    <n v="4"/>
    <s v="DDPF"/>
    <x v="0"/>
    <n v="0"/>
    <n v="0"/>
    <n v="0"/>
    <n v="0"/>
    <x v="0"/>
  </r>
  <r>
    <n v="0"/>
    <n v="5"/>
    <s v="DDPF"/>
    <x v="0"/>
    <n v="0"/>
    <n v="0"/>
    <n v="0"/>
    <n v="0"/>
    <x v="0"/>
  </r>
  <r>
    <n v="0"/>
    <n v="6"/>
    <s v="DDPF"/>
    <x v="0"/>
    <n v="0"/>
    <n v="0"/>
    <n v="0"/>
    <n v="0"/>
    <x v="0"/>
  </r>
  <r>
    <n v="0"/>
    <n v="7"/>
    <s v="DDPF"/>
    <x v="0"/>
    <n v="0"/>
    <n v="0"/>
    <n v="0"/>
    <n v="0"/>
    <x v="0"/>
  </r>
  <r>
    <n v="0"/>
    <n v="8"/>
    <s v="DDPF"/>
    <x v="0"/>
    <n v="0"/>
    <n v="0"/>
    <n v="0"/>
    <n v="0"/>
    <x v="0"/>
  </r>
  <r>
    <n v="0"/>
    <n v="9"/>
    <s v="DDPF"/>
    <x v="0"/>
    <n v="0"/>
    <n v="0"/>
    <n v="0"/>
    <n v="0"/>
    <x v="0"/>
  </r>
  <r>
    <n v="0"/>
    <n v="10"/>
    <s v="DDPF"/>
    <x v="0"/>
    <n v="0"/>
    <n v="0"/>
    <n v="0"/>
    <n v="0"/>
    <x v="0"/>
  </r>
  <r>
    <n v="0"/>
    <n v="11"/>
    <s v="DDPF"/>
    <x v="0"/>
    <n v="0"/>
    <n v="0"/>
    <n v="0"/>
    <n v="0"/>
    <x v="0"/>
  </r>
  <r>
    <n v="0"/>
    <n v="12"/>
    <s v="DDPF"/>
    <x v="0"/>
    <n v="0"/>
    <n v="0"/>
    <n v="0"/>
    <n v="0"/>
    <x v="0"/>
  </r>
  <r>
    <n v="0"/>
    <n v="1"/>
    <s v="DDPF"/>
    <x v="1"/>
    <n v="0"/>
    <n v="0"/>
    <n v="0"/>
    <n v="0"/>
    <x v="0"/>
  </r>
  <r>
    <n v="0"/>
    <n v="2"/>
    <s v="DDPF"/>
    <x v="1"/>
    <n v="0"/>
    <n v="0"/>
    <n v="0"/>
    <n v="0"/>
    <x v="0"/>
  </r>
  <r>
    <n v="0"/>
    <n v="3"/>
    <s v="DDPF"/>
    <x v="1"/>
    <n v="0"/>
    <n v="0"/>
    <n v="0"/>
    <n v="0"/>
    <x v="0"/>
  </r>
  <r>
    <n v="0"/>
    <n v="4"/>
    <s v="DDPF"/>
    <x v="1"/>
    <n v="0"/>
    <n v="0"/>
    <n v="0"/>
    <n v="0"/>
    <x v="0"/>
  </r>
  <r>
    <n v="0"/>
    <n v="5"/>
    <s v="DDPF"/>
    <x v="1"/>
    <n v="0"/>
    <n v="0"/>
    <n v="0"/>
    <n v="0"/>
    <x v="0"/>
  </r>
  <r>
    <n v="0"/>
    <n v="6"/>
    <s v="DDPF"/>
    <x v="1"/>
    <n v="0"/>
    <n v="0"/>
    <n v="0"/>
    <n v="0"/>
    <x v="0"/>
  </r>
  <r>
    <n v="0"/>
    <n v="7"/>
    <s v="DDPF"/>
    <x v="1"/>
    <n v="0"/>
    <n v="0"/>
    <n v="0"/>
    <n v="0"/>
    <x v="0"/>
  </r>
  <r>
    <n v="0"/>
    <n v="8"/>
    <s v="DDPF"/>
    <x v="1"/>
    <n v="0"/>
    <n v="0"/>
    <n v="0"/>
    <n v="0"/>
    <x v="0"/>
  </r>
  <r>
    <n v="0"/>
    <n v="9"/>
    <s v="DDPF"/>
    <x v="1"/>
    <n v="0"/>
    <n v="0"/>
    <n v="0"/>
    <n v="0"/>
    <x v="0"/>
  </r>
  <r>
    <n v="0"/>
    <n v="10"/>
    <s v="DDPF"/>
    <x v="1"/>
    <n v="0"/>
    <n v="0"/>
    <n v="0"/>
    <n v="0"/>
    <x v="0"/>
  </r>
  <r>
    <n v="0"/>
    <n v="11"/>
    <s v="DDPF"/>
    <x v="1"/>
    <n v="0"/>
    <n v="0"/>
    <n v="0"/>
    <n v="0"/>
    <x v="0"/>
  </r>
  <r>
    <n v="0"/>
    <n v="12"/>
    <s v="DDPF"/>
    <x v="1"/>
    <n v="0"/>
    <n v="0"/>
    <n v="0"/>
    <n v="0"/>
    <x v="0"/>
  </r>
  <r>
    <n v="0"/>
    <n v="1"/>
    <s v="DDPF"/>
    <x v="2"/>
    <n v="0"/>
    <n v="0"/>
    <n v="0"/>
    <n v="0"/>
    <x v="0"/>
  </r>
  <r>
    <n v="0"/>
    <n v="2"/>
    <s v="DDPF"/>
    <x v="2"/>
    <n v="0"/>
    <n v="0"/>
    <n v="0"/>
    <n v="0"/>
    <x v="0"/>
  </r>
  <r>
    <n v="0"/>
    <n v="3"/>
    <s v="DDPF"/>
    <x v="2"/>
    <n v="0"/>
    <n v="0"/>
    <n v="0"/>
    <n v="0"/>
    <x v="0"/>
  </r>
  <r>
    <n v="0"/>
    <n v="4"/>
    <s v="DDPF"/>
    <x v="2"/>
    <n v="0"/>
    <n v="0"/>
    <n v="0"/>
    <n v="0"/>
    <x v="0"/>
  </r>
  <r>
    <n v="0"/>
    <n v="5"/>
    <s v="DDPF"/>
    <x v="2"/>
    <n v="0"/>
    <n v="0"/>
    <n v="0"/>
    <n v="0"/>
    <x v="0"/>
  </r>
  <r>
    <n v="0"/>
    <n v="6"/>
    <s v="DDPF"/>
    <x v="2"/>
    <n v="0"/>
    <n v="0"/>
    <n v="0"/>
    <n v="0"/>
    <x v="0"/>
  </r>
  <r>
    <n v="0"/>
    <n v="1"/>
    <s v="DDPF"/>
    <x v="3"/>
    <n v="0"/>
    <n v="0"/>
    <n v="0"/>
    <n v="0"/>
    <x v="0"/>
  </r>
  <r>
    <n v="0"/>
    <n v="2"/>
    <s v="DDPF"/>
    <x v="3"/>
    <n v="0"/>
    <n v="0"/>
    <n v="0"/>
    <n v="0"/>
    <x v="0"/>
  </r>
  <r>
    <n v="0"/>
    <n v="3"/>
    <s v="DDPF"/>
    <x v="3"/>
    <n v="0"/>
    <n v="0"/>
    <n v="0"/>
    <n v="0"/>
    <x v="0"/>
  </r>
  <r>
    <n v="0"/>
    <n v="4"/>
    <s v="DDPF"/>
    <x v="3"/>
    <n v="0"/>
    <n v="0"/>
    <n v="0"/>
    <n v="0"/>
    <x v="0"/>
  </r>
  <r>
    <n v="0"/>
    <n v="5"/>
    <s v="DDPF"/>
    <x v="3"/>
    <n v="0"/>
    <n v="0"/>
    <n v="0"/>
    <n v="0"/>
    <x v="0"/>
  </r>
  <r>
    <n v="0"/>
    <n v="6"/>
    <s v="DDPF"/>
    <x v="3"/>
    <n v="0"/>
    <n v="0"/>
    <n v="0"/>
    <n v="0"/>
    <x v="0"/>
  </r>
  <r>
    <n v="0"/>
    <n v="7"/>
    <s v="DDPF"/>
    <x v="3"/>
    <n v="0"/>
    <n v="0"/>
    <n v="0"/>
    <n v="0"/>
    <x v="0"/>
  </r>
  <r>
    <n v="0"/>
    <n v="8"/>
    <s v="DDPF"/>
    <x v="3"/>
    <n v="0"/>
    <n v="0"/>
    <n v="0"/>
    <n v="0"/>
    <x v="0"/>
  </r>
  <r>
    <n v="0"/>
    <n v="1"/>
    <s v="DDPF"/>
    <x v="4"/>
    <n v="0"/>
    <n v="0"/>
    <n v="0"/>
    <n v="0"/>
    <x v="0"/>
  </r>
  <r>
    <n v="0"/>
    <n v="2"/>
    <s v="DDPF"/>
    <x v="4"/>
    <n v="0"/>
    <n v="0"/>
    <n v="0"/>
    <n v="0"/>
    <x v="0"/>
  </r>
  <r>
    <n v="0"/>
    <n v="3"/>
    <s v="DDPF"/>
    <x v="4"/>
    <n v="0"/>
    <n v="0"/>
    <n v="0"/>
    <n v="0"/>
    <x v="0"/>
  </r>
  <r>
    <n v="0"/>
    <n v="4"/>
    <s v="DDPF"/>
    <x v="4"/>
    <n v="0"/>
    <n v="0"/>
    <n v="0"/>
    <n v="0"/>
    <x v="0"/>
  </r>
  <r>
    <n v="0"/>
    <n v="5"/>
    <s v="DDPF"/>
    <x v="4"/>
    <n v="0"/>
    <n v="0"/>
    <n v="0"/>
    <n v="0"/>
    <x v="0"/>
  </r>
  <r>
    <n v="0"/>
    <n v="6"/>
    <s v="DDPF"/>
    <x v="4"/>
    <n v="0"/>
    <n v="0"/>
    <n v="0"/>
    <n v="0"/>
    <x v="0"/>
  </r>
  <r>
    <n v="0"/>
    <n v="1"/>
    <s v="DDPF"/>
    <x v="5"/>
    <n v="0"/>
    <n v="0"/>
    <n v="0"/>
    <n v="0"/>
    <x v="0"/>
  </r>
  <r>
    <n v="0"/>
    <n v="2"/>
    <s v="DDPF"/>
    <x v="5"/>
    <n v="0"/>
    <n v="0"/>
    <n v="0"/>
    <n v="0"/>
    <x v="0"/>
  </r>
  <r>
    <n v="0"/>
    <n v="3"/>
    <s v="DDPF"/>
    <x v="5"/>
    <n v="0"/>
    <n v="0"/>
    <n v="0"/>
    <n v="0"/>
    <x v="0"/>
  </r>
  <r>
    <n v="0"/>
    <n v="1"/>
    <s v="DDPS"/>
    <x v="0"/>
    <n v="0"/>
    <n v="0"/>
    <n v="0"/>
    <n v="0"/>
    <x v="1"/>
  </r>
  <r>
    <n v="0"/>
    <n v="2"/>
    <s v="DDPS"/>
    <x v="0"/>
    <n v="0"/>
    <n v="0"/>
    <n v="0"/>
    <n v="0"/>
    <x v="1"/>
  </r>
  <r>
    <n v="0"/>
    <n v="3"/>
    <s v="DDPS"/>
    <x v="0"/>
    <n v="0"/>
    <n v="0"/>
    <n v="0"/>
    <n v="0"/>
    <x v="1"/>
  </r>
  <r>
    <n v="0"/>
    <n v="4"/>
    <s v="DDPS"/>
    <x v="0"/>
    <n v="0"/>
    <n v="0"/>
    <n v="0"/>
    <n v="0"/>
    <x v="1"/>
  </r>
  <r>
    <n v="0"/>
    <n v="5"/>
    <s v="DDPS"/>
    <x v="0"/>
    <n v="0"/>
    <n v="0"/>
    <n v="0"/>
    <n v="0"/>
    <x v="1"/>
  </r>
  <r>
    <n v="0"/>
    <n v="6"/>
    <s v="DDPS"/>
    <x v="0"/>
    <n v="0"/>
    <n v="0"/>
    <n v="0"/>
    <n v="0"/>
    <x v="1"/>
  </r>
  <r>
    <n v="0"/>
    <n v="7"/>
    <s v="DDPS"/>
    <x v="0"/>
    <n v="0"/>
    <n v="0"/>
    <n v="0"/>
    <n v="0"/>
    <x v="1"/>
  </r>
  <r>
    <n v="0"/>
    <n v="8"/>
    <s v="DDPS"/>
    <x v="0"/>
    <n v="0"/>
    <n v="0"/>
    <n v="0"/>
    <n v="0"/>
    <x v="1"/>
  </r>
  <r>
    <n v="0"/>
    <n v="9"/>
    <s v="DDPS"/>
    <x v="0"/>
    <n v="0"/>
    <n v="0"/>
    <n v="0"/>
    <n v="0"/>
    <x v="1"/>
  </r>
  <r>
    <n v="0"/>
    <n v="10"/>
    <s v="DDPS"/>
    <x v="0"/>
    <n v="0"/>
    <n v="0"/>
    <n v="0"/>
    <n v="0"/>
    <x v="1"/>
  </r>
  <r>
    <n v="0"/>
    <n v="11"/>
    <s v="DDPS"/>
    <x v="0"/>
    <n v="0"/>
    <n v="0"/>
    <n v="0"/>
    <n v="0"/>
    <x v="1"/>
  </r>
  <r>
    <n v="0"/>
    <n v="12"/>
    <s v="DDPS"/>
    <x v="0"/>
    <n v="0"/>
    <n v="0"/>
    <n v="0"/>
    <n v="0"/>
    <x v="1"/>
  </r>
  <r>
    <n v="0"/>
    <n v="1"/>
    <s v="DDPS"/>
    <x v="1"/>
    <n v="0"/>
    <n v="0"/>
    <n v="0"/>
    <n v="0"/>
    <x v="1"/>
  </r>
  <r>
    <n v="0"/>
    <n v="2"/>
    <s v="DDPS"/>
    <x v="1"/>
    <n v="0"/>
    <n v="0"/>
    <n v="0"/>
    <n v="0"/>
    <x v="1"/>
  </r>
  <r>
    <n v="0"/>
    <n v="3"/>
    <s v="DDPS"/>
    <x v="1"/>
    <n v="0"/>
    <n v="0"/>
    <n v="0"/>
    <n v="0"/>
    <x v="1"/>
  </r>
  <r>
    <n v="0"/>
    <n v="4"/>
    <s v="DDPS"/>
    <x v="1"/>
    <n v="0"/>
    <n v="0"/>
    <n v="0"/>
    <n v="0"/>
    <x v="1"/>
  </r>
  <r>
    <n v="0"/>
    <n v="5"/>
    <s v="DDPS"/>
    <x v="1"/>
    <n v="0"/>
    <n v="0"/>
    <n v="0"/>
    <n v="0"/>
    <x v="1"/>
  </r>
  <r>
    <n v="0"/>
    <n v="6"/>
    <s v="DDPS"/>
    <x v="1"/>
    <n v="0"/>
    <n v="0"/>
    <n v="0"/>
    <n v="0"/>
    <x v="1"/>
  </r>
  <r>
    <n v="0"/>
    <n v="7"/>
    <s v="DDPS"/>
    <x v="1"/>
    <n v="0"/>
    <n v="0"/>
    <n v="0"/>
    <n v="0"/>
    <x v="1"/>
  </r>
  <r>
    <n v="0"/>
    <n v="8"/>
    <s v="DDPS"/>
    <x v="1"/>
    <n v="0"/>
    <n v="0"/>
    <n v="0"/>
    <n v="0"/>
    <x v="1"/>
  </r>
  <r>
    <n v="0"/>
    <n v="9"/>
    <s v="DDPS"/>
    <x v="1"/>
    <n v="0"/>
    <n v="0"/>
    <n v="0"/>
    <n v="0"/>
    <x v="1"/>
  </r>
  <r>
    <n v="0"/>
    <n v="10"/>
    <s v="DDPS"/>
    <x v="1"/>
    <n v="0"/>
    <n v="0"/>
    <n v="0"/>
    <n v="0"/>
    <x v="1"/>
  </r>
  <r>
    <n v="0"/>
    <n v="11"/>
    <s v="DDPS"/>
    <x v="1"/>
    <n v="0"/>
    <n v="0"/>
    <n v="0"/>
    <n v="0"/>
    <x v="1"/>
  </r>
  <r>
    <n v="0"/>
    <n v="12"/>
    <s v="DDPS"/>
    <x v="1"/>
    <n v="0"/>
    <n v="0"/>
    <n v="0"/>
    <n v="0"/>
    <x v="1"/>
  </r>
  <r>
    <n v="0"/>
    <n v="1"/>
    <s v="DDPS"/>
    <x v="2"/>
    <n v="0"/>
    <n v="0"/>
    <n v="0"/>
    <n v="0"/>
    <x v="1"/>
  </r>
  <r>
    <n v="0"/>
    <n v="2"/>
    <s v="DDPS"/>
    <x v="2"/>
    <n v="0"/>
    <n v="0"/>
    <n v="0"/>
    <n v="0"/>
    <x v="1"/>
  </r>
  <r>
    <n v="0"/>
    <n v="3"/>
    <s v="DDPS"/>
    <x v="2"/>
    <n v="0"/>
    <n v="0"/>
    <n v="0"/>
    <n v="0"/>
    <x v="1"/>
  </r>
  <r>
    <n v="0"/>
    <n v="4"/>
    <s v="DDPS"/>
    <x v="2"/>
    <n v="0"/>
    <n v="0"/>
    <n v="0"/>
    <n v="0"/>
    <x v="1"/>
  </r>
  <r>
    <n v="0"/>
    <n v="5"/>
    <s v="DDPS"/>
    <x v="2"/>
    <n v="0"/>
    <n v="0"/>
    <n v="0"/>
    <n v="0"/>
    <x v="1"/>
  </r>
  <r>
    <n v="0"/>
    <n v="6"/>
    <s v="DDPS"/>
    <x v="2"/>
    <n v="0"/>
    <n v="0"/>
    <n v="0"/>
    <n v="0"/>
    <x v="1"/>
  </r>
  <r>
    <n v="0"/>
    <n v="7"/>
    <s v="DDPS"/>
    <x v="2"/>
    <n v="0"/>
    <n v="0"/>
    <n v="0"/>
    <n v="0"/>
    <x v="1"/>
  </r>
  <r>
    <n v="0"/>
    <n v="8"/>
    <s v="DDPS"/>
    <x v="2"/>
    <n v="0"/>
    <n v="0"/>
    <n v="0"/>
    <n v="0"/>
    <x v="1"/>
  </r>
  <r>
    <n v="0"/>
    <n v="9"/>
    <s v="DDPS"/>
    <x v="2"/>
    <n v="0"/>
    <n v="0"/>
    <n v="0"/>
    <n v="0"/>
    <x v="1"/>
  </r>
  <r>
    <n v="0"/>
    <n v="10"/>
    <s v="DDPS"/>
    <x v="2"/>
    <n v="0"/>
    <n v="0"/>
    <n v="0"/>
    <n v="0"/>
    <x v="1"/>
  </r>
  <r>
    <n v="0"/>
    <n v="1"/>
    <s v="DDPS"/>
    <x v="3"/>
    <n v="0"/>
    <n v="0"/>
    <n v="0"/>
    <n v="0"/>
    <x v="1"/>
  </r>
  <r>
    <n v="0"/>
    <n v="2"/>
    <s v="DDPS"/>
    <x v="3"/>
    <n v="0"/>
    <n v="0"/>
    <n v="0"/>
    <n v="0"/>
    <x v="1"/>
  </r>
  <r>
    <n v="0"/>
    <n v="3"/>
    <s v="DDPS"/>
    <x v="3"/>
    <n v="0"/>
    <n v="0"/>
    <n v="0"/>
    <n v="0"/>
    <x v="1"/>
  </r>
  <r>
    <n v="0"/>
    <n v="4"/>
    <s v="DDPS"/>
    <x v="3"/>
    <n v="0"/>
    <n v="0"/>
    <n v="0"/>
    <n v="0"/>
    <x v="1"/>
  </r>
  <r>
    <n v="0"/>
    <n v="5"/>
    <s v="DDPS"/>
    <x v="3"/>
    <n v="0"/>
    <n v="0"/>
    <n v="0"/>
    <n v="0"/>
    <x v="1"/>
  </r>
  <r>
    <n v="0"/>
    <n v="6"/>
    <s v="DDPS"/>
    <x v="3"/>
    <n v="0"/>
    <n v="0"/>
    <n v="0"/>
    <n v="0"/>
    <x v="1"/>
  </r>
  <r>
    <n v="0"/>
    <n v="7"/>
    <s v="DDPS"/>
    <x v="3"/>
    <n v="0"/>
    <n v="0"/>
    <n v="0"/>
    <n v="0"/>
    <x v="1"/>
  </r>
  <r>
    <n v="0"/>
    <n v="8"/>
    <s v="DDPS"/>
    <x v="3"/>
    <n v="0"/>
    <n v="0"/>
    <n v="0"/>
    <n v="0"/>
    <x v="1"/>
  </r>
  <r>
    <n v="0"/>
    <n v="1"/>
    <s v="DDPS"/>
    <x v="4"/>
    <n v="0"/>
    <n v="0"/>
    <n v="0"/>
    <n v="0"/>
    <x v="1"/>
  </r>
  <r>
    <n v="0"/>
    <n v="2"/>
    <s v="DDPS"/>
    <x v="4"/>
    <n v="0"/>
    <n v="0"/>
    <n v="0"/>
    <n v="0"/>
    <x v="1"/>
  </r>
  <r>
    <n v="0"/>
    <n v="3"/>
    <s v="DDPS"/>
    <x v="4"/>
    <n v="0"/>
    <n v="0"/>
    <n v="0"/>
    <n v="0"/>
    <x v="1"/>
  </r>
  <r>
    <n v="0"/>
    <n v="4"/>
    <s v="DDPS"/>
    <x v="4"/>
    <n v="0"/>
    <n v="0"/>
    <n v="0"/>
    <n v="0"/>
    <x v="1"/>
  </r>
  <r>
    <n v="0"/>
    <n v="5"/>
    <s v="DDPS"/>
    <x v="4"/>
    <n v="0"/>
    <n v="0"/>
    <n v="0"/>
    <n v="0"/>
    <x v="1"/>
  </r>
  <r>
    <n v="0"/>
    <n v="6"/>
    <s v="DDPS"/>
    <x v="4"/>
    <n v="0"/>
    <n v="0"/>
    <n v="0"/>
    <n v="0"/>
    <x v="1"/>
  </r>
  <r>
    <n v="0"/>
    <n v="7"/>
    <s v="DDPS"/>
    <x v="4"/>
    <n v="0"/>
    <n v="0"/>
    <n v="0"/>
    <n v="0"/>
    <x v="1"/>
  </r>
  <r>
    <n v="0"/>
    <n v="8"/>
    <s v="DDPS"/>
    <x v="4"/>
    <n v="0"/>
    <n v="0"/>
    <n v="0"/>
    <n v="0"/>
    <x v="1"/>
  </r>
  <r>
    <n v="0"/>
    <n v="1"/>
    <s v="DDPS"/>
    <x v="5"/>
    <n v="0"/>
    <n v="0"/>
    <n v="0"/>
    <n v="0"/>
    <x v="1"/>
  </r>
  <r>
    <n v="0"/>
    <n v="2"/>
    <s v="DDPS"/>
    <x v="5"/>
    <n v="0"/>
    <n v="0"/>
    <n v="0"/>
    <n v="0"/>
    <x v="1"/>
  </r>
  <r>
    <n v="0"/>
    <n v="3"/>
    <s v="DDPS"/>
    <x v="5"/>
    <n v="0"/>
    <n v="0"/>
    <n v="0"/>
    <n v="0"/>
    <x v="1"/>
  </r>
  <r>
    <n v="0"/>
    <n v="4"/>
    <s v="DDPS"/>
    <x v="5"/>
    <n v="0"/>
    <n v="0"/>
    <n v="0"/>
    <n v="0"/>
    <x v="1"/>
  </r>
  <r>
    <n v="0"/>
    <n v="5"/>
    <s v="DDPS"/>
    <x v="5"/>
    <n v="0"/>
    <n v="0"/>
    <n v="0"/>
    <n v="0"/>
    <x v="1"/>
  </r>
  <r>
    <n v="0"/>
    <n v="6"/>
    <s v="DDPS"/>
    <x v="5"/>
    <n v="0"/>
    <n v="0"/>
    <n v="0"/>
    <n v="0"/>
    <x v="1"/>
  </r>
  <r>
    <n v="0"/>
    <n v="7"/>
    <s v="DDPS"/>
    <x v="5"/>
    <n v="0"/>
    <n v="0"/>
    <n v="0"/>
    <n v="0"/>
    <x v="1"/>
  </r>
  <r>
    <n v="0"/>
    <n v="8"/>
    <s v="DDPS"/>
    <x v="5"/>
    <n v="0"/>
    <n v="0"/>
    <n v="0"/>
    <n v="0"/>
    <x v="1"/>
  </r>
  <r>
    <n v="0"/>
    <n v="1"/>
    <s v="DDSF"/>
    <x v="0"/>
    <n v="0"/>
    <n v="0"/>
    <n v="0"/>
    <m/>
    <x v="2"/>
  </r>
  <r>
    <n v="0"/>
    <n v="2"/>
    <s v="DDSF"/>
    <x v="0"/>
    <n v="0"/>
    <n v="0"/>
    <n v="0"/>
    <m/>
    <x v="2"/>
  </r>
  <r>
    <n v="0"/>
    <n v="3"/>
    <s v="DDSF"/>
    <x v="0"/>
    <n v="0"/>
    <n v="0"/>
    <n v="0"/>
    <m/>
    <x v="2"/>
  </r>
  <r>
    <n v="0"/>
    <n v="4"/>
    <s v="DDSF"/>
    <x v="0"/>
    <n v="0"/>
    <n v="0"/>
    <n v="0"/>
    <m/>
    <x v="2"/>
  </r>
  <r>
    <n v="0"/>
    <n v="5"/>
    <s v="DDSF"/>
    <x v="0"/>
    <n v="0"/>
    <n v="0"/>
    <n v="0"/>
    <m/>
    <x v="2"/>
  </r>
  <r>
    <n v="0"/>
    <n v="6"/>
    <s v="DDSF"/>
    <x v="0"/>
    <n v="0"/>
    <n v="0"/>
    <n v="0"/>
    <m/>
    <x v="2"/>
  </r>
  <r>
    <n v="0"/>
    <n v="7"/>
    <s v="DDSF"/>
    <x v="0"/>
    <n v="0"/>
    <n v="0"/>
    <n v="0"/>
    <m/>
    <x v="2"/>
  </r>
  <r>
    <n v="0"/>
    <n v="8"/>
    <s v="DDSF"/>
    <x v="0"/>
    <n v="0"/>
    <n v="0"/>
    <n v="0"/>
    <m/>
    <x v="2"/>
  </r>
  <r>
    <n v="0"/>
    <n v="9"/>
    <s v="DDSF"/>
    <x v="0"/>
    <n v="0"/>
    <n v="0"/>
    <n v="0"/>
    <m/>
    <x v="2"/>
  </r>
  <r>
    <n v="0"/>
    <n v="10"/>
    <s v="DDSF"/>
    <x v="0"/>
    <n v="0"/>
    <n v="0"/>
    <n v="0"/>
    <m/>
    <x v="2"/>
  </r>
  <r>
    <n v="0"/>
    <n v="11"/>
    <s v="DDSF"/>
    <x v="0"/>
    <n v="0"/>
    <n v="0"/>
    <n v="0"/>
    <m/>
    <x v="2"/>
  </r>
  <r>
    <n v="0"/>
    <n v="12"/>
    <s v="DDSF"/>
    <x v="0"/>
    <n v="0"/>
    <n v="0"/>
    <n v="0"/>
    <m/>
    <x v="2"/>
  </r>
  <r>
    <n v="0"/>
    <n v="13"/>
    <s v="DDSF"/>
    <x v="0"/>
    <n v="0"/>
    <n v="0"/>
    <n v="0"/>
    <m/>
    <x v="2"/>
  </r>
  <r>
    <n v="0"/>
    <n v="14"/>
    <s v="DDSF"/>
    <x v="0"/>
    <n v="0"/>
    <n v="0"/>
    <n v="0"/>
    <m/>
    <x v="2"/>
  </r>
  <r>
    <n v="0"/>
    <n v="15"/>
    <s v="DDSF"/>
    <x v="0"/>
    <n v="0"/>
    <n v="0"/>
    <n v="0"/>
    <m/>
    <x v="2"/>
  </r>
  <r>
    <n v="0"/>
    <n v="1"/>
    <s v="DDSF"/>
    <x v="1"/>
    <n v="0"/>
    <n v="0"/>
    <n v="0"/>
    <m/>
    <x v="2"/>
  </r>
  <r>
    <n v="0"/>
    <n v="2"/>
    <s v="DDSF"/>
    <x v="1"/>
    <n v="0"/>
    <n v="0"/>
    <n v="0"/>
    <m/>
    <x v="2"/>
  </r>
  <r>
    <n v="0"/>
    <n v="3"/>
    <s v="DDSF"/>
    <x v="1"/>
    <n v="0"/>
    <n v="0"/>
    <n v="0"/>
    <m/>
    <x v="2"/>
  </r>
  <r>
    <n v="0"/>
    <n v="4"/>
    <s v="DDSF"/>
    <x v="1"/>
    <n v="0"/>
    <n v="0"/>
    <n v="0"/>
    <m/>
    <x v="2"/>
  </r>
  <r>
    <n v="0"/>
    <n v="5"/>
    <s v="DDSF"/>
    <x v="1"/>
    <n v="0"/>
    <n v="0"/>
    <n v="0"/>
    <m/>
    <x v="2"/>
  </r>
  <r>
    <n v="0"/>
    <n v="6"/>
    <s v="DDSF"/>
    <x v="1"/>
    <n v="0"/>
    <n v="0"/>
    <n v="0"/>
    <m/>
    <x v="2"/>
  </r>
  <r>
    <n v="0"/>
    <n v="7"/>
    <s v="DDSF"/>
    <x v="1"/>
    <n v="0"/>
    <n v="0"/>
    <n v="0"/>
    <m/>
    <x v="2"/>
  </r>
  <r>
    <n v="0"/>
    <n v="8"/>
    <s v="DDSF"/>
    <x v="1"/>
    <n v="0"/>
    <n v="0"/>
    <n v="0"/>
    <m/>
    <x v="2"/>
  </r>
  <r>
    <n v="0"/>
    <n v="9"/>
    <s v="DDSF"/>
    <x v="1"/>
    <n v="0"/>
    <n v="0"/>
    <n v="0"/>
    <m/>
    <x v="2"/>
  </r>
  <r>
    <n v="0"/>
    <n v="10"/>
    <s v="DDSF"/>
    <x v="1"/>
    <n v="0"/>
    <n v="0"/>
    <n v="0"/>
    <m/>
    <x v="2"/>
  </r>
  <r>
    <n v="0"/>
    <n v="11"/>
    <s v="DDSF"/>
    <x v="1"/>
    <n v="0"/>
    <n v="0"/>
    <n v="0"/>
    <m/>
    <x v="2"/>
  </r>
  <r>
    <n v="0"/>
    <n v="12"/>
    <s v="DDSF"/>
    <x v="1"/>
    <n v="0"/>
    <n v="0"/>
    <n v="0"/>
    <m/>
    <x v="2"/>
  </r>
  <r>
    <n v="0"/>
    <n v="13"/>
    <s v="DDSF"/>
    <x v="1"/>
    <n v="0"/>
    <n v="0"/>
    <n v="0"/>
    <m/>
    <x v="2"/>
  </r>
  <r>
    <n v="0"/>
    <n v="14"/>
    <s v="DDSF"/>
    <x v="1"/>
    <n v="0"/>
    <n v="0"/>
    <n v="0"/>
    <m/>
    <x v="2"/>
  </r>
  <r>
    <n v="0"/>
    <n v="15"/>
    <s v="DDSF"/>
    <x v="1"/>
    <n v="0"/>
    <n v="0"/>
    <n v="0"/>
    <m/>
    <x v="2"/>
  </r>
  <r>
    <n v="0"/>
    <n v="1"/>
    <s v="DDSF"/>
    <x v="2"/>
    <n v="0"/>
    <n v="0"/>
    <n v="0"/>
    <m/>
    <x v="2"/>
  </r>
  <r>
    <n v="0"/>
    <n v="2"/>
    <s v="DDSF"/>
    <x v="2"/>
    <n v="0"/>
    <n v="0"/>
    <n v="0"/>
    <m/>
    <x v="2"/>
  </r>
  <r>
    <n v="0"/>
    <n v="3"/>
    <s v="DDSF"/>
    <x v="2"/>
    <n v="0"/>
    <n v="0"/>
    <n v="0"/>
    <m/>
    <x v="2"/>
  </r>
  <r>
    <n v="0"/>
    <n v="4"/>
    <s v="DDSF"/>
    <x v="2"/>
    <n v="0"/>
    <n v="0"/>
    <n v="0"/>
    <m/>
    <x v="2"/>
  </r>
  <r>
    <n v="0"/>
    <n v="5"/>
    <s v="DDSF"/>
    <x v="2"/>
    <n v="0"/>
    <n v="0"/>
    <n v="0"/>
    <m/>
    <x v="2"/>
  </r>
  <r>
    <n v="0"/>
    <n v="6"/>
    <s v="DDSF"/>
    <x v="2"/>
    <n v="0"/>
    <n v="0"/>
    <n v="0"/>
    <m/>
    <x v="2"/>
  </r>
  <r>
    <n v="0"/>
    <n v="7"/>
    <s v="DDSF"/>
    <x v="2"/>
    <n v="0"/>
    <n v="0"/>
    <n v="0"/>
    <m/>
    <x v="2"/>
  </r>
  <r>
    <n v="0"/>
    <n v="8"/>
    <s v="DDSF"/>
    <x v="2"/>
    <n v="0"/>
    <n v="0"/>
    <n v="0"/>
    <m/>
    <x v="2"/>
  </r>
  <r>
    <n v="0"/>
    <n v="9"/>
    <s v="DDSF"/>
    <x v="2"/>
    <n v="0"/>
    <n v="0"/>
    <n v="0"/>
    <m/>
    <x v="2"/>
  </r>
  <r>
    <n v="0"/>
    <n v="10"/>
    <s v="DDSF"/>
    <x v="2"/>
    <n v="0"/>
    <n v="0"/>
    <n v="0"/>
    <m/>
    <x v="2"/>
  </r>
  <r>
    <n v="0"/>
    <n v="11"/>
    <s v="DDSF"/>
    <x v="2"/>
    <n v="0"/>
    <n v="0"/>
    <n v="0"/>
    <m/>
    <x v="2"/>
  </r>
  <r>
    <n v="0"/>
    <n v="12"/>
    <s v="DDSF"/>
    <x v="2"/>
    <n v="0"/>
    <n v="0"/>
    <n v="0"/>
    <m/>
    <x v="2"/>
  </r>
  <r>
    <n v="0"/>
    <n v="1"/>
    <s v="DDSF"/>
    <x v="3"/>
    <n v="0"/>
    <n v="0"/>
    <n v="0"/>
    <m/>
    <x v="2"/>
  </r>
  <r>
    <n v="0"/>
    <n v="2"/>
    <s v="DDSF"/>
    <x v="3"/>
    <n v="0"/>
    <n v="0"/>
    <n v="0"/>
    <m/>
    <x v="2"/>
  </r>
  <r>
    <n v="0"/>
    <n v="3"/>
    <s v="DDSF"/>
    <x v="3"/>
    <n v="0"/>
    <n v="0"/>
    <n v="0"/>
    <m/>
    <x v="2"/>
  </r>
  <r>
    <n v="0"/>
    <n v="4"/>
    <s v="DDSF"/>
    <x v="3"/>
    <n v="0"/>
    <n v="0"/>
    <n v="0"/>
    <m/>
    <x v="2"/>
  </r>
  <r>
    <n v="0"/>
    <n v="5"/>
    <s v="DDSF"/>
    <x v="3"/>
    <n v="0"/>
    <n v="0"/>
    <n v="0"/>
    <m/>
    <x v="2"/>
  </r>
  <r>
    <n v="0"/>
    <n v="6"/>
    <s v="DDSF"/>
    <x v="3"/>
    <n v="0"/>
    <n v="0"/>
    <n v="0"/>
    <m/>
    <x v="2"/>
  </r>
  <r>
    <n v="0"/>
    <n v="7"/>
    <s v="DDSF"/>
    <x v="3"/>
    <n v="0"/>
    <n v="0"/>
    <n v="0"/>
    <m/>
    <x v="2"/>
  </r>
  <r>
    <n v="0"/>
    <n v="8"/>
    <s v="DDSF"/>
    <x v="3"/>
    <n v="0"/>
    <n v="0"/>
    <n v="0"/>
    <m/>
    <x v="2"/>
  </r>
  <r>
    <n v="0"/>
    <n v="1"/>
    <s v="DDSF"/>
    <x v="4"/>
    <n v="0"/>
    <n v="0"/>
    <n v="0"/>
    <m/>
    <x v="2"/>
  </r>
  <r>
    <n v="0"/>
    <n v="2"/>
    <s v="DDSF"/>
    <x v="4"/>
    <n v="0"/>
    <n v="0"/>
    <n v="0"/>
    <m/>
    <x v="2"/>
  </r>
  <r>
    <n v="0"/>
    <n v="3"/>
    <s v="DDSF"/>
    <x v="4"/>
    <n v="0"/>
    <n v="0"/>
    <n v="0"/>
    <m/>
    <x v="2"/>
  </r>
  <r>
    <n v="0"/>
    <n v="4"/>
    <s v="DDSF"/>
    <x v="4"/>
    <n v="0"/>
    <n v="0"/>
    <n v="0"/>
    <m/>
    <x v="2"/>
  </r>
  <r>
    <n v="0"/>
    <n v="5"/>
    <s v="DDSF"/>
    <x v="4"/>
    <n v="0"/>
    <n v="0"/>
    <n v="0"/>
    <m/>
    <x v="2"/>
  </r>
  <r>
    <n v="0"/>
    <n v="6"/>
    <s v="DDSF"/>
    <x v="4"/>
    <n v="0"/>
    <n v="0"/>
    <n v="0"/>
    <m/>
    <x v="2"/>
  </r>
  <r>
    <n v="0"/>
    <n v="7"/>
    <s v="DDSF"/>
    <x v="4"/>
    <n v="0"/>
    <n v="0"/>
    <n v="0"/>
    <m/>
    <x v="2"/>
  </r>
  <r>
    <n v="0"/>
    <n v="8"/>
    <s v="DDSF"/>
    <x v="4"/>
    <n v="0"/>
    <n v="0"/>
    <n v="0"/>
    <m/>
    <x v="2"/>
  </r>
  <r>
    <n v="0"/>
    <n v="1"/>
    <s v="DDSF"/>
    <x v="5"/>
    <n v="0"/>
    <n v="0"/>
    <n v="0"/>
    <m/>
    <x v="2"/>
  </r>
  <r>
    <n v="0"/>
    <n v="2"/>
    <s v="DDSF"/>
    <x v="5"/>
    <n v="0"/>
    <n v="0"/>
    <n v="0"/>
    <m/>
    <x v="2"/>
  </r>
  <r>
    <n v="0"/>
    <n v="3"/>
    <s v="DDSF"/>
    <x v="5"/>
    <n v="0"/>
    <n v="0"/>
    <n v="0"/>
    <m/>
    <x v="2"/>
  </r>
  <r>
    <n v="0"/>
    <n v="1"/>
    <s v="DDSR"/>
    <x v="0"/>
    <n v="0"/>
    <n v="0"/>
    <n v="0"/>
    <n v="0"/>
    <x v="3"/>
  </r>
  <r>
    <n v="0"/>
    <n v="2"/>
    <s v="DDSR"/>
    <x v="0"/>
    <n v="0"/>
    <n v="0"/>
    <n v="0"/>
    <n v="0"/>
    <x v="3"/>
  </r>
  <r>
    <n v="0"/>
    <n v="3"/>
    <s v="DDSR"/>
    <x v="0"/>
    <n v="0"/>
    <n v="0"/>
    <n v="0"/>
    <n v="0"/>
    <x v="3"/>
  </r>
  <r>
    <n v="0"/>
    <n v="4"/>
    <s v="DDSR"/>
    <x v="0"/>
    <n v="0"/>
    <n v="0"/>
    <n v="0"/>
    <n v="0"/>
    <x v="3"/>
  </r>
  <r>
    <n v="0"/>
    <n v="5"/>
    <s v="DDSR"/>
    <x v="0"/>
    <n v="0"/>
    <n v="0"/>
    <n v="0"/>
    <n v="0"/>
    <x v="3"/>
  </r>
  <r>
    <n v="0"/>
    <n v="6"/>
    <s v="DDSR"/>
    <x v="0"/>
    <n v="0"/>
    <n v="0"/>
    <n v="0"/>
    <n v="0"/>
    <x v="3"/>
  </r>
  <r>
    <n v="0"/>
    <n v="7"/>
    <s v="DDSR"/>
    <x v="0"/>
    <n v="0"/>
    <n v="0"/>
    <n v="0"/>
    <n v="0"/>
    <x v="3"/>
  </r>
  <r>
    <n v="0"/>
    <n v="8"/>
    <s v="DDSR"/>
    <x v="0"/>
    <n v="0"/>
    <n v="0"/>
    <n v="0"/>
    <n v="0"/>
    <x v="3"/>
  </r>
  <r>
    <n v="0"/>
    <n v="9"/>
    <s v="DDSR"/>
    <x v="0"/>
    <n v="0"/>
    <n v="0"/>
    <n v="0"/>
    <n v="0"/>
    <x v="3"/>
  </r>
  <r>
    <n v="0"/>
    <n v="10"/>
    <s v="DDSR"/>
    <x v="0"/>
    <n v="0"/>
    <n v="0"/>
    <n v="0"/>
    <n v="0"/>
    <x v="3"/>
  </r>
  <r>
    <n v="0"/>
    <n v="11"/>
    <s v="DDSR"/>
    <x v="0"/>
    <n v="0"/>
    <n v="0"/>
    <n v="0"/>
    <n v="0"/>
    <x v="3"/>
  </r>
  <r>
    <n v="0"/>
    <n v="12"/>
    <s v="DDSR"/>
    <x v="0"/>
    <n v="0"/>
    <n v="0"/>
    <n v="0"/>
    <n v="0"/>
    <x v="3"/>
  </r>
  <r>
    <n v="0"/>
    <n v="13"/>
    <s v="DDSR"/>
    <x v="0"/>
    <n v="0"/>
    <n v="0"/>
    <n v="0"/>
    <n v="0"/>
    <x v="3"/>
  </r>
  <r>
    <n v="0"/>
    <n v="14"/>
    <s v="DDSR"/>
    <x v="0"/>
    <n v="0"/>
    <n v="0"/>
    <n v="0"/>
    <n v="0"/>
    <x v="3"/>
  </r>
  <r>
    <n v="0"/>
    <n v="15"/>
    <s v="DDSR"/>
    <x v="0"/>
    <n v="0"/>
    <n v="0"/>
    <n v="0"/>
    <n v="0"/>
    <x v="3"/>
  </r>
  <r>
    <n v="0"/>
    <n v="1"/>
    <s v="DDSR"/>
    <x v="1"/>
    <n v="0"/>
    <n v="0"/>
    <n v="0"/>
    <n v="0"/>
    <x v="3"/>
  </r>
  <r>
    <n v="0"/>
    <n v="2"/>
    <s v="DDSR"/>
    <x v="1"/>
    <n v="0"/>
    <n v="0"/>
    <n v="0"/>
    <n v="0"/>
    <x v="3"/>
  </r>
  <r>
    <n v="0"/>
    <n v="3"/>
    <s v="DDSR"/>
    <x v="1"/>
    <n v="0"/>
    <n v="0"/>
    <n v="0"/>
    <n v="0"/>
    <x v="3"/>
  </r>
  <r>
    <n v="0"/>
    <n v="4"/>
    <s v="DDSR"/>
    <x v="1"/>
    <n v="0"/>
    <n v="0"/>
    <n v="0"/>
    <n v="0"/>
    <x v="3"/>
  </r>
  <r>
    <n v="0"/>
    <n v="5"/>
    <s v="DDSR"/>
    <x v="1"/>
    <n v="0"/>
    <n v="0"/>
    <n v="0"/>
    <n v="0"/>
    <x v="3"/>
  </r>
  <r>
    <n v="0"/>
    <n v="6"/>
    <s v="DDSR"/>
    <x v="1"/>
    <n v="0"/>
    <n v="0"/>
    <n v="0"/>
    <n v="0"/>
    <x v="3"/>
  </r>
  <r>
    <n v="0"/>
    <n v="7"/>
    <s v="DDSR"/>
    <x v="1"/>
    <n v="0"/>
    <n v="0"/>
    <n v="0"/>
    <n v="0"/>
    <x v="3"/>
  </r>
  <r>
    <n v="0"/>
    <n v="8"/>
    <s v="DDSR"/>
    <x v="1"/>
    <n v="0"/>
    <n v="0"/>
    <n v="0"/>
    <n v="0"/>
    <x v="3"/>
  </r>
  <r>
    <n v="0"/>
    <n v="9"/>
    <s v="DDSR"/>
    <x v="1"/>
    <n v="0"/>
    <n v="0"/>
    <n v="0"/>
    <n v="0"/>
    <x v="3"/>
  </r>
  <r>
    <n v="0"/>
    <n v="10"/>
    <s v="DDSR"/>
    <x v="1"/>
    <n v="0"/>
    <n v="0"/>
    <n v="0"/>
    <n v="0"/>
    <x v="3"/>
  </r>
  <r>
    <n v="0"/>
    <n v="11"/>
    <s v="DDSR"/>
    <x v="1"/>
    <n v="0"/>
    <n v="0"/>
    <n v="0"/>
    <n v="0"/>
    <x v="3"/>
  </r>
  <r>
    <n v="0"/>
    <n v="12"/>
    <s v="DDSR"/>
    <x v="1"/>
    <n v="0"/>
    <n v="0"/>
    <n v="0"/>
    <n v="0"/>
    <x v="3"/>
  </r>
  <r>
    <n v="0"/>
    <n v="13"/>
    <s v="DDSR"/>
    <x v="1"/>
    <n v="0"/>
    <n v="0"/>
    <n v="0"/>
    <n v="0"/>
    <x v="3"/>
  </r>
  <r>
    <n v="0"/>
    <n v="14"/>
    <s v="DDSR"/>
    <x v="1"/>
    <n v="0"/>
    <n v="0"/>
    <n v="0"/>
    <n v="0"/>
    <x v="3"/>
  </r>
  <r>
    <n v="0"/>
    <n v="15"/>
    <s v="DDSR"/>
    <x v="1"/>
    <n v="0"/>
    <n v="0"/>
    <n v="0"/>
    <n v="0"/>
    <x v="3"/>
  </r>
  <r>
    <n v="0"/>
    <n v="1"/>
    <s v="DDSR"/>
    <x v="2"/>
    <n v="0"/>
    <n v="0"/>
    <n v="0"/>
    <n v="0"/>
    <x v="3"/>
  </r>
  <r>
    <n v="0"/>
    <n v="2"/>
    <s v="DDSR"/>
    <x v="2"/>
    <n v="0"/>
    <n v="0"/>
    <n v="0"/>
    <n v="0"/>
    <x v="3"/>
  </r>
  <r>
    <n v="0"/>
    <n v="3"/>
    <s v="DDSR"/>
    <x v="2"/>
    <n v="0"/>
    <n v="0"/>
    <n v="0"/>
    <n v="0"/>
    <x v="3"/>
  </r>
  <r>
    <n v="0"/>
    <n v="4"/>
    <s v="DDSR"/>
    <x v="2"/>
    <n v="0"/>
    <n v="0"/>
    <n v="0"/>
    <n v="0"/>
    <x v="3"/>
  </r>
  <r>
    <n v="0"/>
    <n v="5"/>
    <s v="DDSR"/>
    <x v="2"/>
    <n v="0"/>
    <n v="0"/>
    <n v="0"/>
    <n v="0"/>
    <x v="3"/>
  </r>
  <r>
    <n v="0"/>
    <n v="6"/>
    <s v="DDSR"/>
    <x v="2"/>
    <n v="0"/>
    <n v="0"/>
    <n v="0"/>
    <n v="0"/>
    <x v="3"/>
  </r>
  <r>
    <n v="0"/>
    <n v="7"/>
    <s v="DDSR"/>
    <x v="2"/>
    <n v="0"/>
    <n v="0"/>
    <n v="0"/>
    <n v="0"/>
    <x v="3"/>
  </r>
  <r>
    <n v="0"/>
    <n v="8"/>
    <s v="DDSR"/>
    <x v="2"/>
    <n v="0"/>
    <n v="0"/>
    <n v="0"/>
    <n v="0"/>
    <x v="3"/>
  </r>
  <r>
    <n v="0"/>
    <n v="9"/>
    <s v="DDSR"/>
    <x v="2"/>
    <n v="0"/>
    <n v="0"/>
    <n v="0"/>
    <n v="0"/>
    <x v="3"/>
  </r>
  <r>
    <n v="0"/>
    <n v="10"/>
    <s v="DDSR"/>
    <x v="2"/>
    <n v="0"/>
    <n v="0"/>
    <n v="0"/>
    <n v="0"/>
    <x v="3"/>
  </r>
  <r>
    <n v="0"/>
    <n v="11"/>
    <s v="DDSR"/>
    <x v="2"/>
    <n v="0"/>
    <n v="0"/>
    <n v="0"/>
    <n v="0"/>
    <x v="3"/>
  </r>
  <r>
    <n v="0"/>
    <n v="12"/>
    <s v="DDSR"/>
    <x v="2"/>
    <n v="0"/>
    <n v="0"/>
    <n v="0"/>
    <n v="0"/>
    <x v="3"/>
  </r>
  <r>
    <n v="0"/>
    <n v="1"/>
    <s v="DDSR"/>
    <x v="3"/>
    <n v="0"/>
    <n v="0"/>
    <n v="0"/>
    <n v="0"/>
    <x v="3"/>
  </r>
  <r>
    <n v="0"/>
    <n v="2"/>
    <s v="DDSR"/>
    <x v="3"/>
    <n v="0"/>
    <n v="0"/>
    <n v="0"/>
    <n v="0"/>
    <x v="3"/>
  </r>
  <r>
    <n v="0"/>
    <n v="3"/>
    <s v="DDSR"/>
    <x v="3"/>
    <n v="0"/>
    <n v="0"/>
    <n v="0"/>
    <n v="0"/>
    <x v="3"/>
  </r>
  <r>
    <n v="0"/>
    <n v="4"/>
    <s v="DDSR"/>
    <x v="3"/>
    <n v="0"/>
    <n v="0"/>
    <n v="0"/>
    <n v="0"/>
    <x v="3"/>
  </r>
  <r>
    <n v="0"/>
    <n v="5"/>
    <s v="DDSR"/>
    <x v="3"/>
    <n v="0"/>
    <n v="0"/>
    <n v="0"/>
    <n v="0"/>
    <x v="3"/>
  </r>
  <r>
    <n v="0"/>
    <n v="6"/>
    <s v="DDSR"/>
    <x v="3"/>
    <n v="0"/>
    <n v="0"/>
    <n v="0"/>
    <n v="0"/>
    <x v="3"/>
  </r>
  <r>
    <n v="0"/>
    <n v="7"/>
    <s v="DDSR"/>
    <x v="3"/>
    <n v="0"/>
    <n v="0"/>
    <n v="0"/>
    <n v="0"/>
    <x v="3"/>
  </r>
  <r>
    <n v="0"/>
    <n v="8"/>
    <s v="DDSR"/>
    <x v="3"/>
    <n v="0"/>
    <n v="0"/>
    <n v="0"/>
    <n v="0"/>
    <x v="3"/>
  </r>
  <r>
    <n v="0"/>
    <n v="1"/>
    <s v="DDSR"/>
    <x v="4"/>
    <n v="0"/>
    <n v="0"/>
    <n v="0"/>
    <n v="0"/>
    <x v="3"/>
  </r>
  <r>
    <n v="0"/>
    <n v="2"/>
    <s v="DDSR"/>
    <x v="4"/>
    <n v="0"/>
    <n v="0"/>
    <n v="0"/>
    <n v="0"/>
    <x v="3"/>
  </r>
  <r>
    <n v="0"/>
    <n v="3"/>
    <s v="DDSR"/>
    <x v="4"/>
    <n v="0"/>
    <n v="0"/>
    <n v="0"/>
    <n v="0"/>
    <x v="3"/>
  </r>
  <r>
    <n v="0"/>
    <n v="4"/>
    <s v="DDSR"/>
    <x v="4"/>
    <n v="0"/>
    <n v="0"/>
    <n v="0"/>
    <n v="0"/>
    <x v="3"/>
  </r>
  <r>
    <n v="0"/>
    <n v="5"/>
    <s v="DDSR"/>
    <x v="4"/>
    <n v="0"/>
    <n v="0"/>
    <n v="0"/>
    <n v="0"/>
    <x v="3"/>
  </r>
  <r>
    <n v="0"/>
    <n v="6"/>
    <s v="DDSR"/>
    <x v="4"/>
    <n v="0"/>
    <n v="0"/>
    <n v="0"/>
    <n v="0"/>
    <x v="3"/>
  </r>
  <r>
    <n v="0"/>
    <n v="7"/>
    <s v="DDSR"/>
    <x v="4"/>
    <n v="0"/>
    <n v="0"/>
    <n v="0"/>
    <n v="0"/>
    <x v="3"/>
  </r>
  <r>
    <n v="0"/>
    <n v="8"/>
    <s v="DDSR"/>
    <x v="4"/>
    <n v="0"/>
    <n v="0"/>
    <n v="0"/>
    <n v="0"/>
    <x v="3"/>
  </r>
  <r>
    <n v="0"/>
    <n v="1"/>
    <s v="DDSR"/>
    <x v="5"/>
    <n v="0"/>
    <n v="0"/>
    <n v="0"/>
    <n v="0"/>
    <x v="3"/>
  </r>
  <r>
    <n v="0"/>
    <n v="2"/>
    <s v="DDSR"/>
    <x v="5"/>
    <n v="0"/>
    <n v="0"/>
    <n v="0"/>
    <n v="0"/>
    <x v="3"/>
  </r>
  <r>
    <n v="0"/>
    <n v="3"/>
    <s v="DDSR"/>
    <x v="5"/>
    <n v="0"/>
    <n v="0"/>
    <n v="0"/>
    <n v="0"/>
    <x v="3"/>
  </r>
  <r>
    <n v="0"/>
    <n v="4"/>
    <s v="DDSR"/>
    <x v="5"/>
    <n v="0"/>
    <n v="0"/>
    <n v="0"/>
    <n v="0"/>
    <x v="3"/>
  </r>
  <r>
    <n v="0"/>
    <n v="5"/>
    <s v="DDSR"/>
    <x v="5"/>
    <n v="0"/>
    <n v="0"/>
    <n v="0"/>
    <n v="0"/>
    <x v="3"/>
  </r>
  <r>
    <n v="0"/>
    <n v="1"/>
    <s v="FDDPF"/>
    <x v="3"/>
    <n v="0"/>
    <n v="0"/>
    <n v="0"/>
    <n v="0"/>
    <x v="4"/>
  </r>
  <r>
    <n v="0"/>
    <n v="2"/>
    <s v="FDDPF"/>
    <x v="3"/>
    <n v="0"/>
    <n v="0"/>
    <n v="0"/>
    <n v="0"/>
    <x v="4"/>
  </r>
  <r>
    <n v="0"/>
    <n v="3"/>
    <s v="FDDPF"/>
    <x v="3"/>
    <n v="0"/>
    <n v="0"/>
    <n v="0"/>
    <n v="0"/>
    <x v="4"/>
  </r>
  <r>
    <n v="0"/>
    <n v="4"/>
    <s v="FDDPF"/>
    <x v="3"/>
    <n v="0"/>
    <n v="0"/>
    <n v="0"/>
    <n v="0"/>
    <x v="4"/>
  </r>
  <r>
    <n v="0"/>
    <n v="5"/>
    <s v="FDDPF"/>
    <x v="3"/>
    <n v="0"/>
    <n v="0"/>
    <n v="0"/>
    <n v="0"/>
    <x v="4"/>
  </r>
  <r>
    <n v="0"/>
    <n v="6"/>
    <s v="FDDPF"/>
    <x v="3"/>
    <n v="0"/>
    <n v="0"/>
    <n v="0"/>
    <n v="0"/>
    <x v="4"/>
  </r>
  <r>
    <n v="0"/>
    <n v="7"/>
    <s v="FDDPF"/>
    <x v="3"/>
    <n v="0"/>
    <n v="0"/>
    <n v="0"/>
    <n v="0"/>
    <x v="4"/>
  </r>
  <r>
    <n v="0"/>
    <n v="8"/>
    <s v="FDDPF"/>
    <x v="3"/>
    <n v="0"/>
    <n v="0"/>
    <n v="0"/>
    <n v="0"/>
    <x v="4"/>
  </r>
  <r>
    <n v="0"/>
    <n v="1"/>
    <s v="FDDPF"/>
    <x v="4"/>
    <n v="0"/>
    <n v="0"/>
    <n v="0"/>
    <n v="0"/>
    <x v="4"/>
  </r>
  <r>
    <n v="0"/>
    <n v="2"/>
    <s v="FDDPF"/>
    <x v="4"/>
    <n v="0"/>
    <n v="0"/>
    <n v="0"/>
    <n v="0"/>
    <x v="4"/>
  </r>
  <r>
    <n v="0"/>
    <n v="3"/>
    <s v="FDDPF"/>
    <x v="4"/>
    <n v="0"/>
    <n v="0"/>
    <n v="0"/>
    <n v="0"/>
    <x v="4"/>
  </r>
  <r>
    <n v="0"/>
    <n v="4"/>
    <s v="FDDPF"/>
    <x v="4"/>
    <n v="0"/>
    <n v="0"/>
    <n v="0"/>
    <n v="0"/>
    <x v="4"/>
  </r>
  <r>
    <n v="0"/>
    <n v="5"/>
    <s v="FDDPF"/>
    <x v="4"/>
    <n v="0"/>
    <n v="0"/>
    <n v="0"/>
    <n v="0"/>
    <x v="4"/>
  </r>
  <r>
    <n v="0"/>
    <n v="6"/>
    <s v="FDDPF"/>
    <x v="4"/>
    <n v="0"/>
    <n v="0"/>
    <n v="0"/>
    <n v="0"/>
    <x v="4"/>
  </r>
  <r>
    <n v="0"/>
    <n v="1"/>
    <s v="FDDSF"/>
    <x v="3"/>
    <n v="0"/>
    <n v="0"/>
    <n v="0"/>
    <m/>
    <x v="5"/>
  </r>
  <r>
    <n v="0"/>
    <n v="2"/>
    <s v="FDDSF"/>
    <x v="3"/>
    <n v="0"/>
    <n v="0"/>
    <n v="0"/>
    <m/>
    <x v="5"/>
  </r>
  <r>
    <n v="0"/>
    <n v="3"/>
    <s v="FDDSF"/>
    <x v="3"/>
    <n v="0"/>
    <n v="0"/>
    <n v="0"/>
    <m/>
    <x v="5"/>
  </r>
  <r>
    <n v="0"/>
    <n v="4"/>
    <s v="FDDSF"/>
    <x v="3"/>
    <n v="0"/>
    <n v="0"/>
    <n v="0"/>
    <m/>
    <x v="5"/>
  </r>
  <r>
    <n v="0"/>
    <n v="5"/>
    <s v="FDDSF"/>
    <x v="3"/>
    <n v="0"/>
    <n v="0"/>
    <n v="0"/>
    <m/>
    <x v="5"/>
  </r>
  <r>
    <n v="0"/>
    <n v="6"/>
    <s v="FDDSF"/>
    <x v="3"/>
    <n v="0"/>
    <n v="0"/>
    <n v="0"/>
    <m/>
    <x v="5"/>
  </r>
  <r>
    <n v="0"/>
    <n v="7"/>
    <s v="FDDSF"/>
    <x v="3"/>
    <n v="0"/>
    <n v="0"/>
    <n v="0"/>
    <m/>
    <x v="5"/>
  </r>
  <r>
    <n v="0"/>
    <n v="8"/>
    <s v="FDDSF"/>
    <x v="3"/>
    <n v="0"/>
    <n v="0"/>
    <n v="0"/>
    <m/>
    <x v="5"/>
  </r>
  <r>
    <n v="0"/>
    <n v="1"/>
    <s v="FDDSF"/>
    <x v="4"/>
    <n v="0"/>
    <n v="0"/>
    <n v="0"/>
    <m/>
    <x v="5"/>
  </r>
  <r>
    <n v="0"/>
    <n v="2"/>
    <s v="FDDSF"/>
    <x v="4"/>
    <n v="0"/>
    <n v="0"/>
    <n v="0"/>
    <m/>
    <x v="5"/>
  </r>
  <r>
    <n v="0"/>
    <n v="3"/>
    <s v="FDDSF"/>
    <x v="4"/>
    <n v="0"/>
    <n v="0"/>
    <n v="0"/>
    <m/>
    <x v="5"/>
  </r>
  <r>
    <n v="0"/>
    <n v="4"/>
    <s v="FDDSF"/>
    <x v="4"/>
    <n v="0"/>
    <n v="0"/>
    <n v="0"/>
    <m/>
    <x v="5"/>
  </r>
  <r>
    <n v="0"/>
    <n v="5"/>
    <s v="FDDSF"/>
    <x v="4"/>
    <n v="0"/>
    <n v="0"/>
    <n v="0"/>
    <m/>
    <x v="5"/>
  </r>
  <r>
    <n v="0"/>
    <n v="6"/>
    <s v="FDDSF"/>
    <x v="4"/>
    <n v="0"/>
    <n v="0"/>
    <n v="0"/>
    <m/>
    <x v="5"/>
  </r>
  <r>
    <n v="0"/>
    <n v="7"/>
    <s v="FDDSF"/>
    <x v="4"/>
    <n v="0"/>
    <n v="0"/>
    <n v="0"/>
    <m/>
    <x v="5"/>
  </r>
  <r>
    <n v="0"/>
    <n v="8"/>
    <s v="FDDSF"/>
    <x v="4"/>
    <n v="0"/>
    <n v="0"/>
    <n v="0"/>
    <m/>
    <x v="5"/>
  </r>
  <r>
    <n v="0"/>
    <n v="1"/>
    <s v="FSRF"/>
    <x v="6"/>
    <n v="0"/>
    <m/>
    <m/>
    <m/>
    <x v="6"/>
  </r>
  <r>
    <n v="0"/>
    <n v="2"/>
    <s v="FSRF"/>
    <x v="6"/>
    <n v="0"/>
    <m/>
    <m/>
    <m/>
    <x v="6"/>
  </r>
  <r>
    <n v="0"/>
    <n v="3"/>
    <s v="FSRF"/>
    <x v="6"/>
    <n v="0"/>
    <m/>
    <m/>
    <m/>
    <x v="6"/>
  </r>
  <r>
    <n v="0"/>
    <n v="4"/>
    <s v="FSRF"/>
    <x v="6"/>
    <n v="0"/>
    <m/>
    <m/>
    <m/>
    <x v="6"/>
  </r>
  <r>
    <n v="0"/>
    <n v="5"/>
    <s v="FSRF"/>
    <x v="6"/>
    <n v="0"/>
    <m/>
    <m/>
    <m/>
    <x v="6"/>
  </r>
  <r>
    <n v="0"/>
    <n v="6"/>
    <s v="FSRF"/>
    <x v="6"/>
    <n v="0"/>
    <m/>
    <m/>
    <m/>
    <x v="6"/>
  </r>
  <r>
    <n v="0"/>
    <n v="7"/>
    <s v="FSRF"/>
    <x v="6"/>
    <n v="0"/>
    <m/>
    <m/>
    <m/>
    <x v="6"/>
  </r>
  <r>
    <n v="0"/>
    <n v="8"/>
    <s v="FSRF"/>
    <x v="6"/>
    <n v="0"/>
    <m/>
    <m/>
    <m/>
    <x v="6"/>
  </r>
  <r>
    <n v="0"/>
    <n v="9"/>
    <s v="FSRF"/>
    <x v="6"/>
    <n v="0"/>
    <m/>
    <m/>
    <m/>
    <x v="6"/>
  </r>
  <r>
    <n v="0"/>
    <n v="10"/>
    <s v="FSRF"/>
    <x v="6"/>
    <n v="0"/>
    <m/>
    <m/>
    <m/>
    <x v="6"/>
  </r>
  <r>
    <n v="0"/>
    <n v="11"/>
    <s v="FSRF"/>
    <x v="6"/>
    <n v="0"/>
    <m/>
    <m/>
    <m/>
    <x v="6"/>
  </r>
  <r>
    <n v="0"/>
    <n v="12"/>
    <s v="FSRF"/>
    <x v="6"/>
    <n v="0"/>
    <m/>
    <m/>
    <m/>
    <x v="6"/>
  </r>
  <r>
    <n v="0"/>
    <n v="13"/>
    <s v="FSRF"/>
    <x v="6"/>
    <n v="0"/>
    <m/>
    <m/>
    <m/>
    <x v="6"/>
  </r>
  <r>
    <n v="0"/>
    <n v="14"/>
    <s v="FSRF"/>
    <x v="6"/>
    <n v="0"/>
    <m/>
    <m/>
    <m/>
    <x v="6"/>
  </r>
  <r>
    <n v="0"/>
    <n v="15"/>
    <s v="FSRF"/>
    <x v="6"/>
    <n v="0"/>
    <m/>
    <m/>
    <m/>
    <x v="6"/>
  </r>
  <r>
    <n v="0"/>
    <n v="16"/>
    <s v="FSRF"/>
    <x v="6"/>
    <n v="0"/>
    <m/>
    <m/>
    <m/>
    <x v="6"/>
  </r>
  <r>
    <n v="0"/>
    <n v="17"/>
    <s v="FSRF"/>
    <x v="6"/>
    <n v="0"/>
    <m/>
    <m/>
    <m/>
    <x v="6"/>
  </r>
  <r>
    <n v="0"/>
    <n v="18"/>
    <s v="FSRF"/>
    <x v="6"/>
    <n v="0"/>
    <m/>
    <m/>
    <m/>
    <x v="6"/>
  </r>
  <r>
    <n v="0"/>
    <n v="19"/>
    <s v="FSRF"/>
    <x v="6"/>
    <n v="0"/>
    <m/>
    <m/>
    <m/>
    <x v="6"/>
  </r>
  <r>
    <n v="0"/>
    <n v="20"/>
    <s v="FSRF"/>
    <x v="6"/>
    <n v="0"/>
    <m/>
    <m/>
    <m/>
    <x v="6"/>
  </r>
  <r>
    <n v="0"/>
    <n v="1"/>
    <s v="FSRF"/>
    <x v="7"/>
    <n v="0"/>
    <m/>
    <m/>
    <m/>
    <x v="6"/>
  </r>
  <r>
    <n v="0"/>
    <n v="2"/>
    <s v="FSRF"/>
    <x v="7"/>
    <n v="0"/>
    <m/>
    <m/>
    <m/>
    <x v="6"/>
  </r>
  <r>
    <n v="0"/>
    <n v="3"/>
    <s v="FSRF"/>
    <x v="7"/>
    <n v="0"/>
    <m/>
    <m/>
    <m/>
    <x v="6"/>
  </r>
  <r>
    <n v="0"/>
    <n v="4"/>
    <s v="FSRF"/>
    <x v="7"/>
    <n v="0"/>
    <m/>
    <m/>
    <m/>
    <x v="6"/>
  </r>
  <r>
    <n v="0"/>
    <n v="5"/>
    <s v="FSRF"/>
    <x v="7"/>
    <n v="0"/>
    <m/>
    <m/>
    <m/>
    <x v="6"/>
  </r>
  <r>
    <n v="0"/>
    <n v="6"/>
    <s v="FSRF"/>
    <x v="7"/>
    <n v="0"/>
    <m/>
    <m/>
    <m/>
    <x v="6"/>
  </r>
  <r>
    <n v="0"/>
    <n v="7"/>
    <s v="FSRF"/>
    <x v="7"/>
    <n v="0"/>
    <m/>
    <m/>
    <m/>
    <x v="6"/>
  </r>
  <r>
    <n v="0"/>
    <n v="8"/>
    <s v="FSRF"/>
    <x v="7"/>
    <n v="0"/>
    <m/>
    <m/>
    <m/>
    <x v="6"/>
  </r>
  <r>
    <n v="0"/>
    <n v="9"/>
    <s v="FSRF"/>
    <x v="7"/>
    <n v="0"/>
    <m/>
    <m/>
    <m/>
    <x v="6"/>
  </r>
  <r>
    <n v="0"/>
    <n v="10"/>
    <s v="FSRF"/>
    <x v="7"/>
    <n v="0"/>
    <m/>
    <m/>
    <m/>
    <x v="6"/>
  </r>
  <r>
    <n v="0"/>
    <n v="11"/>
    <s v="FSRF"/>
    <x v="7"/>
    <n v="0"/>
    <m/>
    <m/>
    <m/>
    <x v="6"/>
  </r>
  <r>
    <n v="0"/>
    <n v="12"/>
    <s v="FSRF"/>
    <x v="7"/>
    <n v="0"/>
    <m/>
    <m/>
    <m/>
    <x v="6"/>
  </r>
  <r>
    <n v="0"/>
    <n v="13"/>
    <s v="FSRF"/>
    <x v="7"/>
    <n v="0"/>
    <m/>
    <m/>
    <m/>
    <x v="6"/>
  </r>
  <r>
    <n v="0"/>
    <n v="14"/>
    <s v="FSRF"/>
    <x v="7"/>
    <n v="0"/>
    <m/>
    <m/>
    <m/>
    <x v="6"/>
  </r>
  <r>
    <n v="0"/>
    <n v="15"/>
    <s v="FSRF"/>
    <x v="7"/>
    <n v="0"/>
    <m/>
    <m/>
    <m/>
    <x v="6"/>
  </r>
  <r>
    <n v="0"/>
    <n v="16"/>
    <s v="FSRF"/>
    <x v="7"/>
    <n v="0"/>
    <m/>
    <m/>
    <m/>
    <x v="6"/>
  </r>
  <r>
    <n v="0"/>
    <n v="17"/>
    <s v="FSRF"/>
    <x v="7"/>
    <n v="0"/>
    <m/>
    <m/>
    <m/>
    <x v="6"/>
  </r>
  <r>
    <n v="0"/>
    <n v="18"/>
    <s v="FSRF"/>
    <x v="7"/>
    <n v="0"/>
    <m/>
    <m/>
    <m/>
    <x v="6"/>
  </r>
  <r>
    <n v="0"/>
    <n v="19"/>
    <s v="FSRF"/>
    <x v="7"/>
    <n v="0"/>
    <m/>
    <m/>
    <m/>
    <x v="6"/>
  </r>
  <r>
    <n v="0"/>
    <n v="20"/>
    <s v="FSRF"/>
    <x v="7"/>
    <n v="0"/>
    <m/>
    <m/>
    <m/>
    <x v="6"/>
  </r>
  <r>
    <n v="0"/>
    <n v="1"/>
    <s v="FSRF"/>
    <x v="8"/>
    <n v="0"/>
    <m/>
    <m/>
    <m/>
    <x v="6"/>
  </r>
  <r>
    <n v="0"/>
    <n v="2"/>
    <s v="FSRF"/>
    <x v="8"/>
    <n v="0"/>
    <m/>
    <m/>
    <m/>
    <x v="6"/>
  </r>
  <r>
    <n v="0"/>
    <n v="3"/>
    <s v="FSRF"/>
    <x v="8"/>
    <n v="0"/>
    <m/>
    <m/>
    <m/>
    <x v="6"/>
  </r>
  <r>
    <n v="0"/>
    <n v="4"/>
    <s v="FSRF"/>
    <x v="8"/>
    <n v="0"/>
    <m/>
    <m/>
    <m/>
    <x v="6"/>
  </r>
  <r>
    <n v="0"/>
    <n v="5"/>
    <s v="FSRF"/>
    <x v="8"/>
    <n v="0"/>
    <m/>
    <m/>
    <m/>
    <x v="6"/>
  </r>
  <r>
    <n v="0"/>
    <n v="6"/>
    <s v="FSRF"/>
    <x v="8"/>
    <n v="0"/>
    <m/>
    <m/>
    <m/>
    <x v="6"/>
  </r>
  <r>
    <n v="0"/>
    <n v="7"/>
    <s v="FSRF"/>
    <x v="8"/>
    <n v="0"/>
    <m/>
    <m/>
    <m/>
    <x v="6"/>
  </r>
  <r>
    <n v="0"/>
    <n v="8"/>
    <s v="FSRF"/>
    <x v="8"/>
    <n v="0"/>
    <m/>
    <m/>
    <m/>
    <x v="6"/>
  </r>
  <r>
    <n v="0"/>
    <n v="9"/>
    <s v="FSRF"/>
    <x v="8"/>
    <n v="0"/>
    <m/>
    <m/>
    <m/>
    <x v="6"/>
  </r>
  <r>
    <n v="0"/>
    <n v="10"/>
    <s v="FSRF"/>
    <x v="8"/>
    <n v="0"/>
    <m/>
    <m/>
    <m/>
    <x v="6"/>
  </r>
  <r>
    <n v="0"/>
    <n v="11"/>
    <s v="FSRF"/>
    <x v="8"/>
    <n v="0"/>
    <m/>
    <m/>
    <m/>
    <x v="6"/>
  </r>
  <r>
    <n v="0"/>
    <n v="12"/>
    <s v="FSRF"/>
    <x v="8"/>
    <n v="0"/>
    <m/>
    <m/>
    <m/>
    <x v="6"/>
  </r>
  <r>
    <n v="0"/>
    <n v="13"/>
    <s v="FSRF"/>
    <x v="8"/>
    <n v="0"/>
    <m/>
    <m/>
    <m/>
    <x v="6"/>
  </r>
  <r>
    <n v="0"/>
    <n v="14"/>
    <s v="FSRF"/>
    <x v="8"/>
    <n v="0"/>
    <m/>
    <m/>
    <m/>
    <x v="6"/>
  </r>
  <r>
    <n v="0"/>
    <n v="15"/>
    <s v="FSRF"/>
    <x v="8"/>
    <n v="0"/>
    <m/>
    <m/>
    <m/>
    <x v="6"/>
  </r>
  <r>
    <n v="0"/>
    <n v="16"/>
    <s v="FSRF"/>
    <x v="8"/>
    <n v="0"/>
    <m/>
    <m/>
    <m/>
    <x v="6"/>
  </r>
  <r>
    <n v="0"/>
    <n v="17"/>
    <s v="FSRF"/>
    <x v="8"/>
    <n v="0"/>
    <m/>
    <m/>
    <m/>
    <x v="6"/>
  </r>
  <r>
    <n v="0"/>
    <n v="18"/>
    <s v="FSRF"/>
    <x v="8"/>
    <n v="0"/>
    <m/>
    <m/>
    <m/>
    <x v="6"/>
  </r>
  <r>
    <n v="0"/>
    <n v="19"/>
    <s v="FSRF"/>
    <x v="8"/>
    <n v="0"/>
    <m/>
    <m/>
    <m/>
    <x v="6"/>
  </r>
  <r>
    <n v="0"/>
    <n v="20"/>
    <s v="FSRF"/>
    <x v="8"/>
    <n v="0"/>
    <m/>
    <m/>
    <m/>
    <x v="6"/>
  </r>
  <r>
    <n v="0"/>
    <n v="1"/>
    <s v="FSRF"/>
    <x v="9"/>
    <n v="0"/>
    <m/>
    <m/>
    <m/>
    <x v="6"/>
  </r>
  <r>
    <n v="0"/>
    <n v="2"/>
    <s v="FSRF"/>
    <x v="9"/>
    <n v="0"/>
    <m/>
    <m/>
    <m/>
    <x v="6"/>
  </r>
  <r>
    <n v="0"/>
    <n v="3"/>
    <s v="FSRF"/>
    <x v="9"/>
    <n v="0"/>
    <m/>
    <m/>
    <m/>
    <x v="6"/>
  </r>
  <r>
    <n v="0"/>
    <n v="4"/>
    <s v="FSRF"/>
    <x v="9"/>
    <n v="0"/>
    <m/>
    <m/>
    <m/>
    <x v="6"/>
  </r>
  <r>
    <n v="0"/>
    <n v="5"/>
    <s v="FSRF"/>
    <x v="9"/>
    <n v="0"/>
    <m/>
    <m/>
    <m/>
    <x v="6"/>
  </r>
  <r>
    <n v="0"/>
    <n v="6"/>
    <s v="FSRF"/>
    <x v="9"/>
    <n v="0"/>
    <m/>
    <m/>
    <m/>
    <x v="6"/>
  </r>
  <r>
    <n v="0"/>
    <n v="7"/>
    <s v="FSRF"/>
    <x v="9"/>
    <n v="0"/>
    <m/>
    <m/>
    <m/>
    <x v="6"/>
  </r>
  <r>
    <n v="0"/>
    <n v="8"/>
    <s v="FSRF"/>
    <x v="9"/>
    <n v="0"/>
    <m/>
    <m/>
    <m/>
    <x v="6"/>
  </r>
  <r>
    <n v="0"/>
    <n v="9"/>
    <s v="FSRF"/>
    <x v="9"/>
    <n v="0"/>
    <m/>
    <m/>
    <m/>
    <x v="6"/>
  </r>
  <r>
    <n v="0"/>
    <n v="10"/>
    <s v="FSRF"/>
    <x v="9"/>
    <n v="0"/>
    <m/>
    <m/>
    <m/>
    <x v="6"/>
  </r>
  <r>
    <n v="0"/>
    <n v="11"/>
    <s v="FSRF"/>
    <x v="9"/>
    <n v="0"/>
    <m/>
    <m/>
    <m/>
    <x v="6"/>
  </r>
  <r>
    <n v="0"/>
    <n v="12"/>
    <s v="FSRF"/>
    <x v="9"/>
    <n v="0"/>
    <m/>
    <m/>
    <m/>
    <x v="6"/>
  </r>
  <r>
    <n v="0"/>
    <n v="13"/>
    <s v="FSRF"/>
    <x v="9"/>
    <n v="0"/>
    <m/>
    <m/>
    <m/>
    <x v="6"/>
  </r>
  <r>
    <n v="0"/>
    <n v="14"/>
    <s v="FSRF"/>
    <x v="9"/>
    <n v="0"/>
    <m/>
    <m/>
    <m/>
    <x v="6"/>
  </r>
  <r>
    <n v="0"/>
    <n v="15"/>
    <s v="FSRF"/>
    <x v="9"/>
    <n v="0"/>
    <m/>
    <m/>
    <m/>
    <x v="6"/>
  </r>
  <r>
    <n v="0"/>
    <n v="16"/>
    <s v="FSRF"/>
    <x v="9"/>
    <n v="0"/>
    <m/>
    <m/>
    <m/>
    <x v="6"/>
  </r>
  <r>
    <n v="0"/>
    <n v="17"/>
    <s v="FSRF"/>
    <x v="9"/>
    <n v="0"/>
    <m/>
    <m/>
    <m/>
    <x v="6"/>
  </r>
  <r>
    <n v="0"/>
    <n v="18"/>
    <s v="FSRF"/>
    <x v="9"/>
    <n v="0"/>
    <m/>
    <m/>
    <m/>
    <x v="6"/>
  </r>
  <r>
    <n v="0"/>
    <n v="19"/>
    <s v="FSRF"/>
    <x v="9"/>
    <n v="0"/>
    <m/>
    <m/>
    <m/>
    <x v="6"/>
  </r>
  <r>
    <n v="0"/>
    <n v="20"/>
    <s v="FSRF"/>
    <x v="9"/>
    <n v="0"/>
    <m/>
    <m/>
    <m/>
    <x v="6"/>
  </r>
  <r>
    <n v="0"/>
    <n v="1"/>
    <s v="FSRF"/>
    <x v="10"/>
    <n v="0"/>
    <m/>
    <m/>
    <m/>
    <x v="6"/>
  </r>
  <r>
    <n v="0"/>
    <n v="2"/>
    <s v="FSRF"/>
    <x v="10"/>
    <n v="0"/>
    <m/>
    <m/>
    <m/>
    <x v="6"/>
  </r>
  <r>
    <n v="0"/>
    <n v="3"/>
    <s v="FSRF"/>
    <x v="10"/>
    <n v="0"/>
    <m/>
    <m/>
    <m/>
    <x v="6"/>
  </r>
  <r>
    <n v="0"/>
    <n v="4"/>
    <s v="FSRF"/>
    <x v="10"/>
    <n v="0"/>
    <m/>
    <m/>
    <m/>
    <x v="6"/>
  </r>
  <r>
    <n v="0"/>
    <n v="5"/>
    <s v="FSRF"/>
    <x v="10"/>
    <n v="0"/>
    <m/>
    <m/>
    <m/>
    <x v="6"/>
  </r>
  <r>
    <n v="0"/>
    <n v="6"/>
    <s v="FSRF"/>
    <x v="10"/>
    <n v="0"/>
    <m/>
    <m/>
    <m/>
    <x v="6"/>
  </r>
  <r>
    <n v="0"/>
    <n v="7"/>
    <s v="FSRF"/>
    <x v="10"/>
    <n v="0"/>
    <m/>
    <m/>
    <m/>
    <x v="6"/>
  </r>
  <r>
    <n v="0"/>
    <n v="8"/>
    <s v="FSRF"/>
    <x v="10"/>
    <n v="0"/>
    <m/>
    <m/>
    <m/>
    <x v="6"/>
  </r>
  <r>
    <n v="0"/>
    <n v="9"/>
    <s v="FSRF"/>
    <x v="10"/>
    <n v="0"/>
    <m/>
    <m/>
    <m/>
    <x v="6"/>
  </r>
  <r>
    <n v="0"/>
    <n v="10"/>
    <s v="FSRF"/>
    <x v="10"/>
    <n v="0"/>
    <m/>
    <m/>
    <m/>
    <x v="6"/>
  </r>
  <r>
    <n v="0"/>
    <n v="11"/>
    <s v="FSRF"/>
    <x v="10"/>
    <n v="0"/>
    <m/>
    <m/>
    <m/>
    <x v="6"/>
  </r>
  <r>
    <n v="0"/>
    <n v="12"/>
    <s v="FSRF"/>
    <x v="10"/>
    <n v="0"/>
    <m/>
    <m/>
    <m/>
    <x v="6"/>
  </r>
  <r>
    <n v="0"/>
    <n v="13"/>
    <s v="FSRF"/>
    <x v="10"/>
    <n v="0"/>
    <m/>
    <m/>
    <m/>
    <x v="6"/>
  </r>
  <r>
    <n v="0"/>
    <n v="14"/>
    <s v="FSRF"/>
    <x v="10"/>
    <n v="0"/>
    <m/>
    <m/>
    <m/>
    <x v="6"/>
  </r>
  <r>
    <n v="0"/>
    <n v="15"/>
    <s v="FSRF"/>
    <x v="10"/>
    <n v="0"/>
    <m/>
    <m/>
    <m/>
    <x v="6"/>
  </r>
  <r>
    <n v="0"/>
    <n v="16"/>
    <s v="FSRF"/>
    <x v="10"/>
    <n v="0"/>
    <m/>
    <m/>
    <m/>
    <x v="6"/>
  </r>
  <r>
    <n v="0"/>
    <n v="17"/>
    <s v="FSRF"/>
    <x v="10"/>
    <n v="0"/>
    <m/>
    <m/>
    <m/>
    <x v="6"/>
  </r>
  <r>
    <n v="0"/>
    <n v="18"/>
    <s v="FSRF"/>
    <x v="10"/>
    <n v="0"/>
    <m/>
    <m/>
    <m/>
    <x v="6"/>
  </r>
  <r>
    <n v="0"/>
    <n v="19"/>
    <s v="FSRF"/>
    <x v="10"/>
    <n v="0"/>
    <m/>
    <m/>
    <m/>
    <x v="6"/>
  </r>
  <r>
    <n v="0"/>
    <n v="20"/>
    <s v="FSRF"/>
    <x v="10"/>
    <n v="0"/>
    <m/>
    <m/>
    <m/>
    <x v="6"/>
  </r>
  <r>
    <n v="0"/>
    <n v="1"/>
    <s v="FSRF"/>
    <x v="11"/>
    <n v="0"/>
    <m/>
    <m/>
    <m/>
    <x v="6"/>
  </r>
  <r>
    <n v="0"/>
    <n v="2"/>
    <s v="FSRF"/>
    <x v="11"/>
    <n v="0"/>
    <m/>
    <m/>
    <m/>
    <x v="6"/>
  </r>
  <r>
    <n v="0"/>
    <n v="3"/>
    <s v="FSRF"/>
    <x v="11"/>
    <n v="0"/>
    <m/>
    <m/>
    <m/>
    <x v="6"/>
  </r>
  <r>
    <n v="0"/>
    <n v="4"/>
    <s v="FSRF"/>
    <x v="11"/>
    <n v="0"/>
    <m/>
    <m/>
    <m/>
    <x v="6"/>
  </r>
  <r>
    <n v="0"/>
    <n v="5"/>
    <s v="FSRF"/>
    <x v="11"/>
    <n v="0"/>
    <m/>
    <m/>
    <m/>
    <x v="6"/>
  </r>
  <r>
    <n v="0"/>
    <n v="6"/>
    <s v="FSRF"/>
    <x v="11"/>
    <n v="0"/>
    <m/>
    <m/>
    <m/>
    <x v="6"/>
  </r>
  <r>
    <n v="0"/>
    <n v="7"/>
    <s v="FSRF"/>
    <x v="11"/>
    <n v="0"/>
    <m/>
    <m/>
    <m/>
    <x v="6"/>
  </r>
  <r>
    <n v="0"/>
    <n v="8"/>
    <s v="FSRF"/>
    <x v="11"/>
    <n v="0"/>
    <m/>
    <m/>
    <m/>
    <x v="6"/>
  </r>
  <r>
    <n v="0"/>
    <n v="9"/>
    <s v="FSRF"/>
    <x v="11"/>
    <n v="0"/>
    <m/>
    <m/>
    <m/>
    <x v="6"/>
  </r>
  <r>
    <n v="0"/>
    <n v="10"/>
    <s v="FSRF"/>
    <x v="11"/>
    <n v="0"/>
    <m/>
    <m/>
    <m/>
    <x v="6"/>
  </r>
  <r>
    <n v="0"/>
    <n v="11"/>
    <s v="FSRF"/>
    <x v="11"/>
    <n v="0"/>
    <m/>
    <m/>
    <m/>
    <x v="6"/>
  </r>
  <r>
    <n v="0"/>
    <n v="12"/>
    <s v="FSRF"/>
    <x v="11"/>
    <n v="0"/>
    <m/>
    <m/>
    <m/>
    <x v="6"/>
  </r>
  <r>
    <n v="0"/>
    <n v="13"/>
    <s v="FSRF"/>
    <x v="11"/>
    <n v="0"/>
    <m/>
    <m/>
    <m/>
    <x v="6"/>
  </r>
  <r>
    <n v="0"/>
    <n v="14"/>
    <s v="FSRF"/>
    <x v="11"/>
    <n v="0"/>
    <m/>
    <m/>
    <m/>
    <x v="6"/>
  </r>
  <r>
    <n v="0"/>
    <n v="15"/>
    <s v="FSRF"/>
    <x v="11"/>
    <n v="0"/>
    <m/>
    <m/>
    <m/>
    <x v="6"/>
  </r>
  <r>
    <n v="0"/>
    <n v="16"/>
    <s v="FSRF"/>
    <x v="11"/>
    <n v="0"/>
    <m/>
    <m/>
    <m/>
    <x v="6"/>
  </r>
  <r>
    <n v="0"/>
    <n v="17"/>
    <s v="FSRF"/>
    <x v="11"/>
    <n v="0"/>
    <m/>
    <m/>
    <m/>
    <x v="6"/>
  </r>
  <r>
    <n v="0"/>
    <n v="18"/>
    <s v="FSRF"/>
    <x v="11"/>
    <n v="0"/>
    <m/>
    <m/>
    <m/>
    <x v="6"/>
  </r>
  <r>
    <n v="0"/>
    <n v="19"/>
    <s v="FSRF"/>
    <x v="11"/>
    <n v="0"/>
    <m/>
    <m/>
    <m/>
    <x v="6"/>
  </r>
  <r>
    <n v="0"/>
    <n v="20"/>
    <s v="FSRF"/>
    <x v="11"/>
    <n v="0"/>
    <m/>
    <m/>
    <m/>
    <x v="6"/>
  </r>
  <r>
    <n v="0"/>
    <n v="1"/>
    <s v="FSRF"/>
    <x v="12"/>
    <n v="0"/>
    <m/>
    <m/>
    <m/>
    <x v="6"/>
  </r>
  <r>
    <n v="0"/>
    <n v="2"/>
    <s v="FSRF"/>
    <x v="12"/>
    <n v="0"/>
    <m/>
    <m/>
    <m/>
    <x v="6"/>
  </r>
  <r>
    <n v="0"/>
    <n v="3"/>
    <s v="FSRF"/>
    <x v="12"/>
    <n v="0"/>
    <m/>
    <m/>
    <m/>
    <x v="6"/>
  </r>
  <r>
    <n v="0"/>
    <n v="4"/>
    <s v="FSRF"/>
    <x v="12"/>
    <n v="0"/>
    <m/>
    <m/>
    <m/>
    <x v="6"/>
  </r>
  <r>
    <n v="0"/>
    <n v="5"/>
    <s v="FSRF"/>
    <x v="12"/>
    <n v="0"/>
    <m/>
    <m/>
    <m/>
    <x v="6"/>
  </r>
  <r>
    <n v="0"/>
    <n v="6"/>
    <s v="FSRF"/>
    <x v="12"/>
    <n v="0"/>
    <m/>
    <m/>
    <m/>
    <x v="6"/>
  </r>
  <r>
    <n v="0"/>
    <n v="7"/>
    <s v="FSRF"/>
    <x v="12"/>
    <n v="0"/>
    <m/>
    <m/>
    <m/>
    <x v="6"/>
  </r>
  <r>
    <n v="0"/>
    <n v="8"/>
    <s v="FSRF"/>
    <x v="12"/>
    <n v="0"/>
    <m/>
    <m/>
    <m/>
    <x v="6"/>
  </r>
  <r>
    <n v="0"/>
    <n v="9"/>
    <s v="FSRF"/>
    <x v="12"/>
    <n v="0"/>
    <m/>
    <m/>
    <m/>
    <x v="6"/>
  </r>
  <r>
    <n v="0"/>
    <n v="10"/>
    <s v="FSRF"/>
    <x v="12"/>
    <n v="0"/>
    <m/>
    <m/>
    <m/>
    <x v="6"/>
  </r>
  <r>
    <n v="0"/>
    <n v="11"/>
    <s v="FSRF"/>
    <x v="12"/>
    <n v="0"/>
    <m/>
    <m/>
    <m/>
    <x v="6"/>
  </r>
  <r>
    <n v="0"/>
    <n v="12"/>
    <s v="FSRF"/>
    <x v="12"/>
    <n v="0"/>
    <m/>
    <m/>
    <m/>
    <x v="6"/>
  </r>
  <r>
    <n v="0"/>
    <n v="13"/>
    <s v="FSRF"/>
    <x v="12"/>
    <n v="0"/>
    <m/>
    <m/>
    <m/>
    <x v="6"/>
  </r>
  <r>
    <n v="0"/>
    <n v="14"/>
    <s v="FSRF"/>
    <x v="12"/>
    <n v="0"/>
    <m/>
    <m/>
    <m/>
    <x v="6"/>
  </r>
  <r>
    <n v="0"/>
    <n v="15"/>
    <s v="FSRF"/>
    <x v="12"/>
    <n v="0"/>
    <m/>
    <m/>
    <m/>
    <x v="6"/>
  </r>
  <r>
    <n v="0"/>
    <n v="16"/>
    <s v="FSRF"/>
    <x v="12"/>
    <n v="0"/>
    <m/>
    <m/>
    <m/>
    <x v="6"/>
  </r>
  <r>
    <n v="0"/>
    <n v="17"/>
    <s v="FSRF"/>
    <x v="12"/>
    <n v="0"/>
    <m/>
    <m/>
    <m/>
    <x v="6"/>
  </r>
  <r>
    <n v="0"/>
    <n v="18"/>
    <s v="FSRF"/>
    <x v="12"/>
    <n v="0"/>
    <m/>
    <m/>
    <m/>
    <x v="6"/>
  </r>
  <r>
    <n v="0"/>
    <n v="19"/>
    <s v="FSRF"/>
    <x v="12"/>
    <n v="0"/>
    <m/>
    <m/>
    <m/>
    <x v="6"/>
  </r>
  <r>
    <n v="0"/>
    <n v="20"/>
    <s v="FSRF"/>
    <x v="12"/>
    <n v="0"/>
    <m/>
    <m/>
    <m/>
    <x v="6"/>
  </r>
  <r>
    <n v="0"/>
    <n v="1"/>
    <s v="FSRF"/>
    <x v="13"/>
    <n v="0"/>
    <m/>
    <m/>
    <m/>
    <x v="6"/>
  </r>
  <r>
    <n v="0"/>
    <n v="2"/>
    <s v="FSRF"/>
    <x v="13"/>
    <n v="0"/>
    <m/>
    <m/>
    <m/>
    <x v="6"/>
  </r>
  <r>
    <n v="0"/>
    <n v="3"/>
    <s v="FSRF"/>
    <x v="13"/>
    <n v="0"/>
    <m/>
    <m/>
    <m/>
    <x v="6"/>
  </r>
  <r>
    <n v="0"/>
    <n v="4"/>
    <s v="FSRF"/>
    <x v="13"/>
    <n v="0"/>
    <m/>
    <m/>
    <m/>
    <x v="6"/>
  </r>
  <r>
    <n v="0"/>
    <n v="5"/>
    <s v="FSRF"/>
    <x v="13"/>
    <n v="0"/>
    <m/>
    <m/>
    <m/>
    <x v="6"/>
  </r>
  <r>
    <n v="0"/>
    <n v="6"/>
    <s v="FSRF"/>
    <x v="13"/>
    <n v="0"/>
    <m/>
    <m/>
    <m/>
    <x v="6"/>
  </r>
  <r>
    <n v="0"/>
    <n v="7"/>
    <s v="FSRF"/>
    <x v="13"/>
    <n v="0"/>
    <m/>
    <m/>
    <m/>
    <x v="6"/>
  </r>
  <r>
    <n v="0"/>
    <n v="8"/>
    <s v="FSRF"/>
    <x v="13"/>
    <n v="0"/>
    <m/>
    <m/>
    <m/>
    <x v="6"/>
  </r>
  <r>
    <n v="0"/>
    <n v="9"/>
    <s v="FSRF"/>
    <x v="13"/>
    <n v="0"/>
    <m/>
    <m/>
    <m/>
    <x v="6"/>
  </r>
  <r>
    <n v="0"/>
    <n v="10"/>
    <s v="FSRF"/>
    <x v="13"/>
    <n v="0"/>
    <m/>
    <m/>
    <m/>
    <x v="6"/>
  </r>
  <r>
    <n v="0"/>
    <n v="11"/>
    <s v="FSRF"/>
    <x v="13"/>
    <n v="0"/>
    <m/>
    <m/>
    <m/>
    <x v="6"/>
  </r>
  <r>
    <n v="0"/>
    <n v="12"/>
    <s v="FSRF"/>
    <x v="13"/>
    <n v="0"/>
    <m/>
    <m/>
    <m/>
    <x v="6"/>
  </r>
  <r>
    <n v="0"/>
    <n v="13"/>
    <s v="FSRF"/>
    <x v="13"/>
    <n v="0"/>
    <m/>
    <m/>
    <m/>
    <x v="6"/>
  </r>
  <r>
    <n v="0"/>
    <n v="14"/>
    <s v="FSRF"/>
    <x v="13"/>
    <n v="0"/>
    <m/>
    <m/>
    <m/>
    <x v="6"/>
  </r>
  <r>
    <n v="0"/>
    <n v="15"/>
    <s v="FSRF"/>
    <x v="13"/>
    <n v="0"/>
    <m/>
    <m/>
    <m/>
    <x v="6"/>
  </r>
  <r>
    <n v="0"/>
    <n v="16"/>
    <s v="FSRF"/>
    <x v="13"/>
    <n v="0"/>
    <m/>
    <m/>
    <m/>
    <x v="6"/>
  </r>
  <r>
    <n v="0"/>
    <n v="17"/>
    <s v="FSRF"/>
    <x v="13"/>
    <n v="0"/>
    <m/>
    <m/>
    <m/>
    <x v="6"/>
  </r>
  <r>
    <n v="0"/>
    <n v="18"/>
    <s v="FSRF"/>
    <x v="13"/>
    <n v="0"/>
    <m/>
    <m/>
    <m/>
    <x v="6"/>
  </r>
  <r>
    <n v="0"/>
    <n v="19"/>
    <s v="FSRF"/>
    <x v="13"/>
    <n v="0"/>
    <m/>
    <m/>
    <m/>
    <x v="6"/>
  </r>
  <r>
    <n v="0"/>
    <n v="20"/>
    <s v="FSRF"/>
    <x v="13"/>
    <n v="0"/>
    <m/>
    <m/>
    <m/>
    <x v="6"/>
  </r>
  <r>
    <n v="0"/>
    <n v="1"/>
    <s v="FSRF"/>
    <x v="14"/>
    <n v="0"/>
    <m/>
    <m/>
    <m/>
    <x v="6"/>
  </r>
  <r>
    <n v="0"/>
    <n v="2"/>
    <s v="FSRF"/>
    <x v="14"/>
    <n v="0"/>
    <m/>
    <m/>
    <m/>
    <x v="6"/>
  </r>
  <r>
    <n v="0"/>
    <n v="3"/>
    <s v="FSRF"/>
    <x v="14"/>
    <n v="0"/>
    <m/>
    <m/>
    <m/>
    <x v="6"/>
  </r>
  <r>
    <n v="0"/>
    <n v="4"/>
    <s v="FSRF"/>
    <x v="14"/>
    <n v="0"/>
    <m/>
    <m/>
    <m/>
    <x v="6"/>
  </r>
  <r>
    <n v="0"/>
    <n v="5"/>
    <s v="FSRF"/>
    <x v="14"/>
    <n v="0"/>
    <m/>
    <m/>
    <m/>
    <x v="6"/>
  </r>
  <r>
    <n v="0"/>
    <n v="6"/>
    <s v="FSRF"/>
    <x v="14"/>
    <n v="0"/>
    <m/>
    <m/>
    <m/>
    <x v="6"/>
  </r>
  <r>
    <n v="0"/>
    <n v="7"/>
    <s v="FSRF"/>
    <x v="14"/>
    <n v="0"/>
    <m/>
    <m/>
    <m/>
    <x v="6"/>
  </r>
  <r>
    <n v="0"/>
    <n v="8"/>
    <s v="FSRF"/>
    <x v="14"/>
    <n v="0"/>
    <m/>
    <m/>
    <m/>
    <x v="6"/>
  </r>
  <r>
    <n v="0"/>
    <n v="9"/>
    <s v="FSRF"/>
    <x v="14"/>
    <n v="0"/>
    <m/>
    <m/>
    <m/>
    <x v="6"/>
  </r>
  <r>
    <n v="0"/>
    <n v="10"/>
    <s v="FSRF"/>
    <x v="14"/>
    <n v="0"/>
    <m/>
    <m/>
    <m/>
    <x v="6"/>
  </r>
  <r>
    <n v="0"/>
    <n v="11"/>
    <s v="FSRF"/>
    <x v="14"/>
    <n v="0"/>
    <m/>
    <m/>
    <m/>
    <x v="6"/>
  </r>
  <r>
    <n v="0"/>
    <n v="12"/>
    <s v="FSRF"/>
    <x v="14"/>
    <n v="0"/>
    <m/>
    <m/>
    <m/>
    <x v="6"/>
  </r>
  <r>
    <n v="0"/>
    <n v="13"/>
    <s v="FSRF"/>
    <x v="14"/>
    <n v="0"/>
    <m/>
    <m/>
    <m/>
    <x v="6"/>
  </r>
  <r>
    <n v="0"/>
    <n v="14"/>
    <s v="FSRF"/>
    <x v="14"/>
    <n v="0"/>
    <m/>
    <m/>
    <m/>
    <x v="6"/>
  </r>
  <r>
    <n v="0"/>
    <n v="15"/>
    <s v="FSRF"/>
    <x v="14"/>
    <n v="0"/>
    <m/>
    <m/>
    <m/>
    <x v="6"/>
  </r>
  <r>
    <n v="0"/>
    <n v="16"/>
    <s v="FSRF"/>
    <x v="14"/>
    <n v="0"/>
    <m/>
    <m/>
    <m/>
    <x v="6"/>
  </r>
  <r>
    <n v="0"/>
    <n v="17"/>
    <s v="FSRF"/>
    <x v="14"/>
    <n v="0"/>
    <m/>
    <m/>
    <m/>
    <x v="6"/>
  </r>
  <r>
    <n v="0"/>
    <n v="18"/>
    <s v="FSRF"/>
    <x v="14"/>
    <n v="0"/>
    <m/>
    <m/>
    <m/>
    <x v="6"/>
  </r>
  <r>
    <n v="0"/>
    <n v="19"/>
    <s v="FSRF"/>
    <x v="14"/>
    <n v="0"/>
    <m/>
    <m/>
    <m/>
    <x v="6"/>
  </r>
  <r>
    <n v="0"/>
    <n v="20"/>
    <s v="FSRF"/>
    <x v="14"/>
    <n v="0"/>
    <m/>
    <m/>
    <m/>
    <x v="6"/>
  </r>
  <r>
    <n v="0"/>
    <n v="1"/>
    <s v="FSRF"/>
    <x v="15"/>
    <n v="0"/>
    <m/>
    <m/>
    <m/>
    <x v="6"/>
  </r>
  <r>
    <n v="0"/>
    <n v="2"/>
    <s v="FSRF"/>
    <x v="15"/>
    <n v="0"/>
    <m/>
    <m/>
    <m/>
    <x v="6"/>
  </r>
  <r>
    <n v="0"/>
    <n v="3"/>
    <s v="FSRF"/>
    <x v="15"/>
    <n v="0"/>
    <m/>
    <m/>
    <m/>
    <x v="6"/>
  </r>
  <r>
    <n v="0"/>
    <n v="4"/>
    <s v="FSRF"/>
    <x v="15"/>
    <n v="0"/>
    <m/>
    <m/>
    <m/>
    <x v="6"/>
  </r>
  <r>
    <n v="0"/>
    <n v="5"/>
    <s v="FSRF"/>
    <x v="15"/>
    <n v="0"/>
    <m/>
    <m/>
    <m/>
    <x v="6"/>
  </r>
  <r>
    <n v="0"/>
    <n v="6"/>
    <s v="FSRF"/>
    <x v="15"/>
    <n v="0"/>
    <m/>
    <m/>
    <m/>
    <x v="6"/>
  </r>
  <r>
    <n v="0"/>
    <n v="7"/>
    <s v="FSRF"/>
    <x v="15"/>
    <n v="0"/>
    <m/>
    <m/>
    <m/>
    <x v="6"/>
  </r>
  <r>
    <n v="0"/>
    <n v="8"/>
    <s v="FSRF"/>
    <x v="15"/>
    <n v="0"/>
    <m/>
    <m/>
    <m/>
    <x v="6"/>
  </r>
  <r>
    <n v="0"/>
    <n v="1"/>
    <s v="FSRF"/>
    <x v="16"/>
    <n v="0"/>
    <m/>
    <m/>
    <m/>
    <x v="6"/>
  </r>
  <r>
    <n v="0"/>
    <n v="2"/>
    <s v="FSRF"/>
    <x v="16"/>
    <n v="0"/>
    <m/>
    <m/>
    <m/>
    <x v="6"/>
  </r>
  <r>
    <n v="0"/>
    <n v="3"/>
    <s v="FSRF"/>
    <x v="16"/>
    <n v="0"/>
    <m/>
    <m/>
    <m/>
    <x v="6"/>
  </r>
  <r>
    <n v="0"/>
    <n v="4"/>
    <s v="FSRF"/>
    <x v="16"/>
    <n v="0"/>
    <m/>
    <m/>
    <m/>
    <x v="6"/>
  </r>
  <r>
    <n v="0"/>
    <n v="5"/>
    <s v="FSRF"/>
    <x v="16"/>
    <n v="0"/>
    <m/>
    <m/>
    <m/>
    <x v="6"/>
  </r>
  <r>
    <n v="0"/>
    <n v="6"/>
    <s v="FSRF"/>
    <x v="16"/>
    <n v="0"/>
    <m/>
    <m/>
    <m/>
    <x v="6"/>
  </r>
  <r>
    <n v="0"/>
    <n v="7"/>
    <s v="FSRF"/>
    <x v="16"/>
    <n v="0"/>
    <m/>
    <m/>
    <m/>
    <x v="6"/>
  </r>
  <r>
    <n v="0"/>
    <n v="8"/>
    <s v="FSRF"/>
    <x v="16"/>
    <n v="0"/>
    <m/>
    <m/>
    <m/>
    <x v="6"/>
  </r>
  <r>
    <n v="0"/>
    <n v="1"/>
    <s v="FSRF"/>
    <x v="17"/>
    <n v="0"/>
    <m/>
    <m/>
    <m/>
    <x v="6"/>
  </r>
  <r>
    <n v="0"/>
    <n v="2"/>
    <s v="FSRF"/>
    <x v="17"/>
    <n v="0"/>
    <m/>
    <m/>
    <m/>
    <x v="6"/>
  </r>
  <r>
    <n v="0"/>
    <n v="3"/>
    <s v="FSRF"/>
    <x v="17"/>
    <n v="0"/>
    <m/>
    <m/>
    <m/>
    <x v="6"/>
  </r>
  <r>
    <n v="0"/>
    <n v="4"/>
    <s v="FSRF"/>
    <x v="17"/>
    <n v="0"/>
    <m/>
    <m/>
    <m/>
    <x v="6"/>
  </r>
  <r>
    <n v="0"/>
    <n v="5"/>
    <s v="FSRF"/>
    <x v="17"/>
    <n v="0"/>
    <m/>
    <m/>
    <m/>
    <x v="6"/>
  </r>
  <r>
    <n v="0"/>
    <n v="1"/>
    <s v="FSRF"/>
    <x v="18"/>
    <n v="0"/>
    <m/>
    <m/>
    <m/>
    <x v="6"/>
  </r>
  <r>
    <n v="0"/>
    <n v="2"/>
    <s v="FSRF"/>
    <x v="18"/>
    <n v="0"/>
    <m/>
    <m/>
    <m/>
    <x v="6"/>
  </r>
  <r>
    <n v="0"/>
    <n v="3"/>
    <s v="FSRF"/>
    <x v="18"/>
    <n v="0"/>
    <m/>
    <m/>
    <m/>
    <x v="6"/>
  </r>
  <r>
    <n v="0"/>
    <n v="4"/>
    <s v="FSRF"/>
    <x v="18"/>
    <n v="0"/>
    <m/>
    <m/>
    <m/>
    <x v="6"/>
  </r>
  <r>
    <n v="0"/>
    <n v="5"/>
    <s v="FSRF"/>
    <x v="18"/>
    <n v="0"/>
    <m/>
    <m/>
    <m/>
    <x v="6"/>
  </r>
  <r>
    <n v="0"/>
    <n v="1"/>
    <s v="FSRF"/>
    <x v="19"/>
    <n v="0"/>
    <m/>
    <m/>
    <m/>
    <x v="6"/>
  </r>
  <r>
    <n v="0"/>
    <n v="2"/>
    <s v="FSRF"/>
    <x v="19"/>
    <n v="0"/>
    <m/>
    <m/>
    <m/>
    <x v="6"/>
  </r>
  <r>
    <n v="0"/>
    <n v="3"/>
    <s v="FSRF"/>
    <x v="19"/>
    <n v="0"/>
    <m/>
    <m/>
    <m/>
    <x v="6"/>
  </r>
  <r>
    <n v="0"/>
    <n v="4"/>
    <s v="FSRF"/>
    <x v="19"/>
    <n v="0"/>
    <m/>
    <m/>
    <m/>
    <x v="6"/>
  </r>
  <r>
    <n v="0"/>
    <n v="5"/>
    <s v="FSRF"/>
    <x v="19"/>
    <n v="0"/>
    <m/>
    <m/>
    <m/>
    <x v="6"/>
  </r>
  <r>
    <n v="0"/>
    <n v="6"/>
    <s v="FSRF"/>
    <x v="19"/>
    <n v="0"/>
    <m/>
    <m/>
    <m/>
    <x v="6"/>
  </r>
  <r>
    <n v="0"/>
    <n v="7"/>
    <s v="FSRF"/>
    <x v="19"/>
    <n v="0"/>
    <m/>
    <m/>
    <m/>
    <x v="6"/>
  </r>
  <r>
    <n v="0"/>
    <n v="8"/>
    <s v="FSRF"/>
    <x v="19"/>
    <n v="0"/>
    <m/>
    <m/>
    <m/>
    <x v="6"/>
  </r>
  <r>
    <n v="0"/>
    <n v="9"/>
    <s v="FSRF"/>
    <x v="19"/>
    <n v="0"/>
    <m/>
    <m/>
    <m/>
    <x v="6"/>
  </r>
  <r>
    <n v="0"/>
    <n v="10"/>
    <s v="FSRF"/>
    <x v="19"/>
    <n v="0"/>
    <m/>
    <m/>
    <m/>
    <x v="6"/>
  </r>
  <r>
    <n v="0"/>
    <n v="11"/>
    <s v="FSRF"/>
    <x v="19"/>
    <n v="0"/>
    <m/>
    <m/>
    <m/>
    <x v="6"/>
  </r>
  <r>
    <n v="0"/>
    <n v="12"/>
    <s v="FSRF"/>
    <x v="19"/>
    <n v="0"/>
    <m/>
    <m/>
    <m/>
    <x v="6"/>
  </r>
  <r>
    <n v="0"/>
    <n v="13"/>
    <s v="FSRF"/>
    <x v="19"/>
    <n v="0"/>
    <m/>
    <m/>
    <m/>
    <x v="6"/>
  </r>
  <r>
    <n v="0"/>
    <n v="14"/>
    <s v="FSRF"/>
    <x v="19"/>
    <n v="0"/>
    <m/>
    <m/>
    <m/>
    <x v="6"/>
  </r>
  <r>
    <n v="0"/>
    <n v="15"/>
    <s v="FSRF"/>
    <x v="19"/>
    <n v="0"/>
    <m/>
    <m/>
    <m/>
    <x v="6"/>
  </r>
  <r>
    <n v="0"/>
    <n v="16"/>
    <s v="FSRF"/>
    <x v="19"/>
    <n v="0"/>
    <m/>
    <m/>
    <m/>
    <x v="6"/>
  </r>
  <r>
    <n v="0"/>
    <n v="17"/>
    <s v="FSRF"/>
    <x v="19"/>
    <n v="0"/>
    <m/>
    <m/>
    <m/>
    <x v="6"/>
  </r>
  <r>
    <n v="0"/>
    <n v="18"/>
    <s v="FSRF"/>
    <x v="19"/>
    <n v="0"/>
    <m/>
    <m/>
    <m/>
    <x v="6"/>
  </r>
  <r>
    <n v="0"/>
    <n v="19"/>
    <s v="FSRF"/>
    <x v="19"/>
    <n v="0"/>
    <m/>
    <m/>
    <m/>
    <x v="6"/>
  </r>
  <r>
    <n v="0"/>
    <n v="20"/>
    <s v="FSRF"/>
    <x v="19"/>
    <n v="0"/>
    <m/>
    <m/>
    <m/>
    <x v="6"/>
  </r>
  <r>
    <n v="0"/>
    <n v="1"/>
    <s v="FSRPF"/>
    <x v="3"/>
    <n v="0"/>
    <n v="0"/>
    <m/>
    <m/>
    <x v="7"/>
  </r>
  <r>
    <n v="0"/>
    <n v="2"/>
    <s v="FSRPF"/>
    <x v="3"/>
    <n v="0"/>
    <n v="0"/>
    <m/>
    <m/>
    <x v="7"/>
  </r>
  <r>
    <n v="0"/>
    <n v="3"/>
    <s v="FSRPF"/>
    <x v="3"/>
    <n v="0"/>
    <n v="0"/>
    <m/>
    <m/>
    <x v="7"/>
  </r>
  <r>
    <n v="0"/>
    <n v="4"/>
    <s v="FSRPF"/>
    <x v="3"/>
    <n v="0"/>
    <n v="0"/>
    <m/>
    <m/>
    <x v="7"/>
  </r>
  <r>
    <n v="0"/>
    <n v="5"/>
    <s v="FSRPF"/>
    <x v="3"/>
    <n v="0"/>
    <n v="0"/>
    <m/>
    <m/>
    <x v="7"/>
  </r>
  <r>
    <n v="0"/>
    <n v="6"/>
    <s v="FSRPF"/>
    <x v="3"/>
    <n v="0"/>
    <n v="0"/>
    <m/>
    <m/>
    <x v="7"/>
  </r>
  <r>
    <n v="0"/>
    <n v="7"/>
    <s v="FSRPF"/>
    <x v="3"/>
    <n v="0"/>
    <n v="0"/>
    <m/>
    <m/>
    <x v="7"/>
  </r>
  <r>
    <n v="0"/>
    <n v="8"/>
    <s v="FSRPF"/>
    <x v="3"/>
    <n v="0"/>
    <n v="0"/>
    <m/>
    <m/>
    <x v="7"/>
  </r>
  <r>
    <n v="0"/>
    <n v="1"/>
    <s v="FSRPF"/>
    <x v="4"/>
    <n v="0"/>
    <n v="0"/>
    <m/>
    <m/>
    <x v="7"/>
  </r>
  <r>
    <n v="0"/>
    <n v="2"/>
    <s v="FSRPF"/>
    <x v="4"/>
    <n v="0"/>
    <n v="0"/>
    <m/>
    <m/>
    <x v="7"/>
  </r>
  <r>
    <n v="0"/>
    <n v="3"/>
    <s v="FSRPF"/>
    <x v="4"/>
    <n v="0"/>
    <n v="0"/>
    <m/>
    <m/>
    <x v="7"/>
  </r>
  <r>
    <n v="0"/>
    <n v="4"/>
    <s v="FSRPF"/>
    <x v="4"/>
    <n v="0"/>
    <n v="0"/>
    <m/>
    <m/>
    <x v="7"/>
  </r>
  <r>
    <n v="0"/>
    <n v="5"/>
    <s v="FSRPF"/>
    <x v="4"/>
    <n v="0"/>
    <n v="0"/>
    <m/>
    <m/>
    <x v="7"/>
  </r>
  <r>
    <n v="0"/>
    <n v="6"/>
    <s v="FSRPF"/>
    <x v="4"/>
    <n v="0"/>
    <n v="0"/>
    <m/>
    <m/>
    <x v="7"/>
  </r>
  <r>
    <n v="0"/>
    <n v="7"/>
    <s v="FSRPF"/>
    <x v="4"/>
    <n v="0"/>
    <n v="0"/>
    <m/>
    <m/>
    <x v="7"/>
  </r>
  <r>
    <n v="0"/>
    <n v="8"/>
    <s v="FSRPF"/>
    <x v="4"/>
    <n v="0"/>
    <n v="0"/>
    <m/>
    <m/>
    <x v="7"/>
  </r>
  <r>
    <n v="0"/>
    <n v="1"/>
    <s v="FSRS"/>
    <x v="6"/>
    <n v="0"/>
    <m/>
    <m/>
    <m/>
    <x v="8"/>
  </r>
  <r>
    <n v="0"/>
    <n v="2"/>
    <s v="FSRS"/>
    <x v="6"/>
    <n v="0"/>
    <m/>
    <m/>
    <m/>
    <x v="8"/>
  </r>
  <r>
    <n v="0"/>
    <n v="3"/>
    <s v="FSRS"/>
    <x v="6"/>
    <n v="0"/>
    <m/>
    <m/>
    <m/>
    <x v="8"/>
  </r>
  <r>
    <n v="0"/>
    <n v="4"/>
    <s v="FSRS"/>
    <x v="6"/>
    <n v="0"/>
    <m/>
    <m/>
    <m/>
    <x v="8"/>
  </r>
  <r>
    <n v="0"/>
    <n v="5"/>
    <s v="FSRS"/>
    <x v="6"/>
    <n v="0"/>
    <m/>
    <m/>
    <m/>
    <x v="8"/>
  </r>
  <r>
    <n v="0"/>
    <n v="6"/>
    <s v="FSRS"/>
    <x v="6"/>
    <n v="0"/>
    <m/>
    <m/>
    <m/>
    <x v="8"/>
  </r>
  <r>
    <n v="0"/>
    <n v="7"/>
    <s v="FSRS"/>
    <x v="6"/>
    <n v="0"/>
    <m/>
    <m/>
    <m/>
    <x v="8"/>
  </r>
  <r>
    <n v="0"/>
    <n v="8"/>
    <s v="FSRS"/>
    <x v="6"/>
    <n v="0"/>
    <m/>
    <m/>
    <m/>
    <x v="8"/>
  </r>
  <r>
    <n v="0"/>
    <n v="9"/>
    <s v="FSRS"/>
    <x v="6"/>
    <n v="0"/>
    <m/>
    <m/>
    <m/>
    <x v="8"/>
  </r>
  <r>
    <n v="0"/>
    <n v="10"/>
    <s v="FSRS"/>
    <x v="6"/>
    <n v="0"/>
    <m/>
    <m/>
    <m/>
    <x v="8"/>
  </r>
  <r>
    <n v="0"/>
    <n v="11"/>
    <s v="FSRS"/>
    <x v="6"/>
    <n v="0"/>
    <m/>
    <m/>
    <m/>
    <x v="8"/>
  </r>
  <r>
    <n v="0"/>
    <n v="12"/>
    <s v="FSRS"/>
    <x v="6"/>
    <n v="0"/>
    <m/>
    <m/>
    <m/>
    <x v="8"/>
  </r>
  <r>
    <n v="0"/>
    <n v="13"/>
    <s v="FSRS"/>
    <x v="6"/>
    <n v="0"/>
    <m/>
    <m/>
    <m/>
    <x v="8"/>
  </r>
  <r>
    <n v="0"/>
    <n v="14"/>
    <s v="FSRS"/>
    <x v="6"/>
    <n v="0"/>
    <m/>
    <m/>
    <m/>
    <x v="8"/>
  </r>
  <r>
    <n v="0"/>
    <n v="15"/>
    <s v="FSRS"/>
    <x v="6"/>
    <n v="0"/>
    <m/>
    <m/>
    <m/>
    <x v="8"/>
  </r>
  <r>
    <n v="0"/>
    <n v="16"/>
    <s v="FSRS"/>
    <x v="6"/>
    <n v="0"/>
    <m/>
    <m/>
    <m/>
    <x v="8"/>
  </r>
  <r>
    <n v="0"/>
    <n v="17"/>
    <s v="FSRS"/>
    <x v="6"/>
    <n v="0"/>
    <m/>
    <m/>
    <m/>
    <x v="8"/>
  </r>
  <r>
    <n v="0"/>
    <n v="18"/>
    <s v="FSRS"/>
    <x v="6"/>
    <n v="0"/>
    <m/>
    <m/>
    <m/>
    <x v="8"/>
  </r>
  <r>
    <n v="0"/>
    <n v="19"/>
    <s v="FSRS"/>
    <x v="6"/>
    <n v="0"/>
    <m/>
    <m/>
    <m/>
    <x v="8"/>
  </r>
  <r>
    <n v="0"/>
    <n v="20"/>
    <s v="FSRS"/>
    <x v="6"/>
    <n v="0"/>
    <m/>
    <m/>
    <m/>
    <x v="8"/>
  </r>
  <r>
    <n v="0"/>
    <n v="1"/>
    <s v="FSRS"/>
    <x v="7"/>
    <n v="0"/>
    <m/>
    <m/>
    <m/>
    <x v="8"/>
  </r>
  <r>
    <n v="0"/>
    <n v="2"/>
    <s v="FSRS"/>
    <x v="7"/>
    <n v="0"/>
    <m/>
    <m/>
    <m/>
    <x v="8"/>
  </r>
  <r>
    <n v="0"/>
    <n v="3"/>
    <s v="FSRS"/>
    <x v="7"/>
    <n v="0"/>
    <m/>
    <m/>
    <m/>
    <x v="8"/>
  </r>
  <r>
    <n v="0"/>
    <n v="4"/>
    <s v="FSRS"/>
    <x v="7"/>
    <n v="0"/>
    <m/>
    <m/>
    <m/>
    <x v="8"/>
  </r>
  <r>
    <n v="0"/>
    <n v="5"/>
    <s v="FSRS"/>
    <x v="7"/>
    <n v="0"/>
    <m/>
    <m/>
    <m/>
    <x v="8"/>
  </r>
  <r>
    <n v="0"/>
    <n v="6"/>
    <s v="FSRS"/>
    <x v="7"/>
    <n v="0"/>
    <m/>
    <m/>
    <m/>
    <x v="8"/>
  </r>
  <r>
    <n v="0"/>
    <n v="7"/>
    <s v="FSRS"/>
    <x v="7"/>
    <n v="0"/>
    <m/>
    <m/>
    <m/>
    <x v="8"/>
  </r>
  <r>
    <n v="0"/>
    <n v="8"/>
    <s v="FSRS"/>
    <x v="7"/>
    <n v="0"/>
    <m/>
    <m/>
    <m/>
    <x v="8"/>
  </r>
  <r>
    <n v="0"/>
    <n v="9"/>
    <s v="FSRS"/>
    <x v="7"/>
    <n v="0"/>
    <m/>
    <m/>
    <m/>
    <x v="8"/>
  </r>
  <r>
    <n v="0"/>
    <n v="10"/>
    <s v="FSRS"/>
    <x v="7"/>
    <n v="0"/>
    <m/>
    <m/>
    <m/>
    <x v="8"/>
  </r>
  <r>
    <n v="0"/>
    <n v="11"/>
    <s v="FSRS"/>
    <x v="7"/>
    <n v="0"/>
    <m/>
    <m/>
    <m/>
    <x v="8"/>
  </r>
  <r>
    <n v="0"/>
    <n v="12"/>
    <s v="FSRS"/>
    <x v="7"/>
    <n v="0"/>
    <m/>
    <m/>
    <m/>
    <x v="8"/>
  </r>
  <r>
    <n v="0"/>
    <n v="13"/>
    <s v="FSRS"/>
    <x v="7"/>
    <n v="0"/>
    <m/>
    <m/>
    <m/>
    <x v="8"/>
  </r>
  <r>
    <n v="0"/>
    <n v="14"/>
    <s v="FSRS"/>
    <x v="7"/>
    <n v="0"/>
    <m/>
    <m/>
    <m/>
    <x v="8"/>
  </r>
  <r>
    <n v="0"/>
    <n v="15"/>
    <s v="FSRS"/>
    <x v="7"/>
    <n v="0"/>
    <m/>
    <m/>
    <m/>
    <x v="8"/>
  </r>
  <r>
    <n v="0"/>
    <n v="16"/>
    <s v="FSRS"/>
    <x v="7"/>
    <n v="0"/>
    <m/>
    <m/>
    <m/>
    <x v="8"/>
  </r>
  <r>
    <n v="0"/>
    <n v="17"/>
    <s v="FSRS"/>
    <x v="7"/>
    <n v="0"/>
    <m/>
    <m/>
    <m/>
    <x v="8"/>
  </r>
  <r>
    <n v="0"/>
    <n v="18"/>
    <s v="FSRS"/>
    <x v="7"/>
    <n v="0"/>
    <m/>
    <m/>
    <m/>
    <x v="8"/>
  </r>
  <r>
    <n v="0"/>
    <n v="19"/>
    <s v="FSRS"/>
    <x v="7"/>
    <n v="0"/>
    <m/>
    <m/>
    <m/>
    <x v="8"/>
  </r>
  <r>
    <n v="0"/>
    <n v="20"/>
    <s v="FSRS"/>
    <x v="7"/>
    <n v="0"/>
    <m/>
    <m/>
    <m/>
    <x v="8"/>
  </r>
  <r>
    <n v="0"/>
    <n v="1"/>
    <s v="FSRS"/>
    <x v="8"/>
    <n v="0"/>
    <m/>
    <m/>
    <m/>
    <x v="8"/>
  </r>
  <r>
    <n v="0"/>
    <n v="2"/>
    <s v="FSRS"/>
    <x v="8"/>
    <n v="0"/>
    <m/>
    <m/>
    <m/>
    <x v="8"/>
  </r>
  <r>
    <n v="0"/>
    <n v="3"/>
    <s v="FSRS"/>
    <x v="8"/>
    <n v="0"/>
    <m/>
    <m/>
    <m/>
    <x v="8"/>
  </r>
  <r>
    <n v="0"/>
    <n v="4"/>
    <s v="FSRS"/>
    <x v="8"/>
    <n v="0"/>
    <m/>
    <m/>
    <m/>
    <x v="8"/>
  </r>
  <r>
    <n v="0"/>
    <n v="5"/>
    <s v="FSRS"/>
    <x v="8"/>
    <n v="0"/>
    <m/>
    <m/>
    <m/>
    <x v="8"/>
  </r>
  <r>
    <n v="0"/>
    <n v="6"/>
    <s v="FSRS"/>
    <x v="8"/>
    <n v="0"/>
    <m/>
    <m/>
    <m/>
    <x v="8"/>
  </r>
  <r>
    <n v="0"/>
    <n v="7"/>
    <s v="FSRS"/>
    <x v="8"/>
    <n v="0"/>
    <m/>
    <m/>
    <m/>
    <x v="8"/>
  </r>
  <r>
    <n v="0"/>
    <n v="8"/>
    <s v="FSRS"/>
    <x v="8"/>
    <n v="0"/>
    <m/>
    <m/>
    <m/>
    <x v="8"/>
  </r>
  <r>
    <n v="0"/>
    <n v="9"/>
    <s v="FSRS"/>
    <x v="8"/>
    <n v="0"/>
    <m/>
    <m/>
    <m/>
    <x v="8"/>
  </r>
  <r>
    <n v="0"/>
    <n v="10"/>
    <s v="FSRS"/>
    <x v="8"/>
    <n v="0"/>
    <m/>
    <m/>
    <m/>
    <x v="8"/>
  </r>
  <r>
    <n v="0"/>
    <n v="11"/>
    <s v="FSRS"/>
    <x v="8"/>
    <n v="0"/>
    <m/>
    <m/>
    <m/>
    <x v="8"/>
  </r>
  <r>
    <n v="0"/>
    <n v="12"/>
    <s v="FSRS"/>
    <x v="8"/>
    <n v="0"/>
    <m/>
    <m/>
    <m/>
    <x v="8"/>
  </r>
  <r>
    <n v="0"/>
    <n v="13"/>
    <s v="FSRS"/>
    <x v="8"/>
    <n v="0"/>
    <m/>
    <m/>
    <m/>
    <x v="8"/>
  </r>
  <r>
    <n v="0"/>
    <n v="14"/>
    <s v="FSRS"/>
    <x v="8"/>
    <n v="0"/>
    <m/>
    <m/>
    <m/>
    <x v="8"/>
  </r>
  <r>
    <n v="0"/>
    <n v="15"/>
    <s v="FSRS"/>
    <x v="8"/>
    <n v="0"/>
    <m/>
    <m/>
    <m/>
    <x v="8"/>
  </r>
  <r>
    <n v="0"/>
    <n v="16"/>
    <s v="FSRS"/>
    <x v="8"/>
    <n v="0"/>
    <m/>
    <m/>
    <m/>
    <x v="8"/>
  </r>
  <r>
    <n v="0"/>
    <n v="17"/>
    <s v="FSRS"/>
    <x v="8"/>
    <n v="0"/>
    <m/>
    <m/>
    <m/>
    <x v="8"/>
  </r>
  <r>
    <n v="0"/>
    <n v="18"/>
    <s v="FSRS"/>
    <x v="8"/>
    <n v="0"/>
    <m/>
    <m/>
    <m/>
    <x v="8"/>
  </r>
  <r>
    <n v="0"/>
    <n v="19"/>
    <s v="FSRS"/>
    <x v="8"/>
    <n v="0"/>
    <m/>
    <m/>
    <m/>
    <x v="8"/>
  </r>
  <r>
    <n v="0"/>
    <n v="20"/>
    <s v="FSRS"/>
    <x v="8"/>
    <n v="0"/>
    <m/>
    <m/>
    <m/>
    <x v="8"/>
  </r>
  <r>
    <n v="0"/>
    <n v="1"/>
    <s v="FSRS"/>
    <x v="9"/>
    <n v="0"/>
    <m/>
    <m/>
    <m/>
    <x v="8"/>
  </r>
  <r>
    <n v="0"/>
    <n v="2"/>
    <s v="FSRS"/>
    <x v="9"/>
    <n v="0"/>
    <m/>
    <m/>
    <m/>
    <x v="8"/>
  </r>
  <r>
    <n v="0"/>
    <n v="3"/>
    <s v="FSRS"/>
    <x v="9"/>
    <n v="0"/>
    <m/>
    <m/>
    <m/>
    <x v="8"/>
  </r>
  <r>
    <n v="0"/>
    <n v="4"/>
    <s v="FSRS"/>
    <x v="9"/>
    <n v="0"/>
    <m/>
    <m/>
    <m/>
    <x v="8"/>
  </r>
  <r>
    <n v="0"/>
    <n v="5"/>
    <s v="FSRS"/>
    <x v="9"/>
    <n v="0"/>
    <m/>
    <m/>
    <m/>
    <x v="8"/>
  </r>
  <r>
    <n v="0"/>
    <n v="6"/>
    <s v="FSRS"/>
    <x v="9"/>
    <n v="0"/>
    <m/>
    <m/>
    <m/>
    <x v="8"/>
  </r>
  <r>
    <n v="0"/>
    <n v="7"/>
    <s v="FSRS"/>
    <x v="9"/>
    <n v="0"/>
    <m/>
    <m/>
    <m/>
    <x v="8"/>
  </r>
  <r>
    <n v="0"/>
    <n v="8"/>
    <s v="FSRS"/>
    <x v="9"/>
    <n v="0"/>
    <m/>
    <m/>
    <m/>
    <x v="8"/>
  </r>
  <r>
    <n v="0"/>
    <n v="9"/>
    <s v="FSRS"/>
    <x v="9"/>
    <n v="0"/>
    <m/>
    <m/>
    <m/>
    <x v="8"/>
  </r>
  <r>
    <n v="0"/>
    <n v="10"/>
    <s v="FSRS"/>
    <x v="9"/>
    <n v="0"/>
    <m/>
    <m/>
    <m/>
    <x v="8"/>
  </r>
  <r>
    <n v="0"/>
    <n v="11"/>
    <s v="FSRS"/>
    <x v="9"/>
    <n v="0"/>
    <m/>
    <m/>
    <m/>
    <x v="8"/>
  </r>
  <r>
    <n v="0"/>
    <n v="12"/>
    <s v="FSRS"/>
    <x v="9"/>
    <n v="0"/>
    <m/>
    <m/>
    <m/>
    <x v="8"/>
  </r>
  <r>
    <n v="0"/>
    <n v="13"/>
    <s v="FSRS"/>
    <x v="9"/>
    <n v="0"/>
    <m/>
    <m/>
    <m/>
    <x v="8"/>
  </r>
  <r>
    <n v="0"/>
    <n v="14"/>
    <s v="FSRS"/>
    <x v="9"/>
    <n v="0"/>
    <m/>
    <m/>
    <m/>
    <x v="8"/>
  </r>
  <r>
    <n v="0"/>
    <n v="15"/>
    <s v="FSRS"/>
    <x v="9"/>
    <n v="0"/>
    <m/>
    <m/>
    <m/>
    <x v="8"/>
  </r>
  <r>
    <n v="0"/>
    <n v="16"/>
    <s v="FSRS"/>
    <x v="9"/>
    <n v="0"/>
    <m/>
    <m/>
    <m/>
    <x v="8"/>
  </r>
  <r>
    <n v="0"/>
    <n v="17"/>
    <s v="FSRS"/>
    <x v="9"/>
    <n v="0"/>
    <m/>
    <m/>
    <m/>
    <x v="8"/>
  </r>
  <r>
    <n v="0"/>
    <n v="18"/>
    <s v="FSRS"/>
    <x v="9"/>
    <n v="0"/>
    <m/>
    <m/>
    <m/>
    <x v="8"/>
  </r>
  <r>
    <n v="0"/>
    <n v="19"/>
    <s v="FSRS"/>
    <x v="9"/>
    <n v="0"/>
    <m/>
    <m/>
    <m/>
    <x v="8"/>
  </r>
  <r>
    <n v="0"/>
    <n v="20"/>
    <s v="FSRS"/>
    <x v="9"/>
    <n v="0"/>
    <m/>
    <m/>
    <m/>
    <x v="8"/>
  </r>
  <r>
    <n v="0"/>
    <n v="1"/>
    <s v="FSRS"/>
    <x v="10"/>
    <n v="0"/>
    <m/>
    <m/>
    <m/>
    <x v="8"/>
  </r>
  <r>
    <n v="0"/>
    <n v="2"/>
    <s v="FSRS"/>
    <x v="10"/>
    <n v="0"/>
    <m/>
    <m/>
    <m/>
    <x v="8"/>
  </r>
  <r>
    <n v="0"/>
    <n v="3"/>
    <s v="FSRS"/>
    <x v="10"/>
    <n v="0"/>
    <m/>
    <m/>
    <m/>
    <x v="8"/>
  </r>
  <r>
    <n v="0"/>
    <n v="4"/>
    <s v="FSRS"/>
    <x v="10"/>
    <n v="0"/>
    <m/>
    <m/>
    <m/>
    <x v="8"/>
  </r>
  <r>
    <n v="0"/>
    <n v="5"/>
    <s v="FSRS"/>
    <x v="10"/>
    <n v="0"/>
    <m/>
    <m/>
    <m/>
    <x v="8"/>
  </r>
  <r>
    <n v="0"/>
    <n v="6"/>
    <s v="FSRS"/>
    <x v="10"/>
    <n v="0"/>
    <m/>
    <m/>
    <m/>
    <x v="8"/>
  </r>
  <r>
    <n v="0"/>
    <n v="7"/>
    <s v="FSRS"/>
    <x v="10"/>
    <n v="0"/>
    <m/>
    <m/>
    <m/>
    <x v="8"/>
  </r>
  <r>
    <n v="0"/>
    <n v="8"/>
    <s v="FSRS"/>
    <x v="10"/>
    <n v="0"/>
    <m/>
    <m/>
    <m/>
    <x v="8"/>
  </r>
  <r>
    <n v="0"/>
    <n v="9"/>
    <s v="FSRS"/>
    <x v="10"/>
    <n v="0"/>
    <m/>
    <m/>
    <m/>
    <x v="8"/>
  </r>
  <r>
    <n v="0"/>
    <n v="10"/>
    <s v="FSRS"/>
    <x v="10"/>
    <n v="0"/>
    <m/>
    <m/>
    <m/>
    <x v="8"/>
  </r>
  <r>
    <n v="0"/>
    <n v="11"/>
    <s v="FSRS"/>
    <x v="10"/>
    <n v="0"/>
    <m/>
    <m/>
    <m/>
    <x v="8"/>
  </r>
  <r>
    <n v="0"/>
    <n v="12"/>
    <s v="FSRS"/>
    <x v="10"/>
    <n v="0"/>
    <m/>
    <m/>
    <m/>
    <x v="8"/>
  </r>
  <r>
    <n v="0"/>
    <n v="13"/>
    <s v="FSRS"/>
    <x v="10"/>
    <n v="0"/>
    <m/>
    <m/>
    <m/>
    <x v="8"/>
  </r>
  <r>
    <n v="0"/>
    <n v="14"/>
    <s v="FSRS"/>
    <x v="10"/>
    <n v="0"/>
    <m/>
    <m/>
    <m/>
    <x v="8"/>
  </r>
  <r>
    <n v="0"/>
    <n v="15"/>
    <s v="FSRS"/>
    <x v="10"/>
    <n v="0"/>
    <m/>
    <m/>
    <m/>
    <x v="8"/>
  </r>
  <r>
    <n v="0"/>
    <n v="16"/>
    <s v="FSRS"/>
    <x v="10"/>
    <n v="0"/>
    <m/>
    <m/>
    <m/>
    <x v="8"/>
  </r>
  <r>
    <n v="0"/>
    <n v="17"/>
    <s v="FSRS"/>
    <x v="10"/>
    <n v="0"/>
    <m/>
    <m/>
    <m/>
    <x v="8"/>
  </r>
  <r>
    <n v="0"/>
    <n v="18"/>
    <s v="FSRS"/>
    <x v="10"/>
    <n v="0"/>
    <m/>
    <m/>
    <m/>
    <x v="8"/>
  </r>
  <r>
    <n v="0"/>
    <n v="19"/>
    <s v="FSRS"/>
    <x v="10"/>
    <n v="0"/>
    <m/>
    <m/>
    <m/>
    <x v="8"/>
  </r>
  <r>
    <n v="0"/>
    <n v="20"/>
    <s v="FSRS"/>
    <x v="10"/>
    <n v="0"/>
    <m/>
    <m/>
    <m/>
    <x v="8"/>
  </r>
  <r>
    <n v="0"/>
    <n v="1"/>
    <s v="FSRS"/>
    <x v="11"/>
    <n v="0"/>
    <m/>
    <m/>
    <m/>
    <x v="8"/>
  </r>
  <r>
    <n v="0"/>
    <n v="2"/>
    <s v="FSRS"/>
    <x v="11"/>
    <n v="0"/>
    <m/>
    <m/>
    <m/>
    <x v="8"/>
  </r>
  <r>
    <n v="0"/>
    <n v="3"/>
    <s v="FSRS"/>
    <x v="11"/>
    <n v="0"/>
    <m/>
    <m/>
    <m/>
    <x v="8"/>
  </r>
  <r>
    <n v="0"/>
    <n v="4"/>
    <s v="FSRS"/>
    <x v="11"/>
    <n v="0"/>
    <m/>
    <m/>
    <m/>
    <x v="8"/>
  </r>
  <r>
    <n v="0"/>
    <n v="5"/>
    <s v="FSRS"/>
    <x v="11"/>
    <n v="0"/>
    <m/>
    <m/>
    <m/>
    <x v="8"/>
  </r>
  <r>
    <n v="0"/>
    <n v="6"/>
    <s v="FSRS"/>
    <x v="11"/>
    <n v="0"/>
    <m/>
    <m/>
    <m/>
    <x v="8"/>
  </r>
  <r>
    <n v="0"/>
    <n v="7"/>
    <s v="FSRS"/>
    <x v="11"/>
    <n v="0"/>
    <m/>
    <m/>
    <m/>
    <x v="8"/>
  </r>
  <r>
    <n v="0"/>
    <n v="8"/>
    <s v="FSRS"/>
    <x v="11"/>
    <n v="0"/>
    <m/>
    <m/>
    <m/>
    <x v="8"/>
  </r>
  <r>
    <n v="0"/>
    <n v="9"/>
    <s v="FSRS"/>
    <x v="11"/>
    <n v="0"/>
    <m/>
    <m/>
    <m/>
    <x v="8"/>
  </r>
  <r>
    <n v="0"/>
    <n v="10"/>
    <s v="FSRS"/>
    <x v="11"/>
    <n v="0"/>
    <m/>
    <m/>
    <m/>
    <x v="8"/>
  </r>
  <r>
    <n v="0"/>
    <n v="11"/>
    <s v="FSRS"/>
    <x v="11"/>
    <n v="0"/>
    <m/>
    <m/>
    <m/>
    <x v="8"/>
  </r>
  <r>
    <n v="0"/>
    <n v="12"/>
    <s v="FSRS"/>
    <x v="11"/>
    <n v="0"/>
    <m/>
    <m/>
    <m/>
    <x v="8"/>
  </r>
  <r>
    <n v="0"/>
    <n v="13"/>
    <s v="FSRS"/>
    <x v="11"/>
    <n v="0"/>
    <m/>
    <m/>
    <m/>
    <x v="8"/>
  </r>
  <r>
    <n v="0"/>
    <n v="14"/>
    <s v="FSRS"/>
    <x v="11"/>
    <n v="0"/>
    <m/>
    <m/>
    <m/>
    <x v="8"/>
  </r>
  <r>
    <n v="0"/>
    <n v="15"/>
    <s v="FSRS"/>
    <x v="11"/>
    <n v="0"/>
    <m/>
    <m/>
    <m/>
    <x v="8"/>
  </r>
  <r>
    <n v="0"/>
    <n v="16"/>
    <s v="FSRS"/>
    <x v="11"/>
    <n v="0"/>
    <m/>
    <m/>
    <m/>
    <x v="8"/>
  </r>
  <r>
    <n v="0"/>
    <n v="17"/>
    <s v="FSRS"/>
    <x v="11"/>
    <n v="0"/>
    <m/>
    <m/>
    <m/>
    <x v="8"/>
  </r>
  <r>
    <n v="0"/>
    <n v="18"/>
    <s v="FSRS"/>
    <x v="11"/>
    <n v="0"/>
    <m/>
    <m/>
    <m/>
    <x v="8"/>
  </r>
  <r>
    <n v="0"/>
    <n v="19"/>
    <s v="FSRS"/>
    <x v="11"/>
    <n v="0"/>
    <m/>
    <m/>
    <m/>
    <x v="8"/>
  </r>
  <r>
    <n v="0"/>
    <n v="20"/>
    <s v="FSRS"/>
    <x v="11"/>
    <n v="0"/>
    <m/>
    <m/>
    <m/>
    <x v="8"/>
  </r>
  <r>
    <n v="0"/>
    <n v="1"/>
    <s v="FSRS"/>
    <x v="12"/>
    <n v="0"/>
    <m/>
    <m/>
    <m/>
    <x v="8"/>
  </r>
  <r>
    <n v="0"/>
    <n v="2"/>
    <s v="FSRS"/>
    <x v="12"/>
    <n v="0"/>
    <m/>
    <m/>
    <m/>
    <x v="8"/>
  </r>
  <r>
    <n v="0"/>
    <n v="3"/>
    <s v="FSRS"/>
    <x v="12"/>
    <n v="0"/>
    <m/>
    <m/>
    <m/>
    <x v="8"/>
  </r>
  <r>
    <n v="0"/>
    <n v="4"/>
    <s v="FSRS"/>
    <x v="12"/>
    <n v="0"/>
    <m/>
    <m/>
    <m/>
    <x v="8"/>
  </r>
  <r>
    <n v="0"/>
    <n v="5"/>
    <s v="FSRS"/>
    <x v="12"/>
    <n v="0"/>
    <m/>
    <m/>
    <m/>
    <x v="8"/>
  </r>
  <r>
    <n v="0"/>
    <n v="6"/>
    <s v="FSRS"/>
    <x v="12"/>
    <n v="0"/>
    <m/>
    <m/>
    <m/>
    <x v="8"/>
  </r>
  <r>
    <n v="0"/>
    <n v="7"/>
    <s v="FSRS"/>
    <x v="12"/>
    <n v="0"/>
    <m/>
    <m/>
    <m/>
    <x v="8"/>
  </r>
  <r>
    <n v="0"/>
    <n v="8"/>
    <s v="FSRS"/>
    <x v="12"/>
    <n v="0"/>
    <m/>
    <m/>
    <m/>
    <x v="8"/>
  </r>
  <r>
    <n v="0"/>
    <n v="9"/>
    <s v="FSRS"/>
    <x v="12"/>
    <n v="0"/>
    <m/>
    <m/>
    <m/>
    <x v="8"/>
  </r>
  <r>
    <n v="0"/>
    <n v="10"/>
    <s v="FSRS"/>
    <x v="12"/>
    <n v="0"/>
    <m/>
    <m/>
    <m/>
    <x v="8"/>
  </r>
  <r>
    <n v="0"/>
    <n v="11"/>
    <s v="FSRS"/>
    <x v="12"/>
    <n v="0"/>
    <m/>
    <m/>
    <m/>
    <x v="8"/>
  </r>
  <r>
    <n v="0"/>
    <n v="12"/>
    <s v="FSRS"/>
    <x v="12"/>
    <n v="0"/>
    <m/>
    <m/>
    <m/>
    <x v="8"/>
  </r>
  <r>
    <n v="0"/>
    <n v="13"/>
    <s v="FSRS"/>
    <x v="12"/>
    <n v="0"/>
    <m/>
    <m/>
    <m/>
    <x v="8"/>
  </r>
  <r>
    <n v="0"/>
    <n v="14"/>
    <s v="FSRS"/>
    <x v="12"/>
    <n v="0"/>
    <m/>
    <m/>
    <m/>
    <x v="8"/>
  </r>
  <r>
    <n v="0"/>
    <n v="15"/>
    <s v="FSRS"/>
    <x v="12"/>
    <n v="0"/>
    <m/>
    <m/>
    <m/>
    <x v="8"/>
  </r>
  <r>
    <n v="0"/>
    <n v="16"/>
    <s v="FSRS"/>
    <x v="12"/>
    <n v="0"/>
    <m/>
    <m/>
    <m/>
    <x v="8"/>
  </r>
  <r>
    <n v="0"/>
    <n v="17"/>
    <s v="FSRS"/>
    <x v="12"/>
    <n v="0"/>
    <m/>
    <m/>
    <m/>
    <x v="8"/>
  </r>
  <r>
    <n v="0"/>
    <n v="18"/>
    <s v="FSRS"/>
    <x v="12"/>
    <n v="0"/>
    <m/>
    <m/>
    <m/>
    <x v="8"/>
  </r>
  <r>
    <n v="0"/>
    <n v="19"/>
    <s v="FSRS"/>
    <x v="12"/>
    <n v="0"/>
    <m/>
    <m/>
    <m/>
    <x v="8"/>
  </r>
  <r>
    <n v="0"/>
    <n v="20"/>
    <s v="FSRS"/>
    <x v="12"/>
    <n v="0"/>
    <m/>
    <m/>
    <m/>
    <x v="8"/>
  </r>
  <r>
    <n v="0"/>
    <n v="1"/>
    <s v="FSRS"/>
    <x v="13"/>
    <n v="0"/>
    <m/>
    <m/>
    <m/>
    <x v="8"/>
  </r>
  <r>
    <n v="0"/>
    <n v="2"/>
    <s v="FSRS"/>
    <x v="13"/>
    <n v="0"/>
    <m/>
    <m/>
    <m/>
    <x v="8"/>
  </r>
  <r>
    <n v="0"/>
    <n v="3"/>
    <s v="FSRS"/>
    <x v="13"/>
    <n v="0"/>
    <m/>
    <m/>
    <m/>
    <x v="8"/>
  </r>
  <r>
    <n v="0"/>
    <n v="4"/>
    <s v="FSRS"/>
    <x v="13"/>
    <n v="0"/>
    <m/>
    <m/>
    <m/>
    <x v="8"/>
  </r>
  <r>
    <n v="0"/>
    <n v="5"/>
    <s v="FSRS"/>
    <x v="13"/>
    <n v="0"/>
    <m/>
    <m/>
    <m/>
    <x v="8"/>
  </r>
  <r>
    <n v="0"/>
    <n v="6"/>
    <s v="FSRS"/>
    <x v="13"/>
    <n v="0"/>
    <m/>
    <m/>
    <m/>
    <x v="8"/>
  </r>
  <r>
    <n v="0"/>
    <n v="7"/>
    <s v="FSRS"/>
    <x v="13"/>
    <n v="0"/>
    <m/>
    <m/>
    <m/>
    <x v="8"/>
  </r>
  <r>
    <n v="0"/>
    <n v="8"/>
    <s v="FSRS"/>
    <x v="13"/>
    <n v="0"/>
    <m/>
    <m/>
    <m/>
    <x v="8"/>
  </r>
  <r>
    <n v="0"/>
    <n v="9"/>
    <s v="FSRS"/>
    <x v="13"/>
    <n v="0"/>
    <m/>
    <m/>
    <m/>
    <x v="8"/>
  </r>
  <r>
    <n v="0"/>
    <n v="10"/>
    <s v="FSRS"/>
    <x v="13"/>
    <n v="0"/>
    <m/>
    <m/>
    <m/>
    <x v="8"/>
  </r>
  <r>
    <n v="0"/>
    <n v="11"/>
    <s v="FSRS"/>
    <x v="13"/>
    <n v="0"/>
    <m/>
    <m/>
    <m/>
    <x v="8"/>
  </r>
  <r>
    <n v="0"/>
    <n v="12"/>
    <s v="FSRS"/>
    <x v="13"/>
    <n v="0"/>
    <m/>
    <m/>
    <m/>
    <x v="8"/>
  </r>
  <r>
    <n v="0"/>
    <n v="13"/>
    <s v="FSRS"/>
    <x v="13"/>
    <n v="0"/>
    <m/>
    <m/>
    <m/>
    <x v="8"/>
  </r>
  <r>
    <n v="0"/>
    <n v="14"/>
    <s v="FSRS"/>
    <x v="13"/>
    <n v="0"/>
    <m/>
    <m/>
    <m/>
    <x v="8"/>
  </r>
  <r>
    <n v="0"/>
    <n v="15"/>
    <s v="FSRS"/>
    <x v="13"/>
    <n v="0"/>
    <m/>
    <m/>
    <m/>
    <x v="8"/>
  </r>
  <r>
    <n v="0"/>
    <n v="16"/>
    <s v="FSRS"/>
    <x v="13"/>
    <n v="0"/>
    <m/>
    <m/>
    <m/>
    <x v="8"/>
  </r>
  <r>
    <n v="0"/>
    <n v="17"/>
    <s v="FSRS"/>
    <x v="13"/>
    <n v="0"/>
    <m/>
    <m/>
    <m/>
    <x v="8"/>
  </r>
  <r>
    <n v="0"/>
    <n v="18"/>
    <s v="FSRS"/>
    <x v="13"/>
    <n v="0"/>
    <m/>
    <m/>
    <m/>
    <x v="8"/>
  </r>
  <r>
    <n v="0"/>
    <n v="19"/>
    <s v="FSRS"/>
    <x v="13"/>
    <n v="0"/>
    <m/>
    <m/>
    <m/>
    <x v="8"/>
  </r>
  <r>
    <n v="0"/>
    <n v="20"/>
    <s v="FSRS"/>
    <x v="13"/>
    <n v="0"/>
    <m/>
    <m/>
    <m/>
    <x v="8"/>
  </r>
  <r>
    <n v="0"/>
    <n v="1"/>
    <s v="FSRS"/>
    <x v="14"/>
    <n v="0"/>
    <m/>
    <m/>
    <m/>
    <x v="8"/>
  </r>
  <r>
    <n v="0"/>
    <n v="2"/>
    <s v="FSRS"/>
    <x v="14"/>
    <n v="0"/>
    <m/>
    <m/>
    <m/>
    <x v="8"/>
  </r>
  <r>
    <n v="0"/>
    <n v="3"/>
    <s v="FSRS"/>
    <x v="14"/>
    <n v="0"/>
    <m/>
    <m/>
    <m/>
    <x v="8"/>
  </r>
  <r>
    <n v="0"/>
    <n v="4"/>
    <s v="FSRS"/>
    <x v="14"/>
    <n v="0"/>
    <m/>
    <m/>
    <m/>
    <x v="8"/>
  </r>
  <r>
    <n v="0"/>
    <n v="5"/>
    <s v="FSRS"/>
    <x v="14"/>
    <n v="0"/>
    <m/>
    <m/>
    <m/>
    <x v="8"/>
  </r>
  <r>
    <n v="0"/>
    <n v="6"/>
    <s v="FSRS"/>
    <x v="14"/>
    <n v="0"/>
    <m/>
    <m/>
    <m/>
    <x v="8"/>
  </r>
  <r>
    <n v="0"/>
    <n v="7"/>
    <s v="FSRS"/>
    <x v="14"/>
    <n v="0"/>
    <m/>
    <m/>
    <m/>
    <x v="8"/>
  </r>
  <r>
    <n v="0"/>
    <n v="8"/>
    <s v="FSRS"/>
    <x v="14"/>
    <n v="0"/>
    <m/>
    <m/>
    <m/>
    <x v="8"/>
  </r>
  <r>
    <n v="0"/>
    <n v="9"/>
    <s v="FSRS"/>
    <x v="14"/>
    <n v="0"/>
    <m/>
    <m/>
    <m/>
    <x v="8"/>
  </r>
  <r>
    <n v="0"/>
    <n v="10"/>
    <s v="FSRS"/>
    <x v="14"/>
    <n v="0"/>
    <m/>
    <m/>
    <m/>
    <x v="8"/>
  </r>
  <r>
    <n v="0"/>
    <n v="11"/>
    <s v="FSRS"/>
    <x v="14"/>
    <n v="0"/>
    <m/>
    <m/>
    <m/>
    <x v="8"/>
  </r>
  <r>
    <n v="0"/>
    <n v="12"/>
    <s v="FSRS"/>
    <x v="14"/>
    <n v="0"/>
    <m/>
    <m/>
    <m/>
    <x v="8"/>
  </r>
  <r>
    <n v="0"/>
    <n v="13"/>
    <s v="FSRS"/>
    <x v="14"/>
    <n v="0"/>
    <m/>
    <m/>
    <m/>
    <x v="8"/>
  </r>
  <r>
    <n v="0"/>
    <n v="14"/>
    <s v="FSRS"/>
    <x v="14"/>
    <n v="0"/>
    <m/>
    <m/>
    <m/>
    <x v="8"/>
  </r>
  <r>
    <n v="0"/>
    <n v="15"/>
    <s v="FSRS"/>
    <x v="14"/>
    <n v="0"/>
    <m/>
    <m/>
    <m/>
    <x v="8"/>
  </r>
  <r>
    <n v="0"/>
    <n v="16"/>
    <s v="FSRS"/>
    <x v="14"/>
    <n v="0"/>
    <m/>
    <m/>
    <m/>
    <x v="8"/>
  </r>
  <r>
    <n v="0"/>
    <n v="17"/>
    <s v="FSRS"/>
    <x v="14"/>
    <n v="0"/>
    <m/>
    <m/>
    <m/>
    <x v="8"/>
  </r>
  <r>
    <n v="0"/>
    <n v="18"/>
    <s v="FSRS"/>
    <x v="14"/>
    <n v="0"/>
    <m/>
    <m/>
    <m/>
    <x v="8"/>
  </r>
  <r>
    <n v="0"/>
    <n v="19"/>
    <s v="FSRS"/>
    <x v="14"/>
    <n v="0"/>
    <m/>
    <m/>
    <m/>
    <x v="8"/>
  </r>
  <r>
    <n v="0"/>
    <n v="20"/>
    <s v="FSRS"/>
    <x v="14"/>
    <n v="0"/>
    <m/>
    <m/>
    <m/>
    <x v="8"/>
  </r>
  <r>
    <n v="0"/>
    <n v="1"/>
    <s v="FSRS"/>
    <x v="15"/>
    <n v="0"/>
    <m/>
    <m/>
    <m/>
    <x v="8"/>
  </r>
  <r>
    <n v="0"/>
    <n v="2"/>
    <s v="FSRS"/>
    <x v="15"/>
    <n v="0"/>
    <m/>
    <m/>
    <m/>
    <x v="8"/>
  </r>
  <r>
    <n v="0"/>
    <n v="3"/>
    <s v="FSRS"/>
    <x v="15"/>
    <n v="0"/>
    <m/>
    <m/>
    <m/>
    <x v="8"/>
  </r>
  <r>
    <n v="0"/>
    <n v="4"/>
    <s v="FSRS"/>
    <x v="15"/>
    <n v="0"/>
    <m/>
    <m/>
    <m/>
    <x v="8"/>
  </r>
  <r>
    <n v="0"/>
    <n v="5"/>
    <s v="FSRS"/>
    <x v="15"/>
    <n v="0"/>
    <m/>
    <m/>
    <m/>
    <x v="8"/>
  </r>
  <r>
    <n v="0"/>
    <n v="6"/>
    <s v="FSRS"/>
    <x v="15"/>
    <n v="0"/>
    <m/>
    <m/>
    <m/>
    <x v="8"/>
  </r>
  <r>
    <n v="0"/>
    <n v="7"/>
    <s v="FSRS"/>
    <x v="15"/>
    <n v="0"/>
    <m/>
    <m/>
    <m/>
    <x v="8"/>
  </r>
  <r>
    <n v="0"/>
    <n v="8"/>
    <s v="FSRS"/>
    <x v="15"/>
    <n v="0"/>
    <m/>
    <m/>
    <m/>
    <x v="8"/>
  </r>
  <r>
    <n v="0"/>
    <n v="1"/>
    <s v="FSRS"/>
    <x v="16"/>
    <n v="0"/>
    <m/>
    <m/>
    <m/>
    <x v="8"/>
  </r>
  <r>
    <n v="0"/>
    <n v="2"/>
    <s v="FSRS"/>
    <x v="16"/>
    <n v="0"/>
    <m/>
    <m/>
    <m/>
    <x v="8"/>
  </r>
  <r>
    <n v="0"/>
    <n v="3"/>
    <s v="FSRS"/>
    <x v="16"/>
    <n v="0"/>
    <m/>
    <m/>
    <m/>
    <x v="8"/>
  </r>
  <r>
    <n v="0"/>
    <n v="4"/>
    <s v="FSRS"/>
    <x v="16"/>
    <n v="0"/>
    <m/>
    <m/>
    <m/>
    <x v="8"/>
  </r>
  <r>
    <n v="0"/>
    <n v="5"/>
    <s v="FSRS"/>
    <x v="16"/>
    <n v="0"/>
    <m/>
    <m/>
    <m/>
    <x v="8"/>
  </r>
  <r>
    <n v="0"/>
    <n v="6"/>
    <s v="FSRS"/>
    <x v="16"/>
    <n v="0"/>
    <m/>
    <m/>
    <m/>
    <x v="8"/>
  </r>
  <r>
    <n v="0"/>
    <n v="7"/>
    <s v="FSRS"/>
    <x v="16"/>
    <n v="0"/>
    <m/>
    <m/>
    <m/>
    <x v="8"/>
  </r>
  <r>
    <n v="0"/>
    <n v="8"/>
    <s v="FSRS"/>
    <x v="16"/>
    <n v="0"/>
    <m/>
    <m/>
    <m/>
    <x v="8"/>
  </r>
  <r>
    <n v="0"/>
    <n v="1"/>
    <s v="FSRS"/>
    <x v="17"/>
    <n v="0"/>
    <m/>
    <m/>
    <m/>
    <x v="8"/>
  </r>
  <r>
    <n v="0"/>
    <n v="2"/>
    <s v="FSRS"/>
    <x v="17"/>
    <n v="0"/>
    <m/>
    <m/>
    <m/>
    <x v="8"/>
  </r>
  <r>
    <n v="0"/>
    <n v="3"/>
    <s v="FSRS"/>
    <x v="17"/>
    <n v="0"/>
    <m/>
    <m/>
    <m/>
    <x v="8"/>
  </r>
  <r>
    <n v="0"/>
    <n v="4"/>
    <s v="FSRS"/>
    <x v="17"/>
    <n v="0"/>
    <m/>
    <m/>
    <m/>
    <x v="8"/>
  </r>
  <r>
    <n v="0"/>
    <n v="5"/>
    <s v="FSRS"/>
    <x v="17"/>
    <n v="0"/>
    <m/>
    <m/>
    <m/>
    <x v="8"/>
  </r>
  <r>
    <n v="0"/>
    <n v="1"/>
    <s v="FSRS"/>
    <x v="18"/>
    <n v="0"/>
    <m/>
    <m/>
    <m/>
    <x v="8"/>
  </r>
  <r>
    <n v="0"/>
    <n v="2"/>
    <s v="FSRS"/>
    <x v="18"/>
    <n v="0"/>
    <m/>
    <m/>
    <m/>
    <x v="8"/>
  </r>
  <r>
    <n v="0"/>
    <n v="3"/>
    <s v="FSRS"/>
    <x v="18"/>
    <n v="0"/>
    <m/>
    <m/>
    <m/>
    <x v="8"/>
  </r>
  <r>
    <n v="0"/>
    <n v="4"/>
    <s v="FSRS"/>
    <x v="18"/>
    <n v="0"/>
    <m/>
    <m/>
    <m/>
    <x v="8"/>
  </r>
  <r>
    <n v="0"/>
    <n v="5"/>
    <s v="FSRS"/>
    <x v="18"/>
    <n v="0"/>
    <m/>
    <m/>
    <m/>
    <x v="8"/>
  </r>
  <r>
    <n v="0"/>
    <n v="1"/>
    <s v="FSRS"/>
    <x v="19"/>
    <n v="0"/>
    <m/>
    <m/>
    <m/>
    <x v="8"/>
  </r>
  <r>
    <n v="0"/>
    <n v="2"/>
    <s v="FSRS"/>
    <x v="19"/>
    <n v="0"/>
    <m/>
    <m/>
    <m/>
    <x v="8"/>
  </r>
  <r>
    <n v="0"/>
    <n v="3"/>
    <s v="FSRS"/>
    <x v="19"/>
    <n v="0"/>
    <m/>
    <m/>
    <m/>
    <x v="8"/>
  </r>
  <r>
    <n v="0"/>
    <n v="4"/>
    <s v="FSRS"/>
    <x v="19"/>
    <n v="0"/>
    <m/>
    <m/>
    <m/>
    <x v="8"/>
  </r>
  <r>
    <n v="0"/>
    <n v="5"/>
    <s v="FSRS"/>
    <x v="19"/>
    <n v="0"/>
    <m/>
    <m/>
    <m/>
    <x v="8"/>
  </r>
  <r>
    <n v="0"/>
    <n v="6"/>
    <s v="FSRS"/>
    <x v="19"/>
    <n v="0"/>
    <m/>
    <m/>
    <m/>
    <x v="8"/>
  </r>
  <r>
    <n v="0"/>
    <n v="7"/>
    <s v="FSRS"/>
    <x v="19"/>
    <n v="0"/>
    <m/>
    <m/>
    <m/>
    <x v="8"/>
  </r>
  <r>
    <n v="0"/>
    <n v="8"/>
    <s v="FSRS"/>
    <x v="19"/>
    <n v="0"/>
    <m/>
    <m/>
    <m/>
    <x v="8"/>
  </r>
  <r>
    <n v="0"/>
    <n v="9"/>
    <s v="FSRS"/>
    <x v="19"/>
    <n v="0"/>
    <m/>
    <m/>
    <m/>
    <x v="8"/>
  </r>
  <r>
    <n v="0"/>
    <n v="10"/>
    <s v="FSRS"/>
    <x v="19"/>
    <n v="0"/>
    <m/>
    <m/>
    <m/>
    <x v="8"/>
  </r>
  <r>
    <n v="0"/>
    <n v="11"/>
    <s v="FSRS"/>
    <x v="19"/>
    <n v="0"/>
    <m/>
    <m/>
    <m/>
    <x v="8"/>
  </r>
  <r>
    <n v="0"/>
    <n v="12"/>
    <s v="FSRS"/>
    <x v="19"/>
    <n v="0"/>
    <m/>
    <m/>
    <m/>
    <x v="8"/>
  </r>
  <r>
    <n v="0"/>
    <n v="13"/>
    <s v="FSRS"/>
    <x v="19"/>
    <n v="0"/>
    <m/>
    <m/>
    <m/>
    <x v="8"/>
  </r>
  <r>
    <n v="0"/>
    <n v="14"/>
    <s v="FSRS"/>
    <x v="19"/>
    <n v="0"/>
    <m/>
    <m/>
    <m/>
    <x v="8"/>
  </r>
  <r>
    <n v="0"/>
    <n v="15"/>
    <s v="FSRS"/>
    <x v="19"/>
    <n v="0"/>
    <m/>
    <m/>
    <m/>
    <x v="8"/>
  </r>
  <r>
    <n v="0"/>
    <n v="16"/>
    <s v="FSRS"/>
    <x v="19"/>
    <n v="0"/>
    <m/>
    <m/>
    <m/>
    <x v="8"/>
  </r>
  <r>
    <n v="0"/>
    <n v="17"/>
    <s v="FSRS"/>
    <x v="19"/>
    <n v="0"/>
    <m/>
    <m/>
    <m/>
    <x v="8"/>
  </r>
  <r>
    <n v="0"/>
    <n v="18"/>
    <s v="FSRS"/>
    <x v="19"/>
    <n v="0"/>
    <m/>
    <m/>
    <m/>
    <x v="8"/>
  </r>
  <r>
    <n v="0"/>
    <n v="19"/>
    <s v="FSRS"/>
    <x v="19"/>
    <n v="0"/>
    <m/>
    <m/>
    <m/>
    <x v="8"/>
  </r>
  <r>
    <n v="0"/>
    <n v="20"/>
    <s v="FSRS"/>
    <x v="19"/>
    <n v="0"/>
    <m/>
    <m/>
    <m/>
    <x v="8"/>
  </r>
  <r>
    <n v="0"/>
    <n v="1"/>
    <s v="FTDU"/>
    <x v="6"/>
    <n v="0"/>
    <m/>
    <m/>
    <m/>
    <x v="9"/>
  </r>
  <r>
    <n v="0"/>
    <n v="2"/>
    <s v="FTDU"/>
    <x v="6"/>
    <n v="0"/>
    <m/>
    <m/>
    <m/>
    <x v="9"/>
  </r>
  <r>
    <n v="0"/>
    <n v="3"/>
    <s v="FTDU"/>
    <x v="6"/>
    <n v="0"/>
    <m/>
    <m/>
    <m/>
    <x v="9"/>
  </r>
  <r>
    <n v="0"/>
    <n v="4"/>
    <s v="FTDU"/>
    <x v="6"/>
    <n v="0"/>
    <m/>
    <m/>
    <m/>
    <x v="9"/>
  </r>
  <r>
    <n v="0"/>
    <n v="5"/>
    <s v="FTDU"/>
    <x v="6"/>
    <n v="0"/>
    <m/>
    <m/>
    <m/>
    <x v="9"/>
  </r>
  <r>
    <n v="0"/>
    <n v="6"/>
    <s v="FTDU"/>
    <x v="6"/>
    <n v="0"/>
    <m/>
    <m/>
    <m/>
    <x v="9"/>
  </r>
  <r>
    <n v="0"/>
    <n v="7"/>
    <s v="FTDU"/>
    <x v="6"/>
    <n v="0"/>
    <m/>
    <m/>
    <m/>
    <x v="9"/>
  </r>
  <r>
    <n v="0"/>
    <n v="8"/>
    <s v="FTDU"/>
    <x v="6"/>
    <n v="0"/>
    <m/>
    <m/>
    <m/>
    <x v="9"/>
  </r>
  <r>
    <n v="0"/>
    <n v="9"/>
    <s v="FTDU"/>
    <x v="6"/>
    <n v="0"/>
    <m/>
    <m/>
    <m/>
    <x v="9"/>
  </r>
  <r>
    <n v="0"/>
    <n v="10"/>
    <s v="FTDU"/>
    <x v="6"/>
    <n v="0"/>
    <m/>
    <m/>
    <m/>
    <x v="9"/>
  </r>
  <r>
    <n v="0"/>
    <n v="11"/>
    <s v="FTDU"/>
    <x v="6"/>
    <n v="0"/>
    <m/>
    <m/>
    <m/>
    <x v="9"/>
  </r>
  <r>
    <n v="0"/>
    <n v="12"/>
    <s v="FTDU"/>
    <x v="6"/>
    <n v="0"/>
    <m/>
    <m/>
    <m/>
    <x v="9"/>
  </r>
  <r>
    <n v="0"/>
    <n v="13"/>
    <s v="FTDU"/>
    <x v="6"/>
    <n v="0"/>
    <m/>
    <m/>
    <m/>
    <x v="9"/>
  </r>
  <r>
    <n v="0"/>
    <n v="14"/>
    <s v="FTDU"/>
    <x v="6"/>
    <n v="0"/>
    <m/>
    <m/>
    <m/>
    <x v="9"/>
  </r>
  <r>
    <n v="0"/>
    <n v="15"/>
    <s v="FTDU"/>
    <x v="6"/>
    <n v="0"/>
    <m/>
    <m/>
    <m/>
    <x v="9"/>
  </r>
  <r>
    <n v="0"/>
    <n v="16"/>
    <s v="FTDU"/>
    <x v="6"/>
    <n v="0"/>
    <m/>
    <m/>
    <m/>
    <x v="9"/>
  </r>
  <r>
    <n v="0"/>
    <n v="17"/>
    <s v="FTDU"/>
    <x v="6"/>
    <n v="0"/>
    <m/>
    <m/>
    <m/>
    <x v="9"/>
  </r>
  <r>
    <n v="0"/>
    <n v="18"/>
    <s v="FTDU"/>
    <x v="6"/>
    <n v="0"/>
    <m/>
    <m/>
    <m/>
    <x v="9"/>
  </r>
  <r>
    <n v="0"/>
    <n v="19"/>
    <s v="FTDU"/>
    <x v="6"/>
    <n v="0"/>
    <m/>
    <m/>
    <m/>
    <x v="9"/>
  </r>
  <r>
    <n v="0"/>
    <n v="20"/>
    <s v="FTDU"/>
    <x v="6"/>
    <n v="0"/>
    <m/>
    <m/>
    <m/>
    <x v="9"/>
  </r>
  <r>
    <n v="0"/>
    <n v="1"/>
    <s v="FTDU"/>
    <x v="7"/>
    <n v="0"/>
    <m/>
    <m/>
    <m/>
    <x v="9"/>
  </r>
  <r>
    <n v="0"/>
    <n v="2"/>
    <s v="FTDU"/>
    <x v="7"/>
    <n v="0"/>
    <m/>
    <m/>
    <m/>
    <x v="9"/>
  </r>
  <r>
    <n v="0"/>
    <n v="3"/>
    <s v="FTDU"/>
    <x v="7"/>
    <n v="0"/>
    <m/>
    <m/>
    <m/>
    <x v="9"/>
  </r>
  <r>
    <n v="0"/>
    <n v="4"/>
    <s v="FTDU"/>
    <x v="7"/>
    <n v="0"/>
    <m/>
    <m/>
    <m/>
    <x v="9"/>
  </r>
  <r>
    <n v="0"/>
    <n v="5"/>
    <s v="FTDU"/>
    <x v="7"/>
    <n v="0"/>
    <m/>
    <m/>
    <m/>
    <x v="9"/>
  </r>
  <r>
    <n v="0"/>
    <n v="6"/>
    <s v="FTDU"/>
    <x v="7"/>
    <n v="0"/>
    <m/>
    <m/>
    <m/>
    <x v="9"/>
  </r>
  <r>
    <n v="0"/>
    <n v="7"/>
    <s v="FTDU"/>
    <x v="7"/>
    <n v="0"/>
    <m/>
    <m/>
    <m/>
    <x v="9"/>
  </r>
  <r>
    <n v="0"/>
    <n v="8"/>
    <s v="FTDU"/>
    <x v="7"/>
    <n v="0"/>
    <m/>
    <m/>
    <m/>
    <x v="9"/>
  </r>
  <r>
    <n v="0"/>
    <n v="9"/>
    <s v="FTDU"/>
    <x v="7"/>
    <n v="0"/>
    <m/>
    <m/>
    <m/>
    <x v="9"/>
  </r>
  <r>
    <n v="0"/>
    <n v="10"/>
    <s v="FTDU"/>
    <x v="7"/>
    <n v="0"/>
    <m/>
    <m/>
    <m/>
    <x v="9"/>
  </r>
  <r>
    <n v="0"/>
    <n v="11"/>
    <s v="FTDU"/>
    <x v="7"/>
    <n v="0"/>
    <m/>
    <m/>
    <m/>
    <x v="9"/>
  </r>
  <r>
    <n v="0"/>
    <n v="12"/>
    <s v="FTDU"/>
    <x v="7"/>
    <n v="0"/>
    <m/>
    <m/>
    <m/>
    <x v="9"/>
  </r>
  <r>
    <n v="0"/>
    <n v="13"/>
    <s v="FTDU"/>
    <x v="7"/>
    <n v="0"/>
    <m/>
    <m/>
    <m/>
    <x v="9"/>
  </r>
  <r>
    <n v="0"/>
    <n v="14"/>
    <s v="FTDU"/>
    <x v="7"/>
    <n v="0"/>
    <m/>
    <m/>
    <m/>
    <x v="9"/>
  </r>
  <r>
    <n v="0"/>
    <n v="15"/>
    <s v="FTDU"/>
    <x v="7"/>
    <n v="0"/>
    <m/>
    <m/>
    <m/>
    <x v="9"/>
  </r>
  <r>
    <n v="0"/>
    <n v="16"/>
    <s v="FTDU"/>
    <x v="7"/>
    <n v="0"/>
    <m/>
    <m/>
    <m/>
    <x v="9"/>
  </r>
  <r>
    <n v="0"/>
    <n v="17"/>
    <s v="FTDU"/>
    <x v="7"/>
    <n v="0"/>
    <m/>
    <m/>
    <m/>
    <x v="9"/>
  </r>
  <r>
    <n v="0"/>
    <n v="18"/>
    <s v="FTDU"/>
    <x v="7"/>
    <n v="0"/>
    <m/>
    <m/>
    <m/>
    <x v="9"/>
  </r>
  <r>
    <n v="0"/>
    <n v="19"/>
    <s v="FTDU"/>
    <x v="7"/>
    <n v="0"/>
    <m/>
    <m/>
    <m/>
    <x v="9"/>
  </r>
  <r>
    <n v="0"/>
    <n v="20"/>
    <s v="FTDU"/>
    <x v="7"/>
    <n v="0"/>
    <m/>
    <m/>
    <m/>
    <x v="9"/>
  </r>
  <r>
    <n v="0"/>
    <n v="1"/>
    <s v="FTDU"/>
    <x v="8"/>
    <n v="0"/>
    <m/>
    <m/>
    <m/>
    <x v="9"/>
  </r>
  <r>
    <n v="0"/>
    <n v="2"/>
    <s v="FTDU"/>
    <x v="8"/>
    <n v="0"/>
    <m/>
    <m/>
    <m/>
    <x v="9"/>
  </r>
  <r>
    <n v="0"/>
    <n v="3"/>
    <s v="FTDU"/>
    <x v="8"/>
    <n v="0"/>
    <m/>
    <m/>
    <m/>
    <x v="9"/>
  </r>
  <r>
    <n v="0"/>
    <n v="4"/>
    <s v="FTDU"/>
    <x v="8"/>
    <n v="0"/>
    <m/>
    <m/>
    <m/>
    <x v="9"/>
  </r>
  <r>
    <n v="0"/>
    <n v="5"/>
    <s v="FTDU"/>
    <x v="8"/>
    <n v="0"/>
    <m/>
    <m/>
    <m/>
    <x v="9"/>
  </r>
  <r>
    <n v="0"/>
    <n v="6"/>
    <s v="FTDU"/>
    <x v="8"/>
    <n v="0"/>
    <m/>
    <m/>
    <m/>
    <x v="9"/>
  </r>
  <r>
    <n v="0"/>
    <n v="7"/>
    <s v="FTDU"/>
    <x v="8"/>
    <n v="0"/>
    <m/>
    <m/>
    <m/>
    <x v="9"/>
  </r>
  <r>
    <n v="0"/>
    <n v="8"/>
    <s v="FTDU"/>
    <x v="8"/>
    <n v="0"/>
    <m/>
    <m/>
    <m/>
    <x v="9"/>
  </r>
  <r>
    <n v="0"/>
    <n v="9"/>
    <s v="FTDU"/>
    <x v="8"/>
    <n v="0"/>
    <m/>
    <m/>
    <m/>
    <x v="9"/>
  </r>
  <r>
    <n v="0"/>
    <n v="10"/>
    <s v="FTDU"/>
    <x v="8"/>
    <n v="0"/>
    <m/>
    <m/>
    <m/>
    <x v="9"/>
  </r>
  <r>
    <n v="0"/>
    <n v="11"/>
    <s v="FTDU"/>
    <x v="8"/>
    <n v="0"/>
    <m/>
    <m/>
    <m/>
    <x v="9"/>
  </r>
  <r>
    <n v="0"/>
    <n v="12"/>
    <s v="FTDU"/>
    <x v="8"/>
    <n v="0"/>
    <m/>
    <m/>
    <m/>
    <x v="9"/>
  </r>
  <r>
    <n v="0"/>
    <n v="13"/>
    <s v="FTDU"/>
    <x v="8"/>
    <n v="0"/>
    <m/>
    <m/>
    <m/>
    <x v="9"/>
  </r>
  <r>
    <n v="0"/>
    <n v="14"/>
    <s v="FTDU"/>
    <x v="8"/>
    <n v="0"/>
    <m/>
    <m/>
    <m/>
    <x v="9"/>
  </r>
  <r>
    <n v="0"/>
    <n v="15"/>
    <s v="FTDU"/>
    <x v="8"/>
    <n v="0"/>
    <m/>
    <m/>
    <m/>
    <x v="9"/>
  </r>
  <r>
    <n v="0"/>
    <n v="16"/>
    <s v="FTDU"/>
    <x v="8"/>
    <n v="0"/>
    <m/>
    <m/>
    <m/>
    <x v="9"/>
  </r>
  <r>
    <n v="0"/>
    <n v="17"/>
    <s v="FTDU"/>
    <x v="8"/>
    <n v="0"/>
    <m/>
    <m/>
    <m/>
    <x v="9"/>
  </r>
  <r>
    <n v="0"/>
    <n v="18"/>
    <s v="FTDU"/>
    <x v="8"/>
    <n v="0"/>
    <m/>
    <m/>
    <m/>
    <x v="9"/>
  </r>
  <r>
    <n v="0"/>
    <n v="19"/>
    <s v="FTDU"/>
    <x v="8"/>
    <n v="0"/>
    <m/>
    <m/>
    <m/>
    <x v="9"/>
  </r>
  <r>
    <n v="0"/>
    <n v="20"/>
    <s v="FTDU"/>
    <x v="8"/>
    <n v="0"/>
    <m/>
    <m/>
    <m/>
    <x v="9"/>
  </r>
  <r>
    <n v="0"/>
    <n v="1"/>
    <s v="FTDU"/>
    <x v="9"/>
    <n v="0"/>
    <m/>
    <m/>
    <m/>
    <x v="9"/>
  </r>
  <r>
    <n v="0"/>
    <n v="2"/>
    <s v="FTDU"/>
    <x v="9"/>
    <n v="0"/>
    <m/>
    <m/>
    <m/>
    <x v="9"/>
  </r>
  <r>
    <n v="0"/>
    <n v="3"/>
    <s v="FTDU"/>
    <x v="9"/>
    <n v="0"/>
    <m/>
    <m/>
    <m/>
    <x v="9"/>
  </r>
  <r>
    <n v="0"/>
    <n v="4"/>
    <s v="FTDU"/>
    <x v="9"/>
    <n v="0"/>
    <m/>
    <m/>
    <m/>
    <x v="9"/>
  </r>
  <r>
    <n v="0"/>
    <n v="5"/>
    <s v="FTDU"/>
    <x v="9"/>
    <n v="0"/>
    <m/>
    <m/>
    <m/>
    <x v="9"/>
  </r>
  <r>
    <n v="0"/>
    <n v="6"/>
    <s v="FTDU"/>
    <x v="9"/>
    <n v="0"/>
    <m/>
    <m/>
    <m/>
    <x v="9"/>
  </r>
  <r>
    <n v="0"/>
    <n v="7"/>
    <s v="FTDU"/>
    <x v="9"/>
    <n v="0"/>
    <m/>
    <m/>
    <m/>
    <x v="9"/>
  </r>
  <r>
    <n v="0"/>
    <n v="8"/>
    <s v="FTDU"/>
    <x v="9"/>
    <n v="0"/>
    <m/>
    <m/>
    <m/>
    <x v="9"/>
  </r>
  <r>
    <n v="0"/>
    <n v="9"/>
    <s v="FTDU"/>
    <x v="9"/>
    <n v="0"/>
    <m/>
    <m/>
    <m/>
    <x v="9"/>
  </r>
  <r>
    <n v="0"/>
    <n v="10"/>
    <s v="FTDU"/>
    <x v="9"/>
    <n v="0"/>
    <m/>
    <m/>
    <m/>
    <x v="9"/>
  </r>
  <r>
    <n v="0"/>
    <n v="11"/>
    <s v="FTDU"/>
    <x v="9"/>
    <n v="0"/>
    <m/>
    <m/>
    <m/>
    <x v="9"/>
  </r>
  <r>
    <n v="0"/>
    <n v="12"/>
    <s v="FTDU"/>
    <x v="9"/>
    <n v="0"/>
    <m/>
    <m/>
    <m/>
    <x v="9"/>
  </r>
  <r>
    <n v="0"/>
    <n v="13"/>
    <s v="FTDU"/>
    <x v="9"/>
    <n v="0"/>
    <m/>
    <m/>
    <m/>
    <x v="9"/>
  </r>
  <r>
    <n v="0"/>
    <n v="14"/>
    <s v="FTDU"/>
    <x v="9"/>
    <n v="0"/>
    <m/>
    <m/>
    <m/>
    <x v="9"/>
  </r>
  <r>
    <n v="0"/>
    <n v="15"/>
    <s v="FTDU"/>
    <x v="9"/>
    <n v="0"/>
    <m/>
    <m/>
    <m/>
    <x v="9"/>
  </r>
  <r>
    <n v="0"/>
    <n v="16"/>
    <s v="FTDU"/>
    <x v="9"/>
    <n v="0"/>
    <m/>
    <m/>
    <m/>
    <x v="9"/>
  </r>
  <r>
    <n v="0"/>
    <n v="17"/>
    <s v="FTDU"/>
    <x v="9"/>
    <n v="0"/>
    <m/>
    <m/>
    <m/>
    <x v="9"/>
  </r>
  <r>
    <n v="0"/>
    <n v="18"/>
    <s v="FTDU"/>
    <x v="9"/>
    <n v="0"/>
    <m/>
    <m/>
    <m/>
    <x v="9"/>
  </r>
  <r>
    <n v="0"/>
    <n v="19"/>
    <s v="FTDU"/>
    <x v="9"/>
    <n v="0"/>
    <m/>
    <m/>
    <m/>
    <x v="9"/>
  </r>
  <r>
    <n v="0"/>
    <n v="20"/>
    <s v="FTDU"/>
    <x v="9"/>
    <n v="0"/>
    <m/>
    <m/>
    <m/>
    <x v="9"/>
  </r>
  <r>
    <n v="0"/>
    <n v="1"/>
    <s v="FTDU"/>
    <x v="10"/>
    <n v="0"/>
    <m/>
    <m/>
    <m/>
    <x v="9"/>
  </r>
  <r>
    <n v="0"/>
    <n v="2"/>
    <s v="FTDU"/>
    <x v="10"/>
    <n v="0"/>
    <m/>
    <m/>
    <m/>
    <x v="9"/>
  </r>
  <r>
    <n v="0"/>
    <n v="3"/>
    <s v="FTDU"/>
    <x v="10"/>
    <n v="0"/>
    <m/>
    <m/>
    <m/>
    <x v="9"/>
  </r>
  <r>
    <n v="0"/>
    <n v="4"/>
    <s v="FTDU"/>
    <x v="10"/>
    <n v="0"/>
    <m/>
    <m/>
    <m/>
    <x v="9"/>
  </r>
  <r>
    <n v="0"/>
    <n v="5"/>
    <s v="FTDU"/>
    <x v="10"/>
    <n v="0"/>
    <m/>
    <m/>
    <m/>
    <x v="9"/>
  </r>
  <r>
    <n v="0"/>
    <n v="6"/>
    <s v="FTDU"/>
    <x v="10"/>
    <n v="0"/>
    <m/>
    <m/>
    <m/>
    <x v="9"/>
  </r>
  <r>
    <n v="0"/>
    <n v="7"/>
    <s v="FTDU"/>
    <x v="10"/>
    <n v="0"/>
    <m/>
    <m/>
    <m/>
    <x v="9"/>
  </r>
  <r>
    <n v="0"/>
    <n v="8"/>
    <s v="FTDU"/>
    <x v="10"/>
    <n v="0"/>
    <m/>
    <m/>
    <m/>
    <x v="9"/>
  </r>
  <r>
    <n v="0"/>
    <n v="9"/>
    <s v="FTDU"/>
    <x v="10"/>
    <n v="0"/>
    <m/>
    <m/>
    <m/>
    <x v="9"/>
  </r>
  <r>
    <n v="0"/>
    <n v="10"/>
    <s v="FTDU"/>
    <x v="10"/>
    <n v="0"/>
    <m/>
    <m/>
    <m/>
    <x v="9"/>
  </r>
  <r>
    <n v="0"/>
    <n v="11"/>
    <s v="FTDU"/>
    <x v="10"/>
    <n v="0"/>
    <m/>
    <m/>
    <m/>
    <x v="9"/>
  </r>
  <r>
    <n v="0"/>
    <n v="12"/>
    <s v="FTDU"/>
    <x v="10"/>
    <n v="0"/>
    <m/>
    <m/>
    <m/>
    <x v="9"/>
  </r>
  <r>
    <n v="0"/>
    <n v="13"/>
    <s v="FTDU"/>
    <x v="10"/>
    <n v="0"/>
    <m/>
    <m/>
    <m/>
    <x v="9"/>
  </r>
  <r>
    <n v="0"/>
    <n v="14"/>
    <s v="FTDU"/>
    <x v="10"/>
    <n v="0"/>
    <m/>
    <m/>
    <m/>
    <x v="9"/>
  </r>
  <r>
    <n v="0"/>
    <n v="15"/>
    <s v="FTDU"/>
    <x v="10"/>
    <n v="0"/>
    <m/>
    <m/>
    <m/>
    <x v="9"/>
  </r>
  <r>
    <n v="0"/>
    <n v="16"/>
    <s v="FTDU"/>
    <x v="10"/>
    <n v="0"/>
    <m/>
    <m/>
    <m/>
    <x v="9"/>
  </r>
  <r>
    <n v="0"/>
    <n v="17"/>
    <s v="FTDU"/>
    <x v="10"/>
    <n v="0"/>
    <m/>
    <m/>
    <m/>
    <x v="9"/>
  </r>
  <r>
    <n v="0"/>
    <n v="18"/>
    <s v="FTDU"/>
    <x v="10"/>
    <n v="0"/>
    <m/>
    <m/>
    <m/>
    <x v="9"/>
  </r>
  <r>
    <n v="0"/>
    <n v="19"/>
    <s v="FTDU"/>
    <x v="10"/>
    <n v="0"/>
    <m/>
    <m/>
    <m/>
    <x v="9"/>
  </r>
  <r>
    <n v="0"/>
    <n v="20"/>
    <s v="FTDU"/>
    <x v="10"/>
    <n v="0"/>
    <m/>
    <m/>
    <m/>
    <x v="9"/>
  </r>
  <r>
    <n v="0"/>
    <n v="1"/>
    <s v="FTDU"/>
    <x v="11"/>
    <n v="0"/>
    <m/>
    <m/>
    <m/>
    <x v="9"/>
  </r>
  <r>
    <n v="0"/>
    <n v="2"/>
    <s v="FTDU"/>
    <x v="11"/>
    <n v="0"/>
    <m/>
    <m/>
    <m/>
    <x v="9"/>
  </r>
  <r>
    <n v="0"/>
    <n v="3"/>
    <s v="FTDU"/>
    <x v="11"/>
    <n v="0"/>
    <m/>
    <m/>
    <m/>
    <x v="9"/>
  </r>
  <r>
    <n v="0"/>
    <n v="4"/>
    <s v="FTDU"/>
    <x v="11"/>
    <n v="0"/>
    <m/>
    <m/>
    <m/>
    <x v="9"/>
  </r>
  <r>
    <n v="0"/>
    <n v="5"/>
    <s v="FTDU"/>
    <x v="11"/>
    <n v="0"/>
    <m/>
    <m/>
    <m/>
    <x v="9"/>
  </r>
  <r>
    <n v="0"/>
    <n v="6"/>
    <s v="FTDU"/>
    <x v="11"/>
    <n v="0"/>
    <m/>
    <m/>
    <m/>
    <x v="9"/>
  </r>
  <r>
    <n v="0"/>
    <n v="7"/>
    <s v="FTDU"/>
    <x v="11"/>
    <n v="0"/>
    <m/>
    <m/>
    <m/>
    <x v="9"/>
  </r>
  <r>
    <n v="0"/>
    <n v="8"/>
    <s v="FTDU"/>
    <x v="11"/>
    <n v="0"/>
    <m/>
    <m/>
    <m/>
    <x v="9"/>
  </r>
  <r>
    <n v="0"/>
    <n v="9"/>
    <s v="FTDU"/>
    <x v="11"/>
    <n v="0"/>
    <m/>
    <m/>
    <m/>
    <x v="9"/>
  </r>
  <r>
    <n v="0"/>
    <n v="10"/>
    <s v="FTDU"/>
    <x v="11"/>
    <n v="0"/>
    <m/>
    <m/>
    <m/>
    <x v="9"/>
  </r>
  <r>
    <n v="0"/>
    <n v="11"/>
    <s v="FTDU"/>
    <x v="11"/>
    <n v="0"/>
    <m/>
    <m/>
    <m/>
    <x v="9"/>
  </r>
  <r>
    <n v="0"/>
    <n v="12"/>
    <s v="FTDU"/>
    <x v="11"/>
    <n v="0"/>
    <m/>
    <m/>
    <m/>
    <x v="9"/>
  </r>
  <r>
    <n v="0"/>
    <n v="13"/>
    <s v="FTDU"/>
    <x v="11"/>
    <n v="0"/>
    <m/>
    <m/>
    <m/>
    <x v="9"/>
  </r>
  <r>
    <n v="0"/>
    <n v="14"/>
    <s v="FTDU"/>
    <x v="11"/>
    <n v="0"/>
    <m/>
    <m/>
    <m/>
    <x v="9"/>
  </r>
  <r>
    <n v="0"/>
    <n v="15"/>
    <s v="FTDU"/>
    <x v="11"/>
    <n v="0"/>
    <m/>
    <m/>
    <m/>
    <x v="9"/>
  </r>
  <r>
    <n v="0"/>
    <n v="16"/>
    <s v="FTDU"/>
    <x v="11"/>
    <n v="0"/>
    <m/>
    <m/>
    <m/>
    <x v="9"/>
  </r>
  <r>
    <n v="0"/>
    <n v="17"/>
    <s v="FTDU"/>
    <x v="11"/>
    <n v="0"/>
    <m/>
    <m/>
    <m/>
    <x v="9"/>
  </r>
  <r>
    <n v="0"/>
    <n v="18"/>
    <s v="FTDU"/>
    <x v="11"/>
    <n v="0"/>
    <m/>
    <m/>
    <m/>
    <x v="9"/>
  </r>
  <r>
    <n v="0"/>
    <n v="19"/>
    <s v="FTDU"/>
    <x v="11"/>
    <n v="0"/>
    <m/>
    <m/>
    <m/>
    <x v="9"/>
  </r>
  <r>
    <n v="0"/>
    <n v="20"/>
    <s v="FTDU"/>
    <x v="11"/>
    <n v="0"/>
    <m/>
    <m/>
    <m/>
    <x v="9"/>
  </r>
  <r>
    <n v="0"/>
    <n v="1"/>
    <s v="FTDU"/>
    <x v="12"/>
    <n v="0"/>
    <m/>
    <m/>
    <m/>
    <x v="9"/>
  </r>
  <r>
    <n v="0"/>
    <n v="2"/>
    <s v="FTDU"/>
    <x v="12"/>
    <n v="0"/>
    <m/>
    <m/>
    <m/>
    <x v="9"/>
  </r>
  <r>
    <n v="0"/>
    <n v="3"/>
    <s v="FTDU"/>
    <x v="12"/>
    <n v="0"/>
    <m/>
    <m/>
    <m/>
    <x v="9"/>
  </r>
  <r>
    <n v="0"/>
    <n v="4"/>
    <s v="FTDU"/>
    <x v="12"/>
    <n v="0"/>
    <m/>
    <m/>
    <m/>
    <x v="9"/>
  </r>
  <r>
    <n v="0"/>
    <n v="5"/>
    <s v="FTDU"/>
    <x v="12"/>
    <n v="0"/>
    <m/>
    <m/>
    <m/>
    <x v="9"/>
  </r>
  <r>
    <n v="0"/>
    <n v="6"/>
    <s v="FTDU"/>
    <x v="12"/>
    <n v="0"/>
    <m/>
    <m/>
    <m/>
    <x v="9"/>
  </r>
  <r>
    <n v="0"/>
    <n v="7"/>
    <s v="FTDU"/>
    <x v="12"/>
    <n v="0"/>
    <m/>
    <m/>
    <m/>
    <x v="9"/>
  </r>
  <r>
    <n v="0"/>
    <n v="8"/>
    <s v="FTDU"/>
    <x v="12"/>
    <n v="0"/>
    <m/>
    <m/>
    <m/>
    <x v="9"/>
  </r>
  <r>
    <n v="0"/>
    <n v="9"/>
    <s v="FTDU"/>
    <x v="12"/>
    <n v="0"/>
    <m/>
    <m/>
    <m/>
    <x v="9"/>
  </r>
  <r>
    <n v="0"/>
    <n v="10"/>
    <s v="FTDU"/>
    <x v="12"/>
    <n v="0"/>
    <m/>
    <m/>
    <m/>
    <x v="9"/>
  </r>
  <r>
    <n v="0"/>
    <n v="11"/>
    <s v="FTDU"/>
    <x v="12"/>
    <n v="0"/>
    <m/>
    <m/>
    <m/>
    <x v="9"/>
  </r>
  <r>
    <n v="0"/>
    <n v="12"/>
    <s v="FTDU"/>
    <x v="12"/>
    <n v="0"/>
    <m/>
    <m/>
    <m/>
    <x v="9"/>
  </r>
  <r>
    <n v="0"/>
    <n v="13"/>
    <s v="FTDU"/>
    <x v="12"/>
    <n v="0"/>
    <m/>
    <m/>
    <m/>
    <x v="9"/>
  </r>
  <r>
    <n v="0"/>
    <n v="14"/>
    <s v="FTDU"/>
    <x v="12"/>
    <n v="0"/>
    <m/>
    <m/>
    <m/>
    <x v="9"/>
  </r>
  <r>
    <n v="0"/>
    <n v="15"/>
    <s v="FTDU"/>
    <x v="12"/>
    <n v="0"/>
    <m/>
    <m/>
    <m/>
    <x v="9"/>
  </r>
  <r>
    <n v="0"/>
    <n v="16"/>
    <s v="FTDU"/>
    <x v="12"/>
    <n v="0"/>
    <m/>
    <m/>
    <m/>
    <x v="9"/>
  </r>
  <r>
    <n v="0"/>
    <n v="17"/>
    <s v="FTDU"/>
    <x v="12"/>
    <n v="0"/>
    <m/>
    <m/>
    <m/>
    <x v="9"/>
  </r>
  <r>
    <n v="0"/>
    <n v="18"/>
    <s v="FTDU"/>
    <x v="12"/>
    <n v="0"/>
    <m/>
    <m/>
    <m/>
    <x v="9"/>
  </r>
  <r>
    <n v="0"/>
    <n v="19"/>
    <s v="FTDU"/>
    <x v="12"/>
    <n v="0"/>
    <m/>
    <m/>
    <m/>
    <x v="9"/>
  </r>
  <r>
    <n v="0"/>
    <n v="20"/>
    <s v="FTDU"/>
    <x v="12"/>
    <n v="0"/>
    <m/>
    <m/>
    <m/>
    <x v="9"/>
  </r>
  <r>
    <n v="0"/>
    <n v="1"/>
    <s v="FTDU"/>
    <x v="13"/>
    <n v="0"/>
    <m/>
    <m/>
    <m/>
    <x v="9"/>
  </r>
  <r>
    <n v="0"/>
    <n v="2"/>
    <s v="FTDU"/>
    <x v="13"/>
    <n v="0"/>
    <m/>
    <m/>
    <m/>
    <x v="9"/>
  </r>
  <r>
    <n v="0"/>
    <n v="3"/>
    <s v="FTDU"/>
    <x v="13"/>
    <n v="0"/>
    <m/>
    <m/>
    <m/>
    <x v="9"/>
  </r>
  <r>
    <n v="0"/>
    <n v="4"/>
    <s v="FTDU"/>
    <x v="13"/>
    <n v="0"/>
    <m/>
    <m/>
    <m/>
    <x v="9"/>
  </r>
  <r>
    <n v="0"/>
    <n v="5"/>
    <s v="FTDU"/>
    <x v="13"/>
    <n v="0"/>
    <m/>
    <m/>
    <m/>
    <x v="9"/>
  </r>
  <r>
    <n v="0"/>
    <n v="6"/>
    <s v="FTDU"/>
    <x v="13"/>
    <n v="0"/>
    <m/>
    <m/>
    <m/>
    <x v="9"/>
  </r>
  <r>
    <n v="0"/>
    <n v="7"/>
    <s v="FTDU"/>
    <x v="13"/>
    <n v="0"/>
    <m/>
    <m/>
    <m/>
    <x v="9"/>
  </r>
  <r>
    <n v="0"/>
    <n v="8"/>
    <s v="FTDU"/>
    <x v="13"/>
    <n v="0"/>
    <m/>
    <m/>
    <m/>
    <x v="9"/>
  </r>
  <r>
    <n v="0"/>
    <n v="9"/>
    <s v="FTDU"/>
    <x v="13"/>
    <n v="0"/>
    <m/>
    <m/>
    <m/>
    <x v="9"/>
  </r>
  <r>
    <n v="0"/>
    <n v="10"/>
    <s v="FTDU"/>
    <x v="13"/>
    <n v="0"/>
    <m/>
    <m/>
    <m/>
    <x v="9"/>
  </r>
  <r>
    <n v="0"/>
    <n v="11"/>
    <s v="FTDU"/>
    <x v="13"/>
    <n v="0"/>
    <m/>
    <m/>
    <m/>
    <x v="9"/>
  </r>
  <r>
    <n v="0"/>
    <n v="12"/>
    <s v="FTDU"/>
    <x v="13"/>
    <n v="0"/>
    <m/>
    <m/>
    <m/>
    <x v="9"/>
  </r>
  <r>
    <n v="0"/>
    <n v="13"/>
    <s v="FTDU"/>
    <x v="13"/>
    <n v="0"/>
    <m/>
    <m/>
    <m/>
    <x v="9"/>
  </r>
  <r>
    <n v="0"/>
    <n v="14"/>
    <s v="FTDU"/>
    <x v="13"/>
    <n v="0"/>
    <m/>
    <m/>
    <m/>
    <x v="9"/>
  </r>
  <r>
    <n v="0"/>
    <n v="15"/>
    <s v="FTDU"/>
    <x v="13"/>
    <n v="0"/>
    <m/>
    <m/>
    <m/>
    <x v="9"/>
  </r>
  <r>
    <n v="0"/>
    <n v="16"/>
    <s v="FTDU"/>
    <x v="13"/>
    <n v="0"/>
    <m/>
    <m/>
    <m/>
    <x v="9"/>
  </r>
  <r>
    <n v="0"/>
    <n v="17"/>
    <s v="FTDU"/>
    <x v="13"/>
    <n v="0"/>
    <m/>
    <m/>
    <m/>
    <x v="9"/>
  </r>
  <r>
    <n v="0"/>
    <n v="18"/>
    <s v="FTDU"/>
    <x v="13"/>
    <n v="0"/>
    <m/>
    <m/>
    <m/>
    <x v="9"/>
  </r>
  <r>
    <n v="0"/>
    <n v="19"/>
    <s v="FTDU"/>
    <x v="13"/>
    <n v="0"/>
    <m/>
    <m/>
    <m/>
    <x v="9"/>
  </r>
  <r>
    <n v="0"/>
    <n v="20"/>
    <s v="FTDU"/>
    <x v="13"/>
    <n v="0"/>
    <m/>
    <m/>
    <m/>
    <x v="9"/>
  </r>
  <r>
    <n v="0"/>
    <n v="1"/>
    <s v="FTDU"/>
    <x v="14"/>
    <n v="0"/>
    <m/>
    <m/>
    <m/>
    <x v="9"/>
  </r>
  <r>
    <n v="0"/>
    <n v="2"/>
    <s v="FTDU"/>
    <x v="14"/>
    <n v="0"/>
    <m/>
    <m/>
    <m/>
    <x v="9"/>
  </r>
  <r>
    <n v="0"/>
    <n v="3"/>
    <s v="FTDU"/>
    <x v="14"/>
    <n v="0"/>
    <m/>
    <m/>
    <m/>
    <x v="9"/>
  </r>
  <r>
    <n v="0"/>
    <n v="4"/>
    <s v="FTDU"/>
    <x v="14"/>
    <n v="0"/>
    <m/>
    <m/>
    <m/>
    <x v="9"/>
  </r>
  <r>
    <n v="0"/>
    <n v="5"/>
    <s v="FTDU"/>
    <x v="14"/>
    <n v="0"/>
    <m/>
    <m/>
    <m/>
    <x v="9"/>
  </r>
  <r>
    <n v="0"/>
    <n v="6"/>
    <s v="FTDU"/>
    <x v="14"/>
    <n v="0"/>
    <m/>
    <m/>
    <m/>
    <x v="9"/>
  </r>
  <r>
    <n v="0"/>
    <n v="7"/>
    <s v="FTDU"/>
    <x v="14"/>
    <n v="0"/>
    <m/>
    <m/>
    <m/>
    <x v="9"/>
  </r>
  <r>
    <n v="0"/>
    <n v="8"/>
    <s v="FTDU"/>
    <x v="14"/>
    <n v="0"/>
    <m/>
    <m/>
    <m/>
    <x v="9"/>
  </r>
  <r>
    <n v="0"/>
    <n v="9"/>
    <s v="FTDU"/>
    <x v="14"/>
    <n v="0"/>
    <m/>
    <m/>
    <m/>
    <x v="9"/>
  </r>
  <r>
    <n v="0"/>
    <n v="10"/>
    <s v="FTDU"/>
    <x v="14"/>
    <n v="0"/>
    <m/>
    <m/>
    <m/>
    <x v="9"/>
  </r>
  <r>
    <n v="0"/>
    <n v="11"/>
    <s v="FTDU"/>
    <x v="14"/>
    <n v="0"/>
    <m/>
    <m/>
    <m/>
    <x v="9"/>
  </r>
  <r>
    <n v="0"/>
    <n v="12"/>
    <s v="FTDU"/>
    <x v="14"/>
    <n v="0"/>
    <m/>
    <m/>
    <m/>
    <x v="9"/>
  </r>
  <r>
    <n v="0"/>
    <n v="13"/>
    <s v="FTDU"/>
    <x v="14"/>
    <n v="0"/>
    <m/>
    <m/>
    <m/>
    <x v="9"/>
  </r>
  <r>
    <n v="0"/>
    <n v="14"/>
    <s v="FTDU"/>
    <x v="14"/>
    <n v="0"/>
    <m/>
    <m/>
    <m/>
    <x v="9"/>
  </r>
  <r>
    <n v="0"/>
    <n v="15"/>
    <s v="FTDU"/>
    <x v="14"/>
    <n v="0"/>
    <m/>
    <m/>
    <m/>
    <x v="9"/>
  </r>
  <r>
    <n v="0"/>
    <n v="16"/>
    <s v="FTDU"/>
    <x v="14"/>
    <n v="0"/>
    <m/>
    <m/>
    <m/>
    <x v="9"/>
  </r>
  <r>
    <n v="0"/>
    <n v="17"/>
    <s v="FTDU"/>
    <x v="14"/>
    <n v="0"/>
    <m/>
    <m/>
    <m/>
    <x v="9"/>
  </r>
  <r>
    <n v="0"/>
    <n v="18"/>
    <s v="FTDU"/>
    <x v="14"/>
    <n v="0"/>
    <m/>
    <m/>
    <m/>
    <x v="9"/>
  </r>
  <r>
    <n v="0"/>
    <n v="19"/>
    <s v="FTDU"/>
    <x v="14"/>
    <n v="0"/>
    <m/>
    <m/>
    <m/>
    <x v="9"/>
  </r>
  <r>
    <n v="0"/>
    <n v="20"/>
    <s v="FTDU"/>
    <x v="14"/>
    <n v="0"/>
    <m/>
    <m/>
    <m/>
    <x v="9"/>
  </r>
  <r>
    <n v="0"/>
    <n v="1"/>
    <s v="FTDU"/>
    <x v="15"/>
    <n v="0"/>
    <m/>
    <m/>
    <m/>
    <x v="9"/>
  </r>
  <r>
    <n v="0"/>
    <n v="2"/>
    <s v="FTDU"/>
    <x v="15"/>
    <n v="0"/>
    <m/>
    <m/>
    <m/>
    <x v="9"/>
  </r>
  <r>
    <n v="0"/>
    <n v="3"/>
    <s v="FTDU"/>
    <x v="15"/>
    <n v="0"/>
    <m/>
    <m/>
    <m/>
    <x v="9"/>
  </r>
  <r>
    <n v="0"/>
    <n v="4"/>
    <s v="FTDU"/>
    <x v="15"/>
    <n v="0"/>
    <m/>
    <m/>
    <m/>
    <x v="9"/>
  </r>
  <r>
    <n v="0"/>
    <n v="5"/>
    <s v="FTDU"/>
    <x v="15"/>
    <n v="0"/>
    <m/>
    <m/>
    <m/>
    <x v="9"/>
  </r>
  <r>
    <n v="0"/>
    <n v="6"/>
    <s v="FTDU"/>
    <x v="15"/>
    <n v="0"/>
    <m/>
    <m/>
    <m/>
    <x v="9"/>
  </r>
  <r>
    <n v="0"/>
    <n v="7"/>
    <s v="FTDU"/>
    <x v="15"/>
    <n v="0"/>
    <m/>
    <m/>
    <m/>
    <x v="9"/>
  </r>
  <r>
    <n v="0"/>
    <n v="8"/>
    <s v="FTDU"/>
    <x v="15"/>
    <n v="0"/>
    <m/>
    <m/>
    <m/>
    <x v="9"/>
  </r>
  <r>
    <n v="0"/>
    <n v="1"/>
    <s v="FTDU"/>
    <x v="16"/>
    <n v="0"/>
    <m/>
    <m/>
    <m/>
    <x v="9"/>
  </r>
  <r>
    <n v="0"/>
    <n v="2"/>
    <s v="FTDU"/>
    <x v="16"/>
    <n v="0"/>
    <m/>
    <m/>
    <m/>
    <x v="9"/>
  </r>
  <r>
    <n v="0"/>
    <n v="3"/>
    <s v="FTDU"/>
    <x v="16"/>
    <n v="0"/>
    <m/>
    <m/>
    <m/>
    <x v="9"/>
  </r>
  <r>
    <n v="0"/>
    <n v="4"/>
    <s v="FTDU"/>
    <x v="16"/>
    <n v="0"/>
    <m/>
    <m/>
    <m/>
    <x v="9"/>
  </r>
  <r>
    <n v="0"/>
    <n v="5"/>
    <s v="FTDU"/>
    <x v="16"/>
    <n v="0"/>
    <m/>
    <m/>
    <m/>
    <x v="9"/>
  </r>
  <r>
    <n v="0"/>
    <n v="6"/>
    <s v="FTDU"/>
    <x v="16"/>
    <n v="0"/>
    <m/>
    <m/>
    <m/>
    <x v="9"/>
  </r>
  <r>
    <n v="0"/>
    <n v="7"/>
    <s v="FTDU"/>
    <x v="16"/>
    <n v="0"/>
    <m/>
    <m/>
    <m/>
    <x v="9"/>
  </r>
  <r>
    <n v="0"/>
    <n v="8"/>
    <s v="FTDU"/>
    <x v="16"/>
    <n v="0"/>
    <m/>
    <m/>
    <m/>
    <x v="9"/>
  </r>
  <r>
    <n v="0"/>
    <n v="1"/>
    <s v="FTDU"/>
    <x v="17"/>
    <n v="0"/>
    <m/>
    <m/>
    <m/>
    <x v="9"/>
  </r>
  <r>
    <n v="0"/>
    <n v="2"/>
    <s v="FTDU"/>
    <x v="17"/>
    <n v="0"/>
    <m/>
    <m/>
    <m/>
    <x v="9"/>
  </r>
  <r>
    <n v="0"/>
    <n v="3"/>
    <s v="FTDU"/>
    <x v="17"/>
    <n v="0"/>
    <m/>
    <m/>
    <m/>
    <x v="9"/>
  </r>
  <r>
    <n v="0"/>
    <n v="4"/>
    <s v="FTDU"/>
    <x v="17"/>
    <n v="0"/>
    <m/>
    <m/>
    <m/>
    <x v="9"/>
  </r>
  <r>
    <n v="0"/>
    <n v="5"/>
    <s v="FTDU"/>
    <x v="17"/>
    <n v="0"/>
    <m/>
    <m/>
    <m/>
    <x v="9"/>
  </r>
  <r>
    <n v="0"/>
    <n v="1"/>
    <s v="FTDU"/>
    <x v="18"/>
    <n v="0"/>
    <m/>
    <m/>
    <m/>
    <x v="9"/>
  </r>
  <r>
    <n v="0"/>
    <n v="2"/>
    <s v="FTDU"/>
    <x v="18"/>
    <n v="0"/>
    <m/>
    <m/>
    <m/>
    <x v="9"/>
  </r>
  <r>
    <n v="0"/>
    <n v="3"/>
    <s v="FTDU"/>
    <x v="18"/>
    <n v="0"/>
    <m/>
    <m/>
    <m/>
    <x v="9"/>
  </r>
  <r>
    <n v="0"/>
    <n v="4"/>
    <s v="FTDU"/>
    <x v="18"/>
    <n v="0"/>
    <m/>
    <m/>
    <m/>
    <x v="9"/>
  </r>
  <r>
    <n v="0"/>
    <n v="5"/>
    <s v="FTDU"/>
    <x v="18"/>
    <n v="0"/>
    <m/>
    <m/>
    <m/>
    <x v="9"/>
  </r>
  <r>
    <n v="0"/>
    <n v="1"/>
    <s v="FTDU"/>
    <x v="19"/>
    <n v="0"/>
    <m/>
    <m/>
    <m/>
    <x v="9"/>
  </r>
  <r>
    <n v="0"/>
    <n v="2"/>
    <s v="FTDU"/>
    <x v="19"/>
    <n v="0"/>
    <m/>
    <m/>
    <m/>
    <x v="9"/>
  </r>
  <r>
    <n v="0"/>
    <n v="3"/>
    <s v="FTDU"/>
    <x v="19"/>
    <n v="0"/>
    <m/>
    <m/>
    <m/>
    <x v="9"/>
  </r>
  <r>
    <n v="0"/>
    <n v="4"/>
    <s v="FTDU"/>
    <x v="19"/>
    <n v="0"/>
    <m/>
    <m/>
    <m/>
    <x v="9"/>
  </r>
  <r>
    <n v="0"/>
    <n v="5"/>
    <s v="FTDU"/>
    <x v="19"/>
    <n v="0"/>
    <m/>
    <m/>
    <m/>
    <x v="9"/>
  </r>
  <r>
    <n v="0"/>
    <n v="6"/>
    <s v="FTDU"/>
    <x v="19"/>
    <n v="0"/>
    <m/>
    <m/>
    <m/>
    <x v="9"/>
  </r>
  <r>
    <n v="0"/>
    <n v="7"/>
    <s v="FTDU"/>
    <x v="19"/>
    <n v="0"/>
    <m/>
    <m/>
    <m/>
    <x v="9"/>
  </r>
  <r>
    <n v="0"/>
    <n v="8"/>
    <s v="FTDU"/>
    <x v="19"/>
    <n v="0"/>
    <m/>
    <m/>
    <m/>
    <x v="9"/>
  </r>
  <r>
    <n v="0"/>
    <n v="9"/>
    <s v="FTDU"/>
    <x v="19"/>
    <n v="0"/>
    <m/>
    <m/>
    <m/>
    <x v="9"/>
  </r>
  <r>
    <n v="0"/>
    <n v="10"/>
    <s v="FTDU"/>
    <x v="19"/>
    <n v="0"/>
    <m/>
    <m/>
    <m/>
    <x v="9"/>
  </r>
  <r>
    <n v="0"/>
    <n v="11"/>
    <s v="FTDU"/>
    <x v="19"/>
    <n v="0"/>
    <m/>
    <m/>
    <m/>
    <x v="9"/>
  </r>
  <r>
    <n v="0"/>
    <n v="12"/>
    <s v="FTDU"/>
    <x v="19"/>
    <n v="0"/>
    <m/>
    <m/>
    <m/>
    <x v="9"/>
  </r>
  <r>
    <n v="0"/>
    <n v="13"/>
    <s v="FTDU"/>
    <x v="19"/>
    <n v="0"/>
    <m/>
    <m/>
    <m/>
    <x v="9"/>
  </r>
  <r>
    <n v="0"/>
    <n v="14"/>
    <s v="FTDU"/>
    <x v="19"/>
    <n v="0"/>
    <m/>
    <m/>
    <m/>
    <x v="9"/>
  </r>
  <r>
    <n v="0"/>
    <n v="15"/>
    <s v="FTDU"/>
    <x v="19"/>
    <n v="0"/>
    <m/>
    <m/>
    <m/>
    <x v="9"/>
  </r>
  <r>
    <n v="0"/>
    <n v="16"/>
    <s v="FTDU"/>
    <x v="19"/>
    <n v="0"/>
    <m/>
    <m/>
    <m/>
    <x v="9"/>
  </r>
  <r>
    <n v="0"/>
    <n v="17"/>
    <s v="FTDU"/>
    <x v="19"/>
    <n v="0"/>
    <m/>
    <m/>
    <m/>
    <x v="9"/>
  </r>
  <r>
    <n v="0"/>
    <n v="18"/>
    <s v="FTDU"/>
    <x v="19"/>
    <n v="0"/>
    <m/>
    <m/>
    <m/>
    <x v="9"/>
  </r>
  <r>
    <n v="0"/>
    <n v="19"/>
    <s v="FTDU"/>
    <x v="19"/>
    <n v="0"/>
    <m/>
    <m/>
    <m/>
    <x v="9"/>
  </r>
  <r>
    <n v="0"/>
    <n v="20"/>
    <s v="FTDU"/>
    <x v="19"/>
    <n v="0"/>
    <m/>
    <m/>
    <m/>
    <x v="9"/>
  </r>
  <r>
    <n v="0"/>
    <n v="1"/>
    <s v="FTMS"/>
    <x v="6"/>
    <n v="0"/>
    <m/>
    <m/>
    <m/>
    <x v="10"/>
  </r>
  <r>
    <n v="0"/>
    <n v="2"/>
    <s v="FTMS"/>
    <x v="6"/>
    <n v="0"/>
    <m/>
    <m/>
    <m/>
    <x v="10"/>
  </r>
  <r>
    <n v="0"/>
    <n v="3"/>
    <s v="FTMS"/>
    <x v="6"/>
    <n v="0"/>
    <m/>
    <m/>
    <m/>
    <x v="10"/>
  </r>
  <r>
    <n v="0"/>
    <n v="4"/>
    <s v="FTMS"/>
    <x v="6"/>
    <n v="0"/>
    <m/>
    <m/>
    <m/>
    <x v="10"/>
  </r>
  <r>
    <n v="0"/>
    <n v="5"/>
    <s v="FTMS"/>
    <x v="6"/>
    <n v="0"/>
    <m/>
    <m/>
    <m/>
    <x v="10"/>
  </r>
  <r>
    <n v="0"/>
    <n v="6"/>
    <s v="FTMS"/>
    <x v="6"/>
    <n v="0"/>
    <m/>
    <m/>
    <m/>
    <x v="10"/>
  </r>
  <r>
    <n v="0"/>
    <n v="7"/>
    <s v="FTMS"/>
    <x v="6"/>
    <n v="0"/>
    <m/>
    <m/>
    <m/>
    <x v="10"/>
  </r>
  <r>
    <n v="0"/>
    <n v="8"/>
    <s v="FTMS"/>
    <x v="6"/>
    <n v="0"/>
    <m/>
    <m/>
    <m/>
    <x v="10"/>
  </r>
  <r>
    <n v="0"/>
    <n v="9"/>
    <s v="FTMS"/>
    <x v="6"/>
    <n v="0"/>
    <m/>
    <m/>
    <m/>
    <x v="10"/>
  </r>
  <r>
    <n v="0"/>
    <n v="10"/>
    <s v="FTMS"/>
    <x v="6"/>
    <n v="0"/>
    <m/>
    <m/>
    <m/>
    <x v="10"/>
  </r>
  <r>
    <n v="0"/>
    <n v="11"/>
    <s v="FTMS"/>
    <x v="6"/>
    <n v="0"/>
    <m/>
    <m/>
    <m/>
    <x v="10"/>
  </r>
  <r>
    <n v="0"/>
    <n v="12"/>
    <s v="FTMS"/>
    <x v="6"/>
    <n v="0"/>
    <m/>
    <m/>
    <m/>
    <x v="10"/>
  </r>
  <r>
    <n v="0"/>
    <n v="13"/>
    <s v="FTMS"/>
    <x v="6"/>
    <n v="0"/>
    <m/>
    <m/>
    <m/>
    <x v="10"/>
  </r>
  <r>
    <n v="0"/>
    <n v="14"/>
    <s v="FTMS"/>
    <x v="6"/>
    <n v="0"/>
    <m/>
    <m/>
    <m/>
    <x v="10"/>
  </r>
  <r>
    <n v="0"/>
    <n v="15"/>
    <s v="FTMS"/>
    <x v="6"/>
    <n v="0"/>
    <m/>
    <m/>
    <m/>
    <x v="10"/>
  </r>
  <r>
    <n v="0"/>
    <n v="16"/>
    <s v="FTMS"/>
    <x v="6"/>
    <n v="0"/>
    <m/>
    <m/>
    <m/>
    <x v="10"/>
  </r>
  <r>
    <n v="0"/>
    <n v="17"/>
    <s v="FTMS"/>
    <x v="6"/>
    <n v="0"/>
    <m/>
    <m/>
    <m/>
    <x v="10"/>
  </r>
  <r>
    <n v="0"/>
    <n v="18"/>
    <s v="FTMS"/>
    <x v="6"/>
    <n v="0"/>
    <m/>
    <m/>
    <m/>
    <x v="10"/>
  </r>
  <r>
    <n v="0"/>
    <n v="19"/>
    <s v="FTMS"/>
    <x v="6"/>
    <n v="0"/>
    <m/>
    <m/>
    <m/>
    <x v="10"/>
  </r>
  <r>
    <n v="0"/>
    <n v="20"/>
    <s v="FTMS"/>
    <x v="6"/>
    <n v="0"/>
    <m/>
    <m/>
    <m/>
    <x v="10"/>
  </r>
  <r>
    <n v="0"/>
    <n v="1"/>
    <s v="FTMS"/>
    <x v="7"/>
    <n v="0"/>
    <m/>
    <m/>
    <m/>
    <x v="10"/>
  </r>
  <r>
    <n v="0"/>
    <n v="2"/>
    <s v="FTMS"/>
    <x v="7"/>
    <n v="0"/>
    <m/>
    <m/>
    <m/>
    <x v="10"/>
  </r>
  <r>
    <n v="0"/>
    <n v="3"/>
    <s v="FTMS"/>
    <x v="7"/>
    <n v="0"/>
    <m/>
    <m/>
    <m/>
    <x v="10"/>
  </r>
  <r>
    <n v="0"/>
    <n v="4"/>
    <s v="FTMS"/>
    <x v="7"/>
    <n v="0"/>
    <m/>
    <m/>
    <m/>
    <x v="10"/>
  </r>
  <r>
    <n v="0"/>
    <n v="5"/>
    <s v="FTMS"/>
    <x v="7"/>
    <n v="0"/>
    <m/>
    <m/>
    <m/>
    <x v="10"/>
  </r>
  <r>
    <n v="0"/>
    <n v="6"/>
    <s v="FTMS"/>
    <x v="7"/>
    <n v="0"/>
    <m/>
    <m/>
    <m/>
    <x v="10"/>
  </r>
  <r>
    <n v="0"/>
    <n v="7"/>
    <s v="FTMS"/>
    <x v="7"/>
    <n v="0"/>
    <m/>
    <m/>
    <m/>
    <x v="10"/>
  </r>
  <r>
    <n v="0"/>
    <n v="8"/>
    <s v="FTMS"/>
    <x v="7"/>
    <n v="0"/>
    <m/>
    <m/>
    <m/>
    <x v="10"/>
  </r>
  <r>
    <n v="0"/>
    <n v="9"/>
    <s v="FTMS"/>
    <x v="7"/>
    <n v="0"/>
    <m/>
    <m/>
    <m/>
    <x v="10"/>
  </r>
  <r>
    <n v="0"/>
    <n v="10"/>
    <s v="FTMS"/>
    <x v="7"/>
    <n v="0"/>
    <m/>
    <m/>
    <m/>
    <x v="10"/>
  </r>
  <r>
    <n v="0"/>
    <n v="11"/>
    <s v="FTMS"/>
    <x v="7"/>
    <n v="0"/>
    <m/>
    <m/>
    <m/>
    <x v="10"/>
  </r>
  <r>
    <n v="0"/>
    <n v="12"/>
    <s v="FTMS"/>
    <x v="7"/>
    <n v="0"/>
    <m/>
    <m/>
    <m/>
    <x v="10"/>
  </r>
  <r>
    <n v="0"/>
    <n v="13"/>
    <s v="FTMS"/>
    <x v="7"/>
    <n v="0"/>
    <m/>
    <m/>
    <m/>
    <x v="10"/>
  </r>
  <r>
    <n v="0"/>
    <n v="14"/>
    <s v="FTMS"/>
    <x v="7"/>
    <n v="0"/>
    <m/>
    <m/>
    <m/>
    <x v="10"/>
  </r>
  <r>
    <n v="0"/>
    <n v="15"/>
    <s v="FTMS"/>
    <x v="7"/>
    <n v="0"/>
    <m/>
    <m/>
    <m/>
    <x v="10"/>
  </r>
  <r>
    <n v="0"/>
    <n v="16"/>
    <s v="FTMS"/>
    <x v="7"/>
    <n v="0"/>
    <m/>
    <m/>
    <m/>
    <x v="10"/>
  </r>
  <r>
    <n v="0"/>
    <n v="17"/>
    <s v="FTMS"/>
    <x v="7"/>
    <n v="0"/>
    <m/>
    <m/>
    <m/>
    <x v="10"/>
  </r>
  <r>
    <n v="0"/>
    <n v="18"/>
    <s v="FTMS"/>
    <x v="7"/>
    <n v="0"/>
    <m/>
    <m/>
    <m/>
    <x v="10"/>
  </r>
  <r>
    <n v="0"/>
    <n v="19"/>
    <s v="FTMS"/>
    <x v="7"/>
    <n v="0"/>
    <m/>
    <m/>
    <m/>
    <x v="10"/>
  </r>
  <r>
    <n v="0"/>
    <n v="20"/>
    <s v="FTMS"/>
    <x v="7"/>
    <n v="0"/>
    <m/>
    <m/>
    <m/>
    <x v="10"/>
  </r>
  <r>
    <n v="0"/>
    <n v="1"/>
    <s v="FTMS"/>
    <x v="8"/>
    <n v="0"/>
    <m/>
    <m/>
    <m/>
    <x v="10"/>
  </r>
  <r>
    <n v="0"/>
    <n v="2"/>
    <s v="FTMS"/>
    <x v="8"/>
    <n v="0"/>
    <m/>
    <m/>
    <m/>
    <x v="10"/>
  </r>
  <r>
    <n v="0"/>
    <n v="3"/>
    <s v="FTMS"/>
    <x v="8"/>
    <n v="0"/>
    <m/>
    <m/>
    <m/>
    <x v="10"/>
  </r>
  <r>
    <n v="0"/>
    <n v="4"/>
    <s v="FTMS"/>
    <x v="8"/>
    <n v="0"/>
    <m/>
    <m/>
    <m/>
    <x v="10"/>
  </r>
  <r>
    <n v="0"/>
    <n v="5"/>
    <s v="FTMS"/>
    <x v="8"/>
    <n v="0"/>
    <m/>
    <m/>
    <m/>
    <x v="10"/>
  </r>
  <r>
    <n v="0"/>
    <n v="6"/>
    <s v="FTMS"/>
    <x v="8"/>
    <n v="0"/>
    <m/>
    <m/>
    <m/>
    <x v="10"/>
  </r>
  <r>
    <n v="0"/>
    <n v="7"/>
    <s v="FTMS"/>
    <x v="8"/>
    <n v="0"/>
    <m/>
    <m/>
    <m/>
    <x v="10"/>
  </r>
  <r>
    <n v="0"/>
    <n v="8"/>
    <s v="FTMS"/>
    <x v="8"/>
    <n v="0"/>
    <m/>
    <m/>
    <m/>
    <x v="10"/>
  </r>
  <r>
    <n v="0"/>
    <n v="9"/>
    <s v="FTMS"/>
    <x v="8"/>
    <n v="0"/>
    <m/>
    <m/>
    <m/>
    <x v="10"/>
  </r>
  <r>
    <n v="0"/>
    <n v="10"/>
    <s v="FTMS"/>
    <x v="8"/>
    <n v="0"/>
    <m/>
    <m/>
    <m/>
    <x v="10"/>
  </r>
  <r>
    <n v="0"/>
    <n v="11"/>
    <s v="FTMS"/>
    <x v="8"/>
    <n v="0"/>
    <m/>
    <m/>
    <m/>
    <x v="10"/>
  </r>
  <r>
    <n v="0"/>
    <n v="12"/>
    <s v="FTMS"/>
    <x v="8"/>
    <n v="0"/>
    <m/>
    <m/>
    <m/>
    <x v="10"/>
  </r>
  <r>
    <n v="0"/>
    <n v="13"/>
    <s v="FTMS"/>
    <x v="8"/>
    <n v="0"/>
    <m/>
    <m/>
    <m/>
    <x v="10"/>
  </r>
  <r>
    <n v="0"/>
    <n v="14"/>
    <s v="FTMS"/>
    <x v="8"/>
    <n v="0"/>
    <m/>
    <m/>
    <m/>
    <x v="10"/>
  </r>
  <r>
    <n v="0"/>
    <n v="15"/>
    <s v="FTMS"/>
    <x v="8"/>
    <n v="0"/>
    <m/>
    <m/>
    <m/>
    <x v="10"/>
  </r>
  <r>
    <n v="0"/>
    <n v="16"/>
    <s v="FTMS"/>
    <x v="8"/>
    <n v="0"/>
    <m/>
    <m/>
    <m/>
    <x v="10"/>
  </r>
  <r>
    <n v="0"/>
    <n v="17"/>
    <s v="FTMS"/>
    <x v="8"/>
    <n v="0"/>
    <m/>
    <m/>
    <m/>
    <x v="10"/>
  </r>
  <r>
    <n v="0"/>
    <n v="18"/>
    <s v="FTMS"/>
    <x v="8"/>
    <n v="0"/>
    <m/>
    <m/>
    <m/>
    <x v="10"/>
  </r>
  <r>
    <n v="0"/>
    <n v="19"/>
    <s v="FTMS"/>
    <x v="8"/>
    <n v="0"/>
    <m/>
    <m/>
    <m/>
    <x v="10"/>
  </r>
  <r>
    <n v="0"/>
    <n v="20"/>
    <s v="FTMS"/>
    <x v="8"/>
    <n v="0"/>
    <m/>
    <m/>
    <m/>
    <x v="10"/>
  </r>
  <r>
    <n v="0"/>
    <n v="1"/>
    <s v="FTMS"/>
    <x v="9"/>
    <n v="0"/>
    <m/>
    <m/>
    <m/>
    <x v="10"/>
  </r>
  <r>
    <n v="0"/>
    <n v="2"/>
    <s v="FTMS"/>
    <x v="9"/>
    <n v="0"/>
    <m/>
    <m/>
    <m/>
    <x v="10"/>
  </r>
  <r>
    <n v="0"/>
    <n v="3"/>
    <s v="FTMS"/>
    <x v="9"/>
    <n v="0"/>
    <m/>
    <m/>
    <m/>
    <x v="10"/>
  </r>
  <r>
    <n v="0"/>
    <n v="4"/>
    <s v="FTMS"/>
    <x v="9"/>
    <n v="0"/>
    <m/>
    <m/>
    <m/>
    <x v="10"/>
  </r>
  <r>
    <n v="0"/>
    <n v="5"/>
    <s v="FTMS"/>
    <x v="9"/>
    <n v="0"/>
    <m/>
    <m/>
    <m/>
    <x v="10"/>
  </r>
  <r>
    <n v="0"/>
    <n v="6"/>
    <s v="FTMS"/>
    <x v="9"/>
    <n v="0"/>
    <m/>
    <m/>
    <m/>
    <x v="10"/>
  </r>
  <r>
    <n v="0"/>
    <n v="7"/>
    <s v="FTMS"/>
    <x v="9"/>
    <n v="0"/>
    <m/>
    <m/>
    <m/>
    <x v="10"/>
  </r>
  <r>
    <n v="0"/>
    <n v="8"/>
    <s v="FTMS"/>
    <x v="9"/>
    <n v="0"/>
    <m/>
    <m/>
    <m/>
    <x v="10"/>
  </r>
  <r>
    <n v="0"/>
    <n v="9"/>
    <s v="FTMS"/>
    <x v="9"/>
    <n v="0"/>
    <m/>
    <m/>
    <m/>
    <x v="10"/>
  </r>
  <r>
    <n v="0"/>
    <n v="10"/>
    <s v="FTMS"/>
    <x v="9"/>
    <n v="0"/>
    <m/>
    <m/>
    <m/>
    <x v="10"/>
  </r>
  <r>
    <n v="0"/>
    <n v="11"/>
    <s v="FTMS"/>
    <x v="9"/>
    <n v="0"/>
    <m/>
    <m/>
    <m/>
    <x v="10"/>
  </r>
  <r>
    <n v="0"/>
    <n v="12"/>
    <s v="FTMS"/>
    <x v="9"/>
    <n v="0"/>
    <m/>
    <m/>
    <m/>
    <x v="10"/>
  </r>
  <r>
    <n v="0"/>
    <n v="13"/>
    <s v="FTMS"/>
    <x v="9"/>
    <n v="0"/>
    <m/>
    <m/>
    <m/>
    <x v="10"/>
  </r>
  <r>
    <n v="0"/>
    <n v="14"/>
    <s v="FTMS"/>
    <x v="9"/>
    <n v="0"/>
    <m/>
    <m/>
    <m/>
    <x v="10"/>
  </r>
  <r>
    <n v="0"/>
    <n v="15"/>
    <s v="FTMS"/>
    <x v="9"/>
    <n v="0"/>
    <m/>
    <m/>
    <m/>
    <x v="10"/>
  </r>
  <r>
    <n v="0"/>
    <n v="16"/>
    <s v="FTMS"/>
    <x v="9"/>
    <n v="0"/>
    <m/>
    <m/>
    <m/>
    <x v="10"/>
  </r>
  <r>
    <n v="0"/>
    <n v="17"/>
    <s v="FTMS"/>
    <x v="9"/>
    <n v="0"/>
    <m/>
    <m/>
    <m/>
    <x v="10"/>
  </r>
  <r>
    <n v="0"/>
    <n v="18"/>
    <s v="FTMS"/>
    <x v="9"/>
    <n v="0"/>
    <m/>
    <m/>
    <m/>
    <x v="10"/>
  </r>
  <r>
    <n v="0"/>
    <n v="19"/>
    <s v="FTMS"/>
    <x v="9"/>
    <n v="0"/>
    <m/>
    <m/>
    <m/>
    <x v="10"/>
  </r>
  <r>
    <n v="0"/>
    <n v="20"/>
    <s v="FTMS"/>
    <x v="9"/>
    <n v="0"/>
    <m/>
    <m/>
    <m/>
    <x v="10"/>
  </r>
  <r>
    <n v="0"/>
    <n v="1"/>
    <s v="FTMS"/>
    <x v="10"/>
    <n v="0"/>
    <m/>
    <m/>
    <m/>
    <x v="10"/>
  </r>
  <r>
    <n v="0"/>
    <n v="2"/>
    <s v="FTMS"/>
    <x v="10"/>
    <n v="0"/>
    <m/>
    <m/>
    <m/>
    <x v="10"/>
  </r>
  <r>
    <n v="0"/>
    <n v="3"/>
    <s v="FTMS"/>
    <x v="10"/>
    <n v="0"/>
    <m/>
    <m/>
    <m/>
    <x v="10"/>
  </r>
  <r>
    <n v="0"/>
    <n v="4"/>
    <s v="FTMS"/>
    <x v="10"/>
    <n v="0"/>
    <m/>
    <m/>
    <m/>
    <x v="10"/>
  </r>
  <r>
    <n v="0"/>
    <n v="5"/>
    <s v="FTMS"/>
    <x v="10"/>
    <n v="0"/>
    <m/>
    <m/>
    <m/>
    <x v="10"/>
  </r>
  <r>
    <n v="0"/>
    <n v="6"/>
    <s v="FTMS"/>
    <x v="10"/>
    <n v="0"/>
    <m/>
    <m/>
    <m/>
    <x v="10"/>
  </r>
  <r>
    <n v="0"/>
    <n v="7"/>
    <s v="FTMS"/>
    <x v="10"/>
    <n v="0"/>
    <m/>
    <m/>
    <m/>
    <x v="10"/>
  </r>
  <r>
    <n v="0"/>
    <n v="8"/>
    <s v="FTMS"/>
    <x v="10"/>
    <n v="0"/>
    <m/>
    <m/>
    <m/>
    <x v="10"/>
  </r>
  <r>
    <n v="0"/>
    <n v="9"/>
    <s v="FTMS"/>
    <x v="10"/>
    <n v="0"/>
    <m/>
    <m/>
    <m/>
    <x v="10"/>
  </r>
  <r>
    <n v="0"/>
    <n v="10"/>
    <s v="FTMS"/>
    <x v="10"/>
    <n v="0"/>
    <m/>
    <m/>
    <m/>
    <x v="10"/>
  </r>
  <r>
    <n v="0"/>
    <n v="11"/>
    <s v="FTMS"/>
    <x v="10"/>
    <n v="0"/>
    <m/>
    <m/>
    <m/>
    <x v="10"/>
  </r>
  <r>
    <n v="0"/>
    <n v="12"/>
    <s v="FTMS"/>
    <x v="10"/>
    <n v="0"/>
    <m/>
    <m/>
    <m/>
    <x v="10"/>
  </r>
  <r>
    <n v="0"/>
    <n v="13"/>
    <s v="FTMS"/>
    <x v="10"/>
    <n v="0"/>
    <m/>
    <m/>
    <m/>
    <x v="10"/>
  </r>
  <r>
    <n v="0"/>
    <n v="14"/>
    <s v="FTMS"/>
    <x v="10"/>
    <n v="0"/>
    <m/>
    <m/>
    <m/>
    <x v="10"/>
  </r>
  <r>
    <n v="0"/>
    <n v="15"/>
    <s v="FTMS"/>
    <x v="10"/>
    <n v="0"/>
    <m/>
    <m/>
    <m/>
    <x v="10"/>
  </r>
  <r>
    <n v="0"/>
    <n v="16"/>
    <s v="FTMS"/>
    <x v="10"/>
    <n v="0"/>
    <m/>
    <m/>
    <m/>
    <x v="10"/>
  </r>
  <r>
    <n v="0"/>
    <n v="17"/>
    <s v="FTMS"/>
    <x v="10"/>
    <n v="0"/>
    <m/>
    <m/>
    <m/>
    <x v="10"/>
  </r>
  <r>
    <n v="0"/>
    <n v="18"/>
    <s v="FTMS"/>
    <x v="10"/>
    <n v="0"/>
    <m/>
    <m/>
    <m/>
    <x v="10"/>
  </r>
  <r>
    <n v="0"/>
    <n v="19"/>
    <s v="FTMS"/>
    <x v="10"/>
    <n v="0"/>
    <m/>
    <m/>
    <m/>
    <x v="10"/>
  </r>
  <r>
    <n v="0"/>
    <n v="20"/>
    <s v="FTMS"/>
    <x v="10"/>
    <n v="0"/>
    <m/>
    <m/>
    <m/>
    <x v="10"/>
  </r>
  <r>
    <n v="0"/>
    <n v="1"/>
    <s v="FTMS"/>
    <x v="11"/>
    <n v="0"/>
    <m/>
    <m/>
    <m/>
    <x v="10"/>
  </r>
  <r>
    <n v="0"/>
    <n v="2"/>
    <s v="FTMS"/>
    <x v="11"/>
    <n v="0"/>
    <m/>
    <m/>
    <m/>
    <x v="10"/>
  </r>
  <r>
    <n v="0"/>
    <n v="3"/>
    <s v="FTMS"/>
    <x v="11"/>
    <n v="0"/>
    <m/>
    <m/>
    <m/>
    <x v="10"/>
  </r>
  <r>
    <n v="0"/>
    <n v="4"/>
    <s v="FTMS"/>
    <x v="11"/>
    <n v="0"/>
    <m/>
    <m/>
    <m/>
    <x v="10"/>
  </r>
  <r>
    <n v="0"/>
    <n v="5"/>
    <s v="FTMS"/>
    <x v="11"/>
    <n v="0"/>
    <m/>
    <m/>
    <m/>
    <x v="10"/>
  </r>
  <r>
    <n v="0"/>
    <n v="6"/>
    <s v="FTMS"/>
    <x v="11"/>
    <n v="0"/>
    <m/>
    <m/>
    <m/>
    <x v="10"/>
  </r>
  <r>
    <n v="0"/>
    <n v="7"/>
    <s v="FTMS"/>
    <x v="11"/>
    <n v="0"/>
    <m/>
    <m/>
    <m/>
    <x v="10"/>
  </r>
  <r>
    <n v="0"/>
    <n v="8"/>
    <s v="FTMS"/>
    <x v="11"/>
    <n v="0"/>
    <m/>
    <m/>
    <m/>
    <x v="10"/>
  </r>
  <r>
    <n v="0"/>
    <n v="9"/>
    <s v="FTMS"/>
    <x v="11"/>
    <n v="0"/>
    <m/>
    <m/>
    <m/>
    <x v="10"/>
  </r>
  <r>
    <n v="0"/>
    <n v="10"/>
    <s v="FTMS"/>
    <x v="11"/>
    <n v="0"/>
    <m/>
    <m/>
    <m/>
    <x v="10"/>
  </r>
  <r>
    <n v="0"/>
    <n v="11"/>
    <s v="FTMS"/>
    <x v="11"/>
    <n v="0"/>
    <m/>
    <m/>
    <m/>
    <x v="10"/>
  </r>
  <r>
    <n v="0"/>
    <n v="12"/>
    <s v="FTMS"/>
    <x v="11"/>
    <n v="0"/>
    <m/>
    <m/>
    <m/>
    <x v="10"/>
  </r>
  <r>
    <n v="0"/>
    <n v="13"/>
    <s v="FTMS"/>
    <x v="11"/>
    <n v="0"/>
    <m/>
    <m/>
    <m/>
    <x v="10"/>
  </r>
  <r>
    <n v="0"/>
    <n v="14"/>
    <s v="FTMS"/>
    <x v="11"/>
    <n v="0"/>
    <m/>
    <m/>
    <m/>
    <x v="10"/>
  </r>
  <r>
    <n v="0"/>
    <n v="15"/>
    <s v="FTMS"/>
    <x v="11"/>
    <n v="0"/>
    <m/>
    <m/>
    <m/>
    <x v="10"/>
  </r>
  <r>
    <n v="0"/>
    <n v="16"/>
    <s v="FTMS"/>
    <x v="11"/>
    <n v="0"/>
    <m/>
    <m/>
    <m/>
    <x v="10"/>
  </r>
  <r>
    <n v="0"/>
    <n v="17"/>
    <s v="FTMS"/>
    <x v="11"/>
    <n v="0"/>
    <m/>
    <m/>
    <m/>
    <x v="10"/>
  </r>
  <r>
    <n v="0"/>
    <n v="18"/>
    <s v="FTMS"/>
    <x v="11"/>
    <n v="0"/>
    <m/>
    <m/>
    <m/>
    <x v="10"/>
  </r>
  <r>
    <n v="0"/>
    <n v="19"/>
    <s v="FTMS"/>
    <x v="11"/>
    <n v="0"/>
    <m/>
    <m/>
    <m/>
    <x v="10"/>
  </r>
  <r>
    <n v="0"/>
    <n v="20"/>
    <s v="FTMS"/>
    <x v="11"/>
    <n v="0"/>
    <m/>
    <m/>
    <m/>
    <x v="10"/>
  </r>
  <r>
    <n v="0"/>
    <n v="1"/>
    <s v="FTMS"/>
    <x v="12"/>
    <n v="0"/>
    <m/>
    <m/>
    <m/>
    <x v="10"/>
  </r>
  <r>
    <n v="0"/>
    <n v="2"/>
    <s v="FTMS"/>
    <x v="12"/>
    <n v="0"/>
    <m/>
    <m/>
    <m/>
    <x v="10"/>
  </r>
  <r>
    <n v="0"/>
    <n v="3"/>
    <s v="FTMS"/>
    <x v="12"/>
    <n v="0"/>
    <m/>
    <m/>
    <m/>
    <x v="10"/>
  </r>
  <r>
    <n v="0"/>
    <n v="4"/>
    <s v="FTMS"/>
    <x v="12"/>
    <n v="0"/>
    <m/>
    <m/>
    <m/>
    <x v="10"/>
  </r>
  <r>
    <n v="0"/>
    <n v="5"/>
    <s v="FTMS"/>
    <x v="12"/>
    <n v="0"/>
    <m/>
    <m/>
    <m/>
    <x v="10"/>
  </r>
  <r>
    <n v="0"/>
    <n v="6"/>
    <s v="FTMS"/>
    <x v="12"/>
    <n v="0"/>
    <m/>
    <m/>
    <m/>
    <x v="10"/>
  </r>
  <r>
    <n v="0"/>
    <n v="7"/>
    <s v="FTMS"/>
    <x v="12"/>
    <n v="0"/>
    <m/>
    <m/>
    <m/>
    <x v="10"/>
  </r>
  <r>
    <n v="0"/>
    <n v="8"/>
    <s v="FTMS"/>
    <x v="12"/>
    <n v="0"/>
    <m/>
    <m/>
    <m/>
    <x v="10"/>
  </r>
  <r>
    <n v="0"/>
    <n v="9"/>
    <s v="FTMS"/>
    <x v="12"/>
    <n v="0"/>
    <m/>
    <m/>
    <m/>
    <x v="10"/>
  </r>
  <r>
    <n v="0"/>
    <n v="10"/>
    <s v="FTMS"/>
    <x v="12"/>
    <n v="0"/>
    <m/>
    <m/>
    <m/>
    <x v="10"/>
  </r>
  <r>
    <n v="0"/>
    <n v="11"/>
    <s v="FTMS"/>
    <x v="12"/>
    <n v="0"/>
    <m/>
    <m/>
    <m/>
    <x v="10"/>
  </r>
  <r>
    <n v="0"/>
    <n v="12"/>
    <s v="FTMS"/>
    <x v="12"/>
    <n v="0"/>
    <m/>
    <m/>
    <m/>
    <x v="10"/>
  </r>
  <r>
    <n v="0"/>
    <n v="13"/>
    <s v="FTMS"/>
    <x v="12"/>
    <n v="0"/>
    <m/>
    <m/>
    <m/>
    <x v="10"/>
  </r>
  <r>
    <n v="0"/>
    <n v="14"/>
    <s v="FTMS"/>
    <x v="12"/>
    <n v="0"/>
    <m/>
    <m/>
    <m/>
    <x v="10"/>
  </r>
  <r>
    <n v="0"/>
    <n v="15"/>
    <s v="FTMS"/>
    <x v="12"/>
    <n v="0"/>
    <m/>
    <m/>
    <m/>
    <x v="10"/>
  </r>
  <r>
    <n v="0"/>
    <n v="16"/>
    <s v="FTMS"/>
    <x v="12"/>
    <n v="0"/>
    <m/>
    <m/>
    <m/>
    <x v="10"/>
  </r>
  <r>
    <n v="0"/>
    <n v="17"/>
    <s v="FTMS"/>
    <x v="12"/>
    <n v="0"/>
    <m/>
    <m/>
    <m/>
    <x v="10"/>
  </r>
  <r>
    <n v="0"/>
    <n v="18"/>
    <s v="FTMS"/>
    <x v="12"/>
    <n v="0"/>
    <m/>
    <m/>
    <m/>
    <x v="10"/>
  </r>
  <r>
    <n v="0"/>
    <n v="19"/>
    <s v="FTMS"/>
    <x v="12"/>
    <n v="0"/>
    <m/>
    <m/>
    <m/>
    <x v="10"/>
  </r>
  <r>
    <n v="0"/>
    <n v="20"/>
    <s v="FTMS"/>
    <x v="12"/>
    <n v="0"/>
    <m/>
    <m/>
    <m/>
    <x v="10"/>
  </r>
  <r>
    <n v="0"/>
    <n v="1"/>
    <s v="FTMS"/>
    <x v="13"/>
    <n v="0"/>
    <m/>
    <m/>
    <m/>
    <x v="10"/>
  </r>
  <r>
    <n v="0"/>
    <n v="2"/>
    <s v="FTMS"/>
    <x v="13"/>
    <n v="0"/>
    <m/>
    <m/>
    <m/>
    <x v="10"/>
  </r>
  <r>
    <n v="0"/>
    <n v="3"/>
    <s v="FTMS"/>
    <x v="13"/>
    <n v="0"/>
    <m/>
    <m/>
    <m/>
    <x v="10"/>
  </r>
  <r>
    <n v="0"/>
    <n v="4"/>
    <s v="FTMS"/>
    <x v="13"/>
    <n v="0"/>
    <m/>
    <m/>
    <m/>
    <x v="10"/>
  </r>
  <r>
    <n v="0"/>
    <n v="5"/>
    <s v="FTMS"/>
    <x v="13"/>
    <n v="0"/>
    <m/>
    <m/>
    <m/>
    <x v="10"/>
  </r>
  <r>
    <n v="0"/>
    <n v="6"/>
    <s v="FTMS"/>
    <x v="13"/>
    <n v="0"/>
    <m/>
    <m/>
    <m/>
    <x v="10"/>
  </r>
  <r>
    <n v="0"/>
    <n v="7"/>
    <s v="FTMS"/>
    <x v="13"/>
    <n v="0"/>
    <m/>
    <m/>
    <m/>
    <x v="10"/>
  </r>
  <r>
    <n v="0"/>
    <n v="8"/>
    <s v="FTMS"/>
    <x v="13"/>
    <n v="0"/>
    <m/>
    <m/>
    <m/>
    <x v="10"/>
  </r>
  <r>
    <n v="0"/>
    <n v="9"/>
    <s v="FTMS"/>
    <x v="13"/>
    <n v="0"/>
    <m/>
    <m/>
    <m/>
    <x v="10"/>
  </r>
  <r>
    <n v="0"/>
    <n v="10"/>
    <s v="FTMS"/>
    <x v="13"/>
    <n v="0"/>
    <m/>
    <m/>
    <m/>
    <x v="10"/>
  </r>
  <r>
    <n v="0"/>
    <n v="11"/>
    <s v="FTMS"/>
    <x v="13"/>
    <n v="0"/>
    <m/>
    <m/>
    <m/>
    <x v="10"/>
  </r>
  <r>
    <n v="0"/>
    <n v="12"/>
    <s v="FTMS"/>
    <x v="13"/>
    <n v="0"/>
    <m/>
    <m/>
    <m/>
    <x v="10"/>
  </r>
  <r>
    <n v="0"/>
    <n v="13"/>
    <s v="FTMS"/>
    <x v="13"/>
    <n v="0"/>
    <m/>
    <m/>
    <m/>
    <x v="10"/>
  </r>
  <r>
    <n v="0"/>
    <n v="14"/>
    <s v="FTMS"/>
    <x v="13"/>
    <n v="0"/>
    <m/>
    <m/>
    <m/>
    <x v="10"/>
  </r>
  <r>
    <n v="0"/>
    <n v="15"/>
    <s v="FTMS"/>
    <x v="13"/>
    <n v="0"/>
    <m/>
    <m/>
    <m/>
    <x v="10"/>
  </r>
  <r>
    <n v="0"/>
    <n v="16"/>
    <s v="FTMS"/>
    <x v="13"/>
    <n v="0"/>
    <m/>
    <m/>
    <m/>
    <x v="10"/>
  </r>
  <r>
    <n v="0"/>
    <n v="17"/>
    <s v="FTMS"/>
    <x v="13"/>
    <n v="0"/>
    <m/>
    <m/>
    <m/>
    <x v="10"/>
  </r>
  <r>
    <n v="0"/>
    <n v="18"/>
    <s v="FTMS"/>
    <x v="13"/>
    <n v="0"/>
    <m/>
    <m/>
    <m/>
    <x v="10"/>
  </r>
  <r>
    <n v="0"/>
    <n v="19"/>
    <s v="FTMS"/>
    <x v="13"/>
    <n v="0"/>
    <m/>
    <m/>
    <m/>
    <x v="10"/>
  </r>
  <r>
    <n v="0"/>
    <n v="20"/>
    <s v="FTMS"/>
    <x v="13"/>
    <n v="0"/>
    <m/>
    <m/>
    <m/>
    <x v="10"/>
  </r>
  <r>
    <n v="0"/>
    <n v="1"/>
    <s v="FTMS"/>
    <x v="14"/>
    <n v="0"/>
    <m/>
    <m/>
    <m/>
    <x v="10"/>
  </r>
  <r>
    <n v="0"/>
    <n v="2"/>
    <s v="FTMS"/>
    <x v="14"/>
    <n v="0"/>
    <m/>
    <m/>
    <m/>
    <x v="10"/>
  </r>
  <r>
    <n v="0"/>
    <n v="3"/>
    <s v="FTMS"/>
    <x v="14"/>
    <n v="0"/>
    <m/>
    <m/>
    <m/>
    <x v="10"/>
  </r>
  <r>
    <n v="0"/>
    <n v="4"/>
    <s v="FTMS"/>
    <x v="14"/>
    <n v="0"/>
    <m/>
    <m/>
    <m/>
    <x v="10"/>
  </r>
  <r>
    <n v="0"/>
    <n v="5"/>
    <s v="FTMS"/>
    <x v="14"/>
    <n v="0"/>
    <m/>
    <m/>
    <m/>
    <x v="10"/>
  </r>
  <r>
    <n v="0"/>
    <n v="6"/>
    <s v="FTMS"/>
    <x v="14"/>
    <n v="0"/>
    <m/>
    <m/>
    <m/>
    <x v="10"/>
  </r>
  <r>
    <n v="0"/>
    <n v="7"/>
    <s v="FTMS"/>
    <x v="14"/>
    <n v="0"/>
    <m/>
    <m/>
    <m/>
    <x v="10"/>
  </r>
  <r>
    <n v="0"/>
    <n v="8"/>
    <s v="FTMS"/>
    <x v="14"/>
    <n v="0"/>
    <m/>
    <m/>
    <m/>
    <x v="10"/>
  </r>
  <r>
    <n v="0"/>
    <n v="9"/>
    <s v="FTMS"/>
    <x v="14"/>
    <n v="0"/>
    <m/>
    <m/>
    <m/>
    <x v="10"/>
  </r>
  <r>
    <n v="0"/>
    <n v="10"/>
    <s v="FTMS"/>
    <x v="14"/>
    <n v="0"/>
    <m/>
    <m/>
    <m/>
    <x v="10"/>
  </r>
  <r>
    <n v="0"/>
    <n v="11"/>
    <s v="FTMS"/>
    <x v="14"/>
    <n v="0"/>
    <m/>
    <m/>
    <m/>
    <x v="10"/>
  </r>
  <r>
    <n v="0"/>
    <n v="12"/>
    <s v="FTMS"/>
    <x v="14"/>
    <n v="0"/>
    <m/>
    <m/>
    <m/>
    <x v="10"/>
  </r>
  <r>
    <n v="0"/>
    <n v="13"/>
    <s v="FTMS"/>
    <x v="14"/>
    <n v="0"/>
    <m/>
    <m/>
    <m/>
    <x v="10"/>
  </r>
  <r>
    <n v="0"/>
    <n v="14"/>
    <s v="FTMS"/>
    <x v="14"/>
    <n v="0"/>
    <m/>
    <m/>
    <m/>
    <x v="10"/>
  </r>
  <r>
    <n v="0"/>
    <n v="15"/>
    <s v="FTMS"/>
    <x v="14"/>
    <n v="0"/>
    <m/>
    <m/>
    <m/>
    <x v="10"/>
  </r>
  <r>
    <n v="0"/>
    <n v="16"/>
    <s v="FTMS"/>
    <x v="14"/>
    <n v="0"/>
    <m/>
    <m/>
    <m/>
    <x v="10"/>
  </r>
  <r>
    <n v="0"/>
    <n v="17"/>
    <s v="FTMS"/>
    <x v="14"/>
    <n v="0"/>
    <m/>
    <m/>
    <m/>
    <x v="10"/>
  </r>
  <r>
    <n v="0"/>
    <n v="18"/>
    <s v="FTMS"/>
    <x v="14"/>
    <n v="0"/>
    <m/>
    <m/>
    <m/>
    <x v="10"/>
  </r>
  <r>
    <n v="0"/>
    <n v="19"/>
    <s v="FTMS"/>
    <x v="14"/>
    <n v="0"/>
    <m/>
    <m/>
    <m/>
    <x v="10"/>
  </r>
  <r>
    <n v="0"/>
    <n v="20"/>
    <s v="FTMS"/>
    <x v="14"/>
    <n v="0"/>
    <m/>
    <m/>
    <m/>
    <x v="10"/>
  </r>
  <r>
    <n v="0"/>
    <n v="1"/>
    <s v="FTMS"/>
    <x v="15"/>
    <n v="0"/>
    <m/>
    <m/>
    <m/>
    <x v="10"/>
  </r>
  <r>
    <n v="0"/>
    <n v="2"/>
    <s v="FTMS"/>
    <x v="15"/>
    <n v="0"/>
    <m/>
    <m/>
    <m/>
    <x v="10"/>
  </r>
  <r>
    <n v="0"/>
    <n v="3"/>
    <s v="FTMS"/>
    <x v="15"/>
    <n v="0"/>
    <m/>
    <m/>
    <m/>
    <x v="10"/>
  </r>
  <r>
    <n v="0"/>
    <n v="4"/>
    <s v="FTMS"/>
    <x v="15"/>
    <n v="0"/>
    <m/>
    <m/>
    <m/>
    <x v="10"/>
  </r>
  <r>
    <n v="0"/>
    <n v="5"/>
    <s v="FTMS"/>
    <x v="15"/>
    <n v="0"/>
    <m/>
    <m/>
    <m/>
    <x v="10"/>
  </r>
  <r>
    <n v="0"/>
    <n v="6"/>
    <s v="FTMS"/>
    <x v="15"/>
    <n v="0"/>
    <m/>
    <m/>
    <m/>
    <x v="10"/>
  </r>
  <r>
    <n v="0"/>
    <n v="7"/>
    <s v="FTMS"/>
    <x v="15"/>
    <n v="0"/>
    <m/>
    <m/>
    <m/>
    <x v="10"/>
  </r>
  <r>
    <n v="0"/>
    <n v="8"/>
    <s v="FTMS"/>
    <x v="15"/>
    <n v="0"/>
    <m/>
    <m/>
    <m/>
    <x v="10"/>
  </r>
  <r>
    <n v="0"/>
    <n v="1"/>
    <s v="FTMS"/>
    <x v="16"/>
    <n v="0"/>
    <m/>
    <m/>
    <m/>
    <x v="10"/>
  </r>
  <r>
    <n v="0"/>
    <n v="2"/>
    <s v="FTMS"/>
    <x v="16"/>
    <n v="0"/>
    <m/>
    <m/>
    <m/>
    <x v="10"/>
  </r>
  <r>
    <n v="0"/>
    <n v="3"/>
    <s v="FTMS"/>
    <x v="16"/>
    <n v="0"/>
    <m/>
    <m/>
    <m/>
    <x v="10"/>
  </r>
  <r>
    <n v="0"/>
    <n v="4"/>
    <s v="FTMS"/>
    <x v="16"/>
    <n v="0"/>
    <m/>
    <m/>
    <m/>
    <x v="10"/>
  </r>
  <r>
    <n v="0"/>
    <n v="5"/>
    <s v="FTMS"/>
    <x v="16"/>
    <n v="0"/>
    <m/>
    <m/>
    <m/>
    <x v="10"/>
  </r>
  <r>
    <n v="0"/>
    <n v="6"/>
    <s v="FTMS"/>
    <x v="16"/>
    <n v="0"/>
    <m/>
    <m/>
    <m/>
    <x v="10"/>
  </r>
  <r>
    <n v="0"/>
    <n v="7"/>
    <s v="FTMS"/>
    <x v="16"/>
    <n v="0"/>
    <m/>
    <m/>
    <m/>
    <x v="10"/>
  </r>
  <r>
    <n v="0"/>
    <n v="8"/>
    <s v="FTMS"/>
    <x v="16"/>
    <n v="0"/>
    <m/>
    <m/>
    <m/>
    <x v="10"/>
  </r>
  <r>
    <n v="0"/>
    <n v="1"/>
    <s v="FTMS"/>
    <x v="17"/>
    <n v="0"/>
    <m/>
    <m/>
    <m/>
    <x v="10"/>
  </r>
  <r>
    <n v="0"/>
    <n v="2"/>
    <s v="FTMS"/>
    <x v="17"/>
    <n v="0"/>
    <m/>
    <m/>
    <m/>
    <x v="10"/>
  </r>
  <r>
    <n v="0"/>
    <n v="3"/>
    <s v="FTMS"/>
    <x v="17"/>
    <n v="0"/>
    <m/>
    <m/>
    <m/>
    <x v="10"/>
  </r>
  <r>
    <n v="0"/>
    <n v="4"/>
    <s v="FTMS"/>
    <x v="17"/>
    <n v="0"/>
    <m/>
    <m/>
    <m/>
    <x v="10"/>
  </r>
  <r>
    <n v="0"/>
    <n v="5"/>
    <s v="FTMS"/>
    <x v="17"/>
    <n v="0"/>
    <m/>
    <m/>
    <m/>
    <x v="10"/>
  </r>
  <r>
    <n v="0"/>
    <n v="1"/>
    <s v="FTMS"/>
    <x v="18"/>
    <n v="0"/>
    <m/>
    <m/>
    <m/>
    <x v="10"/>
  </r>
  <r>
    <n v="0"/>
    <n v="2"/>
    <s v="FTMS"/>
    <x v="18"/>
    <n v="0"/>
    <m/>
    <m/>
    <m/>
    <x v="10"/>
  </r>
  <r>
    <n v="0"/>
    <n v="3"/>
    <s v="FTMS"/>
    <x v="18"/>
    <n v="0"/>
    <m/>
    <m/>
    <m/>
    <x v="10"/>
  </r>
  <r>
    <n v="0"/>
    <n v="4"/>
    <s v="FTMS"/>
    <x v="18"/>
    <n v="0"/>
    <m/>
    <m/>
    <m/>
    <x v="10"/>
  </r>
  <r>
    <n v="0"/>
    <n v="5"/>
    <s v="FTMS"/>
    <x v="18"/>
    <n v="0"/>
    <m/>
    <m/>
    <m/>
    <x v="10"/>
  </r>
  <r>
    <n v="0"/>
    <n v="1"/>
    <s v="FTMS"/>
    <x v="19"/>
    <n v="0"/>
    <m/>
    <m/>
    <m/>
    <x v="10"/>
  </r>
  <r>
    <n v="0"/>
    <n v="2"/>
    <s v="FTMS"/>
    <x v="19"/>
    <n v="0"/>
    <m/>
    <m/>
    <m/>
    <x v="10"/>
  </r>
  <r>
    <n v="0"/>
    <n v="3"/>
    <s v="FTMS"/>
    <x v="19"/>
    <n v="0"/>
    <m/>
    <m/>
    <m/>
    <x v="10"/>
  </r>
  <r>
    <n v="0"/>
    <n v="4"/>
    <s v="FTMS"/>
    <x v="19"/>
    <n v="0"/>
    <m/>
    <m/>
    <m/>
    <x v="10"/>
  </r>
  <r>
    <n v="0"/>
    <n v="5"/>
    <s v="FTMS"/>
    <x v="19"/>
    <n v="0"/>
    <m/>
    <m/>
    <m/>
    <x v="10"/>
  </r>
  <r>
    <n v="0"/>
    <n v="6"/>
    <s v="FTMS"/>
    <x v="19"/>
    <n v="0"/>
    <m/>
    <m/>
    <m/>
    <x v="10"/>
  </r>
  <r>
    <n v="0"/>
    <n v="7"/>
    <s v="FTMS"/>
    <x v="19"/>
    <n v="0"/>
    <m/>
    <m/>
    <m/>
    <x v="10"/>
  </r>
  <r>
    <n v="0"/>
    <n v="8"/>
    <s v="FTMS"/>
    <x v="19"/>
    <n v="0"/>
    <m/>
    <m/>
    <m/>
    <x v="10"/>
  </r>
  <r>
    <n v="0"/>
    <n v="9"/>
    <s v="FTMS"/>
    <x v="19"/>
    <n v="0"/>
    <m/>
    <m/>
    <m/>
    <x v="10"/>
  </r>
  <r>
    <n v="0"/>
    <n v="10"/>
    <s v="FTMS"/>
    <x v="19"/>
    <n v="0"/>
    <m/>
    <m/>
    <m/>
    <x v="10"/>
  </r>
  <r>
    <n v="0"/>
    <n v="11"/>
    <s v="FTMS"/>
    <x v="19"/>
    <n v="0"/>
    <m/>
    <m/>
    <m/>
    <x v="10"/>
  </r>
  <r>
    <n v="0"/>
    <n v="12"/>
    <s v="FTMS"/>
    <x v="19"/>
    <n v="0"/>
    <m/>
    <m/>
    <m/>
    <x v="10"/>
  </r>
  <r>
    <n v="0"/>
    <n v="13"/>
    <s v="FTMS"/>
    <x v="19"/>
    <n v="0"/>
    <m/>
    <m/>
    <m/>
    <x v="10"/>
  </r>
  <r>
    <n v="0"/>
    <n v="14"/>
    <s v="FTMS"/>
    <x v="19"/>
    <n v="0"/>
    <m/>
    <m/>
    <m/>
    <x v="10"/>
  </r>
  <r>
    <n v="0"/>
    <n v="15"/>
    <s v="FTMS"/>
    <x v="19"/>
    <n v="0"/>
    <m/>
    <m/>
    <m/>
    <x v="10"/>
  </r>
  <r>
    <n v="0"/>
    <n v="16"/>
    <s v="FTMS"/>
    <x v="19"/>
    <n v="0"/>
    <m/>
    <m/>
    <m/>
    <x v="10"/>
  </r>
  <r>
    <n v="0"/>
    <n v="17"/>
    <s v="FTMS"/>
    <x v="19"/>
    <n v="0"/>
    <m/>
    <m/>
    <m/>
    <x v="10"/>
  </r>
  <r>
    <n v="0"/>
    <n v="18"/>
    <s v="FTMS"/>
    <x v="19"/>
    <n v="0"/>
    <m/>
    <m/>
    <m/>
    <x v="10"/>
  </r>
  <r>
    <n v="0"/>
    <n v="19"/>
    <s v="FTMS"/>
    <x v="19"/>
    <n v="0"/>
    <m/>
    <m/>
    <m/>
    <x v="10"/>
  </r>
  <r>
    <n v="0"/>
    <n v="20"/>
    <s v="FTMS"/>
    <x v="19"/>
    <n v="0"/>
    <m/>
    <m/>
    <m/>
    <x v="10"/>
  </r>
  <r>
    <n v="0"/>
    <n v="1"/>
    <s v="FTSS"/>
    <x v="6"/>
    <n v="0"/>
    <m/>
    <m/>
    <m/>
    <x v="11"/>
  </r>
  <r>
    <n v="0"/>
    <n v="2"/>
    <s v="FTSS"/>
    <x v="6"/>
    <n v="0"/>
    <m/>
    <m/>
    <m/>
    <x v="11"/>
  </r>
  <r>
    <n v="0"/>
    <n v="3"/>
    <s v="FTSS"/>
    <x v="6"/>
    <n v="0"/>
    <m/>
    <m/>
    <m/>
    <x v="11"/>
  </r>
  <r>
    <n v="0"/>
    <n v="4"/>
    <s v="FTSS"/>
    <x v="6"/>
    <n v="0"/>
    <m/>
    <m/>
    <m/>
    <x v="11"/>
  </r>
  <r>
    <n v="0"/>
    <n v="5"/>
    <s v="FTSS"/>
    <x v="6"/>
    <n v="0"/>
    <m/>
    <m/>
    <m/>
    <x v="11"/>
  </r>
  <r>
    <n v="0"/>
    <n v="6"/>
    <s v="FTSS"/>
    <x v="6"/>
    <n v="0"/>
    <m/>
    <m/>
    <m/>
    <x v="11"/>
  </r>
  <r>
    <n v="0"/>
    <n v="7"/>
    <s v="FTSS"/>
    <x v="6"/>
    <n v="0"/>
    <m/>
    <m/>
    <m/>
    <x v="11"/>
  </r>
  <r>
    <n v="0"/>
    <n v="8"/>
    <s v="FTSS"/>
    <x v="6"/>
    <n v="0"/>
    <m/>
    <m/>
    <m/>
    <x v="11"/>
  </r>
  <r>
    <n v="0"/>
    <n v="9"/>
    <s v="FTSS"/>
    <x v="6"/>
    <n v="0"/>
    <m/>
    <m/>
    <m/>
    <x v="11"/>
  </r>
  <r>
    <n v="0"/>
    <n v="10"/>
    <s v="FTSS"/>
    <x v="6"/>
    <n v="0"/>
    <m/>
    <m/>
    <m/>
    <x v="11"/>
  </r>
  <r>
    <n v="0"/>
    <n v="11"/>
    <s v="FTSS"/>
    <x v="6"/>
    <n v="0"/>
    <m/>
    <m/>
    <m/>
    <x v="11"/>
  </r>
  <r>
    <n v="0"/>
    <n v="12"/>
    <s v="FTSS"/>
    <x v="6"/>
    <n v="0"/>
    <m/>
    <m/>
    <m/>
    <x v="11"/>
  </r>
  <r>
    <n v="0"/>
    <n v="13"/>
    <s v="FTSS"/>
    <x v="6"/>
    <n v="0"/>
    <m/>
    <m/>
    <m/>
    <x v="11"/>
  </r>
  <r>
    <n v="0"/>
    <n v="14"/>
    <s v="FTSS"/>
    <x v="6"/>
    <n v="0"/>
    <m/>
    <m/>
    <m/>
    <x v="11"/>
  </r>
  <r>
    <n v="0"/>
    <n v="15"/>
    <s v="FTSS"/>
    <x v="6"/>
    <n v="0"/>
    <m/>
    <m/>
    <m/>
    <x v="11"/>
  </r>
  <r>
    <n v="0"/>
    <n v="16"/>
    <s v="FTSS"/>
    <x v="6"/>
    <n v="0"/>
    <m/>
    <m/>
    <m/>
    <x v="11"/>
  </r>
  <r>
    <n v="0"/>
    <n v="17"/>
    <s v="FTSS"/>
    <x v="6"/>
    <n v="0"/>
    <m/>
    <m/>
    <m/>
    <x v="11"/>
  </r>
  <r>
    <n v="0"/>
    <n v="18"/>
    <s v="FTSS"/>
    <x v="6"/>
    <n v="0"/>
    <m/>
    <m/>
    <m/>
    <x v="11"/>
  </r>
  <r>
    <n v="0"/>
    <n v="19"/>
    <s v="FTSS"/>
    <x v="6"/>
    <n v="0"/>
    <m/>
    <m/>
    <m/>
    <x v="11"/>
  </r>
  <r>
    <n v="0"/>
    <n v="20"/>
    <s v="FTSS"/>
    <x v="6"/>
    <n v="0"/>
    <m/>
    <m/>
    <m/>
    <x v="11"/>
  </r>
  <r>
    <n v="0"/>
    <n v="1"/>
    <s v="FTSS"/>
    <x v="7"/>
    <n v="0"/>
    <m/>
    <m/>
    <m/>
    <x v="11"/>
  </r>
  <r>
    <n v="0"/>
    <n v="2"/>
    <s v="FTSS"/>
    <x v="7"/>
    <n v="0"/>
    <m/>
    <m/>
    <m/>
    <x v="11"/>
  </r>
  <r>
    <n v="0"/>
    <n v="3"/>
    <s v="FTSS"/>
    <x v="7"/>
    <n v="0"/>
    <m/>
    <m/>
    <m/>
    <x v="11"/>
  </r>
  <r>
    <n v="0"/>
    <n v="4"/>
    <s v="FTSS"/>
    <x v="7"/>
    <n v="0"/>
    <m/>
    <m/>
    <m/>
    <x v="11"/>
  </r>
  <r>
    <n v="0"/>
    <n v="5"/>
    <s v="FTSS"/>
    <x v="7"/>
    <n v="0"/>
    <m/>
    <m/>
    <m/>
    <x v="11"/>
  </r>
  <r>
    <n v="0"/>
    <n v="6"/>
    <s v="FTSS"/>
    <x v="7"/>
    <n v="0"/>
    <m/>
    <m/>
    <m/>
    <x v="11"/>
  </r>
  <r>
    <n v="0"/>
    <n v="7"/>
    <s v="FTSS"/>
    <x v="7"/>
    <n v="0"/>
    <m/>
    <m/>
    <m/>
    <x v="11"/>
  </r>
  <r>
    <n v="0"/>
    <n v="8"/>
    <s v="FTSS"/>
    <x v="7"/>
    <n v="0"/>
    <m/>
    <m/>
    <m/>
    <x v="11"/>
  </r>
  <r>
    <n v="0"/>
    <n v="9"/>
    <s v="FTSS"/>
    <x v="7"/>
    <n v="0"/>
    <m/>
    <m/>
    <m/>
    <x v="11"/>
  </r>
  <r>
    <n v="0"/>
    <n v="10"/>
    <s v="FTSS"/>
    <x v="7"/>
    <n v="0"/>
    <m/>
    <m/>
    <m/>
    <x v="11"/>
  </r>
  <r>
    <n v="0"/>
    <n v="11"/>
    <s v="FTSS"/>
    <x v="7"/>
    <n v="0"/>
    <m/>
    <m/>
    <m/>
    <x v="11"/>
  </r>
  <r>
    <n v="0"/>
    <n v="12"/>
    <s v="FTSS"/>
    <x v="7"/>
    <n v="0"/>
    <m/>
    <m/>
    <m/>
    <x v="11"/>
  </r>
  <r>
    <n v="0"/>
    <n v="13"/>
    <s v="FTSS"/>
    <x v="7"/>
    <n v="0"/>
    <m/>
    <m/>
    <m/>
    <x v="11"/>
  </r>
  <r>
    <n v="0"/>
    <n v="14"/>
    <s v="FTSS"/>
    <x v="7"/>
    <n v="0"/>
    <m/>
    <m/>
    <m/>
    <x v="11"/>
  </r>
  <r>
    <n v="0"/>
    <n v="15"/>
    <s v="FTSS"/>
    <x v="7"/>
    <n v="0"/>
    <m/>
    <m/>
    <m/>
    <x v="11"/>
  </r>
  <r>
    <n v="0"/>
    <n v="16"/>
    <s v="FTSS"/>
    <x v="7"/>
    <n v="0"/>
    <m/>
    <m/>
    <m/>
    <x v="11"/>
  </r>
  <r>
    <n v="0"/>
    <n v="17"/>
    <s v="FTSS"/>
    <x v="7"/>
    <n v="0"/>
    <m/>
    <m/>
    <m/>
    <x v="11"/>
  </r>
  <r>
    <n v="0"/>
    <n v="18"/>
    <s v="FTSS"/>
    <x v="7"/>
    <n v="0"/>
    <m/>
    <m/>
    <m/>
    <x v="11"/>
  </r>
  <r>
    <n v="0"/>
    <n v="19"/>
    <s v="FTSS"/>
    <x v="7"/>
    <n v="0"/>
    <m/>
    <m/>
    <m/>
    <x v="11"/>
  </r>
  <r>
    <n v="0"/>
    <n v="20"/>
    <s v="FTSS"/>
    <x v="7"/>
    <n v="0"/>
    <m/>
    <m/>
    <m/>
    <x v="11"/>
  </r>
  <r>
    <n v="0"/>
    <n v="1"/>
    <s v="FTSS"/>
    <x v="8"/>
    <n v="0"/>
    <m/>
    <m/>
    <m/>
    <x v="11"/>
  </r>
  <r>
    <n v="0"/>
    <n v="2"/>
    <s v="FTSS"/>
    <x v="8"/>
    <n v="0"/>
    <m/>
    <m/>
    <m/>
    <x v="11"/>
  </r>
  <r>
    <n v="0"/>
    <n v="3"/>
    <s v="FTSS"/>
    <x v="8"/>
    <n v="0"/>
    <m/>
    <m/>
    <m/>
    <x v="11"/>
  </r>
  <r>
    <n v="0"/>
    <n v="4"/>
    <s v="FTSS"/>
    <x v="8"/>
    <n v="0"/>
    <m/>
    <m/>
    <m/>
    <x v="11"/>
  </r>
  <r>
    <n v="0"/>
    <n v="5"/>
    <s v="FTSS"/>
    <x v="8"/>
    <n v="0"/>
    <m/>
    <m/>
    <m/>
    <x v="11"/>
  </r>
  <r>
    <n v="0"/>
    <n v="6"/>
    <s v="FTSS"/>
    <x v="8"/>
    <n v="0"/>
    <m/>
    <m/>
    <m/>
    <x v="11"/>
  </r>
  <r>
    <n v="0"/>
    <n v="7"/>
    <s v="FTSS"/>
    <x v="8"/>
    <n v="0"/>
    <m/>
    <m/>
    <m/>
    <x v="11"/>
  </r>
  <r>
    <n v="0"/>
    <n v="8"/>
    <s v="FTSS"/>
    <x v="8"/>
    <n v="0"/>
    <m/>
    <m/>
    <m/>
    <x v="11"/>
  </r>
  <r>
    <n v="0"/>
    <n v="9"/>
    <s v="FTSS"/>
    <x v="8"/>
    <n v="0"/>
    <m/>
    <m/>
    <m/>
    <x v="11"/>
  </r>
  <r>
    <n v="0"/>
    <n v="10"/>
    <s v="FTSS"/>
    <x v="8"/>
    <n v="0"/>
    <m/>
    <m/>
    <m/>
    <x v="11"/>
  </r>
  <r>
    <n v="0"/>
    <n v="11"/>
    <s v="FTSS"/>
    <x v="8"/>
    <n v="0"/>
    <m/>
    <m/>
    <m/>
    <x v="11"/>
  </r>
  <r>
    <n v="0"/>
    <n v="12"/>
    <s v="FTSS"/>
    <x v="8"/>
    <n v="0"/>
    <m/>
    <m/>
    <m/>
    <x v="11"/>
  </r>
  <r>
    <n v="0"/>
    <n v="13"/>
    <s v="FTSS"/>
    <x v="8"/>
    <n v="0"/>
    <m/>
    <m/>
    <m/>
    <x v="11"/>
  </r>
  <r>
    <n v="0"/>
    <n v="14"/>
    <s v="FTSS"/>
    <x v="8"/>
    <n v="0"/>
    <m/>
    <m/>
    <m/>
    <x v="11"/>
  </r>
  <r>
    <n v="0"/>
    <n v="15"/>
    <s v="FTSS"/>
    <x v="8"/>
    <n v="0"/>
    <m/>
    <m/>
    <m/>
    <x v="11"/>
  </r>
  <r>
    <n v="0"/>
    <n v="16"/>
    <s v="FTSS"/>
    <x v="8"/>
    <n v="0"/>
    <m/>
    <m/>
    <m/>
    <x v="11"/>
  </r>
  <r>
    <n v="0"/>
    <n v="17"/>
    <s v="FTSS"/>
    <x v="8"/>
    <n v="0"/>
    <m/>
    <m/>
    <m/>
    <x v="11"/>
  </r>
  <r>
    <n v="0"/>
    <n v="18"/>
    <s v="FTSS"/>
    <x v="8"/>
    <n v="0"/>
    <m/>
    <m/>
    <m/>
    <x v="11"/>
  </r>
  <r>
    <n v="0"/>
    <n v="19"/>
    <s v="FTSS"/>
    <x v="8"/>
    <n v="0"/>
    <m/>
    <m/>
    <m/>
    <x v="11"/>
  </r>
  <r>
    <n v="0"/>
    <n v="20"/>
    <s v="FTSS"/>
    <x v="8"/>
    <n v="0"/>
    <m/>
    <m/>
    <m/>
    <x v="11"/>
  </r>
  <r>
    <n v="0"/>
    <n v="1"/>
    <s v="FTSS"/>
    <x v="9"/>
    <n v="0"/>
    <m/>
    <m/>
    <m/>
    <x v="11"/>
  </r>
  <r>
    <n v="0"/>
    <n v="2"/>
    <s v="FTSS"/>
    <x v="9"/>
    <n v="0"/>
    <m/>
    <m/>
    <m/>
    <x v="11"/>
  </r>
  <r>
    <n v="0"/>
    <n v="3"/>
    <s v="FTSS"/>
    <x v="9"/>
    <n v="0"/>
    <m/>
    <m/>
    <m/>
    <x v="11"/>
  </r>
  <r>
    <n v="0"/>
    <n v="4"/>
    <s v="FTSS"/>
    <x v="9"/>
    <n v="0"/>
    <m/>
    <m/>
    <m/>
    <x v="11"/>
  </r>
  <r>
    <n v="0"/>
    <n v="5"/>
    <s v="FTSS"/>
    <x v="9"/>
    <n v="0"/>
    <m/>
    <m/>
    <m/>
    <x v="11"/>
  </r>
  <r>
    <n v="0"/>
    <n v="6"/>
    <s v="FTSS"/>
    <x v="9"/>
    <n v="0"/>
    <m/>
    <m/>
    <m/>
    <x v="11"/>
  </r>
  <r>
    <n v="0"/>
    <n v="7"/>
    <s v="FTSS"/>
    <x v="9"/>
    <n v="0"/>
    <m/>
    <m/>
    <m/>
    <x v="11"/>
  </r>
  <r>
    <n v="0"/>
    <n v="8"/>
    <s v="FTSS"/>
    <x v="9"/>
    <n v="0"/>
    <m/>
    <m/>
    <m/>
    <x v="11"/>
  </r>
  <r>
    <n v="0"/>
    <n v="9"/>
    <s v="FTSS"/>
    <x v="9"/>
    <n v="0"/>
    <m/>
    <m/>
    <m/>
    <x v="11"/>
  </r>
  <r>
    <n v="0"/>
    <n v="10"/>
    <s v="FTSS"/>
    <x v="9"/>
    <n v="0"/>
    <m/>
    <m/>
    <m/>
    <x v="11"/>
  </r>
  <r>
    <n v="0"/>
    <n v="11"/>
    <s v="FTSS"/>
    <x v="9"/>
    <n v="0"/>
    <m/>
    <m/>
    <m/>
    <x v="11"/>
  </r>
  <r>
    <n v="0"/>
    <n v="12"/>
    <s v="FTSS"/>
    <x v="9"/>
    <n v="0"/>
    <m/>
    <m/>
    <m/>
    <x v="11"/>
  </r>
  <r>
    <n v="0"/>
    <n v="13"/>
    <s v="FTSS"/>
    <x v="9"/>
    <n v="0"/>
    <m/>
    <m/>
    <m/>
    <x v="11"/>
  </r>
  <r>
    <n v="0"/>
    <n v="14"/>
    <s v="FTSS"/>
    <x v="9"/>
    <n v="0"/>
    <m/>
    <m/>
    <m/>
    <x v="11"/>
  </r>
  <r>
    <n v="0"/>
    <n v="15"/>
    <s v="FTSS"/>
    <x v="9"/>
    <n v="0"/>
    <m/>
    <m/>
    <m/>
    <x v="11"/>
  </r>
  <r>
    <n v="0"/>
    <n v="16"/>
    <s v="FTSS"/>
    <x v="9"/>
    <n v="0"/>
    <m/>
    <m/>
    <m/>
    <x v="11"/>
  </r>
  <r>
    <n v="0"/>
    <n v="17"/>
    <s v="FTSS"/>
    <x v="9"/>
    <n v="0"/>
    <m/>
    <m/>
    <m/>
    <x v="11"/>
  </r>
  <r>
    <n v="0"/>
    <n v="18"/>
    <s v="FTSS"/>
    <x v="9"/>
    <n v="0"/>
    <m/>
    <m/>
    <m/>
    <x v="11"/>
  </r>
  <r>
    <n v="0"/>
    <n v="19"/>
    <s v="FTSS"/>
    <x v="9"/>
    <n v="0"/>
    <m/>
    <m/>
    <m/>
    <x v="11"/>
  </r>
  <r>
    <n v="0"/>
    <n v="20"/>
    <s v="FTSS"/>
    <x v="9"/>
    <n v="0"/>
    <m/>
    <m/>
    <m/>
    <x v="11"/>
  </r>
  <r>
    <n v="0"/>
    <n v="1"/>
    <s v="FTSS"/>
    <x v="10"/>
    <n v="0"/>
    <m/>
    <m/>
    <m/>
    <x v="11"/>
  </r>
  <r>
    <n v="0"/>
    <n v="2"/>
    <s v="FTSS"/>
    <x v="10"/>
    <n v="0"/>
    <m/>
    <m/>
    <m/>
    <x v="11"/>
  </r>
  <r>
    <n v="0"/>
    <n v="3"/>
    <s v="FTSS"/>
    <x v="10"/>
    <n v="0"/>
    <m/>
    <m/>
    <m/>
    <x v="11"/>
  </r>
  <r>
    <n v="0"/>
    <n v="4"/>
    <s v="FTSS"/>
    <x v="10"/>
    <n v="0"/>
    <m/>
    <m/>
    <m/>
    <x v="11"/>
  </r>
  <r>
    <n v="0"/>
    <n v="5"/>
    <s v="FTSS"/>
    <x v="10"/>
    <n v="0"/>
    <m/>
    <m/>
    <m/>
    <x v="11"/>
  </r>
  <r>
    <n v="0"/>
    <n v="6"/>
    <s v="FTSS"/>
    <x v="10"/>
    <n v="0"/>
    <m/>
    <m/>
    <m/>
    <x v="11"/>
  </r>
  <r>
    <n v="0"/>
    <n v="7"/>
    <s v="FTSS"/>
    <x v="10"/>
    <n v="0"/>
    <m/>
    <m/>
    <m/>
    <x v="11"/>
  </r>
  <r>
    <n v="0"/>
    <n v="8"/>
    <s v="FTSS"/>
    <x v="10"/>
    <n v="0"/>
    <m/>
    <m/>
    <m/>
    <x v="11"/>
  </r>
  <r>
    <n v="0"/>
    <n v="9"/>
    <s v="FTSS"/>
    <x v="10"/>
    <n v="0"/>
    <m/>
    <m/>
    <m/>
    <x v="11"/>
  </r>
  <r>
    <n v="0"/>
    <n v="10"/>
    <s v="FTSS"/>
    <x v="10"/>
    <n v="0"/>
    <m/>
    <m/>
    <m/>
    <x v="11"/>
  </r>
  <r>
    <n v="0"/>
    <n v="11"/>
    <s v="FTSS"/>
    <x v="10"/>
    <n v="0"/>
    <m/>
    <m/>
    <m/>
    <x v="11"/>
  </r>
  <r>
    <n v="0"/>
    <n v="12"/>
    <s v="FTSS"/>
    <x v="10"/>
    <n v="0"/>
    <m/>
    <m/>
    <m/>
    <x v="11"/>
  </r>
  <r>
    <n v="0"/>
    <n v="13"/>
    <s v="FTSS"/>
    <x v="10"/>
    <n v="0"/>
    <m/>
    <m/>
    <m/>
    <x v="11"/>
  </r>
  <r>
    <n v="0"/>
    <n v="14"/>
    <s v="FTSS"/>
    <x v="10"/>
    <n v="0"/>
    <m/>
    <m/>
    <m/>
    <x v="11"/>
  </r>
  <r>
    <n v="0"/>
    <n v="15"/>
    <s v="FTSS"/>
    <x v="10"/>
    <n v="0"/>
    <m/>
    <m/>
    <m/>
    <x v="11"/>
  </r>
  <r>
    <n v="0"/>
    <n v="16"/>
    <s v="FTSS"/>
    <x v="10"/>
    <n v="0"/>
    <m/>
    <m/>
    <m/>
    <x v="11"/>
  </r>
  <r>
    <n v="0"/>
    <n v="17"/>
    <s v="FTSS"/>
    <x v="10"/>
    <n v="0"/>
    <m/>
    <m/>
    <m/>
    <x v="11"/>
  </r>
  <r>
    <n v="0"/>
    <n v="18"/>
    <s v="FTSS"/>
    <x v="10"/>
    <n v="0"/>
    <m/>
    <m/>
    <m/>
    <x v="11"/>
  </r>
  <r>
    <n v="0"/>
    <n v="19"/>
    <s v="FTSS"/>
    <x v="10"/>
    <n v="0"/>
    <m/>
    <m/>
    <m/>
    <x v="11"/>
  </r>
  <r>
    <n v="0"/>
    <n v="20"/>
    <s v="FTSS"/>
    <x v="10"/>
    <n v="0"/>
    <m/>
    <m/>
    <m/>
    <x v="11"/>
  </r>
  <r>
    <n v="0"/>
    <n v="1"/>
    <s v="FTSS"/>
    <x v="11"/>
    <n v="0"/>
    <m/>
    <m/>
    <m/>
    <x v="11"/>
  </r>
  <r>
    <n v="0"/>
    <n v="2"/>
    <s v="FTSS"/>
    <x v="11"/>
    <n v="0"/>
    <m/>
    <m/>
    <m/>
    <x v="11"/>
  </r>
  <r>
    <n v="0"/>
    <n v="3"/>
    <s v="FTSS"/>
    <x v="11"/>
    <n v="0"/>
    <m/>
    <m/>
    <m/>
    <x v="11"/>
  </r>
  <r>
    <n v="0"/>
    <n v="4"/>
    <s v="FTSS"/>
    <x v="11"/>
    <n v="0"/>
    <m/>
    <m/>
    <m/>
    <x v="11"/>
  </r>
  <r>
    <n v="0"/>
    <n v="5"/>
    <s v="FTSS"/>
    <x v="11"/>
    <n v="0"/>
    <m/>
    <m/>
    <m/>
    <x v="11"/>
  </r>
  <r>
    <n v="0"/>
    <n v="6"/>
    <s v="FTSS"/>
    <x v="11"/>
    <n v="0"/>
    <m/>
    <m/>
    <m/>
    <x v="11"/>
  </r>
  <r>
    <n v="0"/>
    <n v="7"/>
    <s v="FTSS"/>
    <x v="11"/>
    <n v="0"/>
    <m/>
    <m/>
    <m/>
    <x v="11"/>
  </r>
  <r>
    <n v="0"/>
    <n v="8"/>
    <s v="FTSS"/>
    <x v="11"/>
    <n v="0"/>
    <m/>
    <m/>
    <m/>
    <x v="11"/>
  </r>
  <r>
    <n v="0"/>
    <n v="9"/>
    <s v="FTSS"/>
    <x v="11"/>
    <n v="0"/>
    <m/>
    <m/>
    <m/>
    <x v="11"/>
  </r>
  <r>
    <n v="0"/>
    <n v="10"/>
    <s v="FTSS"/>
    <x v="11"/>
    <n v="0"/>
    <m/>
    <m/>
    <m/>
    <x v="11"/>
  </r>
  <r>
    <n v="0"/>
    <n v="11"/>
    <s v="FTSS"/>
    <x v="11"/>
    <n v="0"/>
    <m/>
    <m/>
    <m/>
    <x v="11"/>
  </r>
  <r>
    <n v="0"/>
    <n v="12"/>
    <s v="FTSS"/>
    <x v="11"/>
    <n v="0"/>
    <m/>
    <m/>
    <m/>
    <x v="11"/>
  </r>
  <r>
    <n v="0"/>
    <n v="13"/>
    <s v="FTSS"/>
    <x v="11"/>
    <n v="0"/>
    <m/>
    <m/>
    <m/>
    <x v="11"/>
  </r>
  <r>
    <n v="0"/>
    <n v="14"/>
    <s v="FTSS"/>
    <x v="11"/>
    <n v="0"/>
    <m/>
    <m/>
    <m/>
    <x v="11"/>
  </r>
  <r>
    <n v="0"/>
    <n v="15"/>
    <s v="FTSS"/>
    <x v="11"/>
    <n v="0"/>
    <m/>
    <m/>
    <m/>
    <x v="11"/>
  </r>
  <r>
    <n v="0"/>
    <n v="16"/>
    <s v="FTSS"/>
    <x v="11"/>
    <n v="0"/>
    <m/>
    <m/>
    <m/>
    <x v="11"/>
  </r>
  <r>
    <n v="0"/>
    <n v="17"/>
    <s v="FTSS"/>
    <x v="11"/>
    <n v="0"/>
    <m/>
    <m/>
    <m/>
    <x v="11"/>
  </r>
  <r>
    <n v="0"/>
    <n v="18"/>
    <s v="FTSS"/>
    <x v="11"/>
    <n v="0"/>
    <m/>
    <m/>
    <m/>
    <x v="11"/>
  </r>
  <r>
    <n v="0"/>
    <n v="19"/>
    <s v="FTSS"/>
    <x v="11"/>
    <n v="0"/>
    <m/>
    <m/>
    <m/>
    <x v="11"/>
  </r>
  <r>
    <n v="0"/>
    <n v="20"/>
    <s v="FTSS"/>
    <x v="11"/>
    <n v="0"/>
    <m/>
    <m/>
    <m/>
    <x v="11"/>
  </r>
  <r>
    <n v="0"/>
    <n v="1"/>
    <s v="FTSS"/>
    <x v="12"/>
    <n v="0"/>
    <m/>
    <m/>
    <m/>
    <x v="11"/>
  </r>
  <r>
    <n v="0"/>
    <n v="2"/>
    <s v="FTSS"/>
    <x v="12"/>
    <n v="0"/>
    <m/>
    <m/>
    <m/>
    <x v="11"/>
  </r>
  <r>
    <n v="0"/>
    <n v="3"/>
    <s v="FTSS"/>
    <x v="12"/>
    <n v="0"/>
    <m/>
    <m/>
    <m/>
    <x v="11"/>
  </r>
  <r>
    <n v="0"/>
    <n v="4"/>
    <s v="FTSS"/>
    <x v="12"/>
    <n v="0"/>
    <m/>
    <m/>
    <m/>
    <x v="11"/>
  </r>
  <r>
    <n v="0"/>
    <n v="5"/>
    <s v="FTSS"/>
    <x v="12"/>
    <n v="0"/>
    <m/>
    <m/>
    <m/>
    <x v="11"/>
  </r>
  <r>
    <n v="0"/>
    <n v="6"/>
    <s v="FTSS"/>
    <x v="12"/>
    <n v="0"/>
    <m/>
    <m/>
    <m/>
    <x v="11"/>
  </r>
  <r>
    <n v="0"/>
    <n v="7"/>
    <s v="FTSS"/>
    <x v="12"/>
    <n v="0"/>
    <m/>
    <m/>
    <m/>
    <x v="11"/>
  </r>
  <r>
    <n v="0"/>
    <n v="8"/>
    <s v="FTSS"/>
    <x v="12"/>
    <n v="0"/>
    <m/>
    <m/>
    <m/>
    <x v="11"/>
  </r>
  <r>
    <n v="0"/>
    <n v="9"/>
    <s v="FTSS"/>
    <x v="12"/>
    <n v="0"/>
    <m/>
    <m/>
    <m/>
    <x v="11"/>
  </r>
  <r>
    <n v="0"/>
    <n v="10"/>
    <s v="FTSS"/>
    <x v="12"/>
    <n v="0"/>
    <m/>
    <m/>
    <m/>
    <x v="11"/>
  </r>
  <r>
    <n v="0"/>
    <n v="11"/>
    <s v="FTSS"/>
    <x v="12"/>
    <n v="0"/>
    <m/>
    <m/>
    <m/>
    <x v="11"/>
  </r>
  <r>
    <n v="0"/>
    <n v="12"/>
    <s v="FTSS"/>
    <x v="12"/>
    <n v="0"/>
    <m/>
    <m/>
    <m/>
    <x v="11"/>
  </r>
  <r>
    <n v="0"/>
    <n v="13"/>
    <s v="FTSS"/>
    <x v="12"/>
    <n v="0"/>
    <m/>
    <m/>
    <m/>
    <x v="11"/>
  </r>
  <r>
    <n v="0"/>
    <n v="14"/>
    <s v="FTSS"/>
    <x v="12"/>
    <n v="0"/>
    <m/>
    <m/>
    <m/>
    <x v="11"/>
  </r>
  <r>
    <n v="0"/>
    <n v="15"/>
    <s v="FTSS"/>
    <x v="12"/>
    <n v="0"/>
    <m/>
    <m/>
    <m/>
    <x v="11"/>
  </r>
  <r>
    <n v="0"/>
    <n v="16"/>
    <s v="FTSS"/>
    <x v="12"/>
    <n v="0"/>
    <m/>
    <m/>
    <m/>
    <x v="11"/>
  </r>
  <r>
    <n v="0"/>
    <n v="17"/>
    <s v="FTSS"/>
    <x v="12"/>
    <n v="0"/>
    <m/>
    <m/>
    <m/>
    <x v="11"/>
  </r>
  <r>
    <n v="0"/>
    <n v="18"/>
    <s v="FTSS"/>
    <x v="12"/>
    <n v="0"/>
    <m/>
    <m/>
    <m/>
    <x v="11"/>
  </r>
  <r>
    <n v="0"/>
    <n v="19"/>
    <s v="FTSS"/>
    <x v="12"/>
    <n v="0"/>
    <m/>
    <m/>
    <m/>
    <x v="11"/>
  </r>
  <r>
    <n v="0"/>
    <n v="20"/>
    <s v="FTSS"/>
    <x v="12"/>
    <n v="0"/>
    <m/>
    <m/>
    <m/>
    <x v="11"/>
  </r>
  <r>
    <n v="0"/>
    <n v="1"/>
    <s v="FTSS"/>
    <x v="13"/>
    <n v="0"/>
    <m/>
    <m/>
    <m/>
    <x v="11"/>
  </r>
  <r>
    <n v="0"/>
    <n v="2"/>
    <s v="FTSS"/>
    <x v="13"/>
    <n v="0"/>
    <m/>
    <m/>
    <m/>
    <x v="11"/>
  </r>
  <r>
    <n v="0"/>
    <n v="3"/>
    <s v="FTSS"/>
    <x v="13"/>
    <n v="0"/>
    <m/>
    <m/>
    <m/>
    <x v="11"/>
  </r>
  <r>
    <n v="0"/>
    <n v="4"/>
    <s v="FTSS"/>
    <x v="13"/>
    <n v="0"/>
    <m/>
    <m/>
    <m/>
    <x v="11"/>
  </r>
  <r>
    <n v="0"/>
    <n v="5"/>
    <s v="FTSS"/>
    <x v="13"/>
    <n v="0"/>
    <m/>
    <m/>
    <m/>
    <x v="11"/>
  </r>
  <r>
    <n v="0"/>
    <n v="6"/>
    <s v="FTSS"/>
    <x v="13"/>
    <n v="0"/>
    <m/>
    <m/>
    <m/>
    <x v="11"/>
  </r>
  <r>
    <n v="0"/>
    <n v="7"/>
    <s v="FTSS"/>
    <x v="13"/>
    <n v="0"/>
    <m/>
    <m/>
    <m/>
    <x v="11"/>
  </r>
  <r>
    <n v="0"/>
    <n v="8"/>
    <s v="FTSS"/>
    <x v="13"/>
    <n v="0"/>
    <m/>
    <m/>
    <m/>
    <x v="11"/>
  </r>
  <r>
    <n v="0"/>
    <n v="9"/>
    <s v="FTSS"/>
    <x v="13"/>
    <n v="0"/>
    <m/>
    <m/>
    <m/>
    <x v="11"/>
  </r>
  <r>
    <n v="0"/>
    <n v="10"/>
    <s v="FTSS"/>
    <x v="13"/>
    <n v="0"/>
    <m/>
    <m/>
    <m/>
    <x v="11"/>
  </r>
  <r>
    <n v="0"/>
    <n v="11"/>
    <s v="FTSS"/>
    <x v="13"/>
    <n v="0"/>
    <m/>
    <m/>
    <m/>
    <x v="11"/>
  </r>
  <r>
    <n v="0"/>
    <n v="12"/>
    <s v="FTSS"/>
    <x v="13"/>
    <n v="0"/>
    <m/>
    <m/>
    <m/>
    <x v="11"/>
  </r>
  <r>
    <n v="0"/>
    <n v="13"/>
    <s v="FTSS"/>
    <x v="13"/>
    <n v="0"/>
    <m/>
    <m/>
    <m/>
    <x v="11"/>
  </r>
  <r>
    <n v="0"/>
    <n v="14"/>
    <s v="FTSS"/>
    <x v="13"/>
    <n v="0"/>
    <m/>
    <m/>
    <m/>
    <x v="11"/>
  </r>
  <r>
    <n v="0"/>
    <n v="15"/>
    <s v="FTSS"/>
    <x v="13"/>
    <n v="0"/>
    <m/>
    <m/>
    <m/>
    <x v="11"/>
  </r>
  <r>
    <n v="0"/>
    <n v="16"/>
    <s v="FTSS"/>
    <x v="13"/>
    <n v="0"/>
    <m/>
    <m/>
    <m/>
    <x v="11"/>
  </r>
  <r>
    <n v="0"/>
    <n v="17"/>
    <s v="FTSS"/>
    <x v="13"/>
    <n v="0"/>
    <m/>
    <m/>
    <m/>
    <x v="11"/>
  </r>
  <r>
    <n v="0"/>
    <n v="18"/>
    <s v="FTSS"/>
    <x v="13"/>
    <n v="0"/>
    <m/>
    <m/>
    <m/>
    <x v="11"/>
  </r>
  <r>
    <n v="0"/>
    <n v="19"/>
    <s v="FTSS"/>
    <x v="13"/>
    <n v="0"/>
    <m/>
    <m/>
    <m/>
    <x v="11"/>
  </r>
  <r>
    <n v="0"/>
    <n v="20"/>
    <s v="FTSS"/>
    <x v="13"/>
    <n v="0"/>
    <m/>
    <m/>
    <m/>
    <x v="11"/>
  </r>
  <r>
    <n v="0"/>
    <n v="1"/>
    <s v="FTSS"/>
    <x v="14"/>
    <n v="0"/>
    <m/>
    <m/>
    <m/>
    <x v="11"/>
  </r>
  <r>
    <n v="0"/>
    <n v="2"/>
    <s v="FTSS"/>
    <x v="14"/>
    <n v="0"/>
    <m/>
    <m/>
    <m/>
    <x v="11"/>
  </r>
  <r>
    <n v="0"/>
    <n v="3"/>
    <s v="FTSS"/>
    <x v="14"/>
    <n v="0"/>
    <m/>
    <m/>
    <m/>
    <x v="11"/>
  </r>
  <r>
    <n v="0"/>
    <n v="4"/>
    <s v="FTSS"/>
    <x v="14"/>
    <n v="0"/>
    <m/>
    <m/>
    <m/>
    <x v="11"/>
  </r>
  <r>
    <n v="0"/>
    <n v="5"/>
    <s v="FTSS"/>
    <x v="14"/>
    <n v="0"/>
    <m/>
    <m/>
    <m/>
    <x v="11"/>
  </r>
  <r>
    <n v="0"/>
    <n v="6"/>
    <s v="FTSS"/>
    <x v="14"/>
    <n v="0"/>
    <m/>
    <m/>
    <m/>
    <x v="11"/>
  </r>
  <r>
    <n v="0"/>
    <n v="7"/>
    <s v="FTSS"/>
    <x v="14"/>
    <n v="0"/>
    <m/>
    <m/>
    <m/>
    <x v="11"/>
  </r>
  <r>
    <n v="0"/>
    <n v="8"/>
    <s v="FTSS"/>
    <x v="14"/>
    <n v="0"/>
    <m/>
    <m/>
    <m/>
    <x v="11"/>
  </r>
  <r>
    <n v="0"/>
    <n v="9"/>
    <s v="FTSS"/>
    <x v="14"/>
    <n v="0"/>
    <m/>
    <m/>
    <m/>
    <x v="11"/>
  </r>
  <r>
    <n v="0"/>
    <n v="10"/>
    <s v="FTSS"/>
    <x v="14"/>
    <n v="0"/>
    <m/>
    <m/>
    <m/>
    <x v="11"/>
  </r>
  <r>
    <n v="0"/>
    <n v="11"/>
    <s v="FTSS"/>
    <x v="14"/>
    <n v="0"/>
    <m/>
    <m/>
    <m/>
    <x v="11"/>
  </r>
  <r>
    <n v="0"/>
    <n v="12"/>
    <s v="FTSS"/>
    <x v="14"/>
    <n v="0"/>
    <m/>
    <m/>
    <m/>
    <x v="11"/>
  </r>
  <r>
    <n v="0"/>
    <n v="13"/>
    <s v="FTSS"/>
    <x v="14"/>
    <n v="0"/>
    <m/>
    <m/>
    <m/>
    <x v="11"/>
  </r>
  <r>
    <n v="0"/>
    <n v="14"/>
    <s v="FTSS"/>
    <x v="14"/>
    <n v="0"/>
    <m/>
    <m/>
    <m/>
    <x v="11"/>
  </r>
  <r>
    <n v="0"/>
    <n v="15"/>
    <s v="FTSS"/>
    <x v="14"/>
    <n v="0"/>
    <m/>
    <m/>
    <m/>
    <x v="11"/>
  </r>
  <r>
    <n v="0"/>
    <n v="16"/>
    <s v="FTSS"/>
    <x v="14"/>
    <n v="0"/>
    <m/>
    <m/>
    <m/>
    <x v="11"/>
  </r>
  <r>
    <n v="0"/>
    <n v="17"/>
    <s v="FTSS"/>
    <x v="14"/>
    <n v="0"/>
    <m/>
    <m/>
    <m/>
    <x v="11"/>
  </r>
  <r>
    <n v="0"/>
    <n v="18"/>
    <s v="FTSS"/>
    <x v="14"/>
    <n v="0"/>
    <m/>
    <m/>
    <m/>
    <x v="11"/>
  </r>
  <r>
    <n v="0"/>
    <n v="19"/>
    <s v="FTSS"/>
    <x v="14"/>
    <n v="0"/>
    <m/>
    <m/>
    <m/>
    <x v="11"/>
  </r>
  <r>
    <n v="0"/>
    <n v="20"/>
    <s v="FTSS"/>
    <x v="14"/>
    <n v="0"/>
    <m/>
    <m/>
    <m/>
    <x v="11"/>
  </r>
  <r>
    <n v="0"/>
    <n v="1"/>
    <s v="FTSS"/>
    <x v="15"/>
    <n v="0"/>
    <m/>
    <m/>
    <m/>
    <x v="11"/>
  </r>
  <r>
    <n v="0"/>
    <n v="2"/>
    <s v="FTSS"/>
    <x v="15"/>
    <n v="0"/>
    <m/>
    <m/>
    <m/>
    <x v="11"/>
  </r>
  <r>
    <n v="0"/>
    <n v="3"/>
    <s v="FTSS"/>
    <x v="15"/>
    <n v="0"/>
    <m/>
    <m/>
    <m/>
    <x v="11"/>
  </r>
  <r>
    <n v="0"/>
    <n v="4"/>
    <s v="FTSS"/>
    <x v="15"/>
    <n v="0"/>
    <m/>
    <m/>
    <m/>
    <x v="11"/>
  </r>
  <r>
    <n v="0"/>
    <n v="5"/>
    <s v="FTSS"/>
    <x v="15"/>
    <n v="0"/>
    <m/>
    <m/>
    <m/>
    <x v="11"/>
  </r>
  <r>
    <n v="0"/>
    <n v="6"/>
    <s v="FTSS"/>
    <x v="15"/>
    <n v="0"/>
    <m/>
    <m/>
    <m/>
    <x v="11"/>
  </r>
  <r>
    <n v="0"/>
    <n v="7"/>
    <s v="FTSS"/>
    <x v="15"/>
    <n v="0"/>
    <m/>
    <m/>
    <m/>
    <x v="11"/>
  </r>
  <r>
    <n v="0"/>
    <n v="8"/>
    <s v="FTSS"/>
    <x v="15"/>
    <n v="0"/>
    <m/>
    <m/>
    <m/>
    <x v="11"/>
  </r>
  <r>
    <n v="0"/>
    <n v="1"/>
    <s v="FTSS"/>
    <x v="16"/>
    <n v="0"/>
    <m/>
    <m/>
    <m/>
    <x v="11"/>
  </r>
  <r>
    <n v="0"/>
    <n v="2"/>
    <s v="FTSS"/>
    <x v="16"/>
    <n v="0"/>
    <m/>
    <m/>
    <m/>
    <x v="11"/>
  </r>
  <r>
    <n v="0"/>
    <n v="3"/>
    <s v="FTSS"/>
    <x v="16"/>
    <n v="0"/>
    <m/>
    <m/>
    <m/>
    <x v="11"/>
  </r>
  <r>
    <n v="0"/>
    <n v="4"/>
    <s v="FTSS"/>
    <x v="16"/>
    <n v="0"/>
    <m/>
    <m/>
    <m/>
    <x v="11"/>
  </r>
  <r>
    <n v="0"/>
    <n v="5"/>
    <s v="FTSS"/>
    <x v="16"/>
    <n v="0"/>
    <m/>
    <m/>
    <m/>
    <x v="11"/>
  </r>
  <r>
    <n v="0"/>
    <n v="6"/>
    <s v="FTSS"/>
    <x v="16"/>
    <n v="0"/>
    <m/>
    <m/>
    <m/>
    <x v="11"/>
  </r>
  <r>
    <n v="0"/>
    <n v="7"/>
    <s v="FTSS"/>
    <x v="16"/>
    <n v="0"/>
    <m/>
    <m/>
    <m/>
    <x v="11"/>
  </r>
  <r>
    <n v="0"/>
    <n v="8"/>
    <s v="FTSS"/>
    <x v="16"/>
    <n v="0"/>
    <m/>
    <m/>
    <m/>
    <x v="11"/>
  </r>
  <r>
    <n v="0"/>
    <n v="1"/>
    <s v="FTSS"/>
    <x v="17"/>
    <n v="0"/>
    <m/>
    <m/>
    <m/>
    <x v="11"/>
  </r>
  <r>
    <n v="0"/>
    <n v="2"/>
    <s v="FTSS"/>
    <x v="17"/>
    <n v="0"/>
    <m/>
    <m/>
    <m/>
    <x v="11"/>
  </r>
  <r>
    <n v="0"/>
    <n v="3"/>
    <s v="FTSS"/>
    <x v="17"/>
    <n v="0"/>
    <m/>
    <m/>
    <m/>
    <x v="11"/>
  </r>
  <r>
    <n v="0"/>
    <n v="4"/>
    <s v="FTSS"/>
    <x v="17"/>
    <n v="0"/>
    <m/>
    <m/>
    <m/>
    <x v="11"/>
  </r>
  <r>
    <n v="0"/>
    <n v="5"/>
    <s v="FTSS"/>
    <x v="17"/>
    <n v="0"/>
    <m/>
    <m/>
    <m/>
    <x v="11"/>
  </r>
  <r>
    <n v="0"/>
    <n v="1"/>
    <s v="FTSS"/>
    <x v="18"/>
    <n v="0"/>
    <m/>
    <m/>
    <m/>
    <x v="11"/>
  </r>
  <r>
    <n v="0"/>
    <n v="2"/>
    <s v="FTSS"/>
    <x v="18"/>
    <n v="0"/>
    <m/>
    <m/>
    <m/>
    <x v="11"/>
  </r>
  <r>
    <n v="0"/>
    <n v="3"/>
    <s v="FTSS"/>
    <x v="18"/>
    <n v="0"/>
    <m/>
    <m/>
    <m/>
    <x v="11"/>
  </r>
  <r>
    <n v="0"/>
    <n v="4"/>
    <s v="FTSS"/>
    <x v="18"/>
    <n v="0"/>
    <m/>
    <m/>
    <m/>
    <x v="11"/>
  </r>
  <r>
    <n v="0"/>
    <n v="5"/>
    <s v="FTSS"/>
    <x v="18"/>
    <n v="0"/>
    <m/>
    <m/>
    <m/>
    <x v="11"/>
  </r>
  <r>
    <n v="0"/>
    <n v="1"/>
    <s v="FTSS"/>
    <x v="19"/>
    <n v="0"/>
    <m/>
    <m/>
    <m/>
    <x v="11"/>
  </r>
  <r>
    <n v="0"/>
    <n v="2"/>
    <s v="FTSS"/>
    <x v="19"/>
    <n v="0"/>
    <m/>
    <m/>
    <m/>
    <x v="11"/>
  </r>
  <r>
    <n v="0"/>
    <n v="3"/>
    <s v="FTSS"/>
    <x v="19"/>
    <n v="0"/>
    <m/>
    <m/>
    <m/>
    <x v="11"/>
  </r>
  <r>
    <n v="0"/>
    <n v="4"/>
    <s v="FTSS"/>
    <x v="19"/>
    <n v="0"/>
    <m/>
    <m/>
    <m/>
    <x v="11"/>
  </r>
  <r>
    <n v="0"/>
    <n v="5"/>
    <s v="FTSS"/>
    <x v="19"/>
    <n v="0"/>
    <m/>
    <m/>
    <m/>
    <x v="11"/>
  </r>
  <r>
    <n v="0"/>
    <n v="6"/>
    <s v="FTSS"/>
    <x v="19"/>
    <n v="0"/>
    <m/>
    <m/>
    <m/>
    <x v="11"/>
  </r>
  <r>
    <n v="0"/>
    <n v="7"/>
    <s v="FTSS"/>
    <x v="19"/>
    <n v="0"/>
    <m/>
    <m/>
    <m/>
    <x v="11"/>
  </r>
  <r>
    <n v="0"/>
    <n v="8"/>
    <s v="FTSS"/>
    <x v="19"/>
    <n v="0"/>
    <m/>
    <m/>
    <m/>
    <x v="11"/>
  </r>
  <r>
    <n v="0"/>
    <n v="9"/>
    <s v="FTSS"/>
    <x v="19"/>
    <n v="0"/>
    <m/>
    <m/>
    <m/>
    <x v="11"/>
  </r>
  <r>
    <n v="0"/>
    <n v="10"/>
    <s v="FTSS"/>
    <x v="19"/>
    <n v="0"/>
    <m/>
    <m/>
    <m/>
    <x v="11"/>
  </r>
  <r>
    <n v="0"/>
    <n v="11"/>
    <s v="FTSS"/>
    <x v="19"/>
    <n v="0"/>
    <m/>
    <m/>
    <m/>
    <x v="11"/>
  </r>
  <r>
    <n v="0"/>
    <n v="12"/>
    <s v="FTSS"/>
    <x v="19"/>
    <n v="0"/>
    <m/>
    <m/>
    <m/>
    <x v="11"/>
  </r>
  <r>
    <n v="0"/>
    <n v="13"/>
    <s v="FTSS"/>
    <x v="19"/>
    <n v="0"/>
    <m/>
    <m/>
    <m/>
    <x v="11"/>
  </r>
  <r>
    <n v="0"/>
    <n v="14"/>
    <s v="FTSS"/>
    <x v="19"/>
    <n v="0"/>
    <m/>
    <m/>
    <m/>
    <x v="11"/>
  </r>
  <r>
    <n v="0"/>
    <n v="15"/>
    <s v="FTSS"/>
    <x v="19"/>
    <n v="0"/>
    <m/>
    <m/>
    <m/>
    <x v="11"/>
  </r>
  <r>
    <n v="0"/>
    <n v="16"/>
    <s v="FTSS"/>
    <x v="19"/>
    <n v="0"/>
    <m/>
    <m/>
    <m/>
    <x v="11"/>
  </r>
  <r>
    <n v="0"/>
    <n v="17"/>
    <s v="FTSS"/>
    <x v="19"/>
    <n v="0"/>
    <m/>
    <m/>
    <m/>
    <x v="11"/>
  </r>
  <r>
    <n v="0"/>
    <n v="18"/>
    <s v="FTSS"/>
    <x v="19"/>
    <n v="0"/>
    <m/>
    <m/>
    <m/>
    <x v="11"/>
  </r>
  <r>
    <n v="0"/>
    <n v="19"/>
    <s v="FTSS"/>
    <x v="19"/>
    <n v="0"/>
    <m/>
    <m/>
    <m/>
    <x v="11"/>
  </r>
  <r>
    <n v="0"/>
    <n v="20"/>
    <s v="FTSS"/>
    <x v="19"/>
    <n v="0"/>
    <m/>
    <m/>
    <m/>
    <x v="11"/>
  </r>
  <r>
    <n v="0"/>
    <n v="1"/>
    <s v="FTU"/>
    <x v="3"/>
    <n v="0"/>
    <m/>
    <m/>
    <m/>
    <x v="12"/>
  </r>
  <r>
    <n v="0"/>
    <n v="2"/>
    <s v="FTU"/>
    <x v="3"/>
    <n v="0"/>
    <m/>
    <m/>
    <m/>
    <x v="12"/>
  </r>
  <r>
    <n v="0"/>
    <n v="3"/>
    <s v="FTU"/>
    <x v="3"/>
    <n v="0"/>
    <m/>
    <m/>
    <m/>
    <x v="12"/>
  </r>
  <r>
    <n v="0"/>
    <n v="4"/>
    <s v="FTU"/>
    <x v="3"/>
    <n v="0"/>
    <m/>
    <m/>
    <m/>
    <x v="12"/>
  </r>
  <r>
    <n v="0"/>
    <n v="5"/>
    <s v="FTU"/>
    <x v="3"/>
    <n v="0"/>
    <m/>
    <m/>
    <m/>
    <x v="12"/>
  </r>
  <r>
    <n v="0"/>
    <n v="6"/>
    <s v="FTU"/>
    <x v="3"/>
    <n v="0"/>
    <m/>
    <m/>
    <m/>
    <x v="12"/>
  </r>
  <r>
    <n v="0"/>
    <n v="7"/>
    <s v="FTU"/>
    <x v="3"/>
    <n v="0"/>
    <m/>
    <m/>
    <m/>
    <x v="12"/>
  </r>
  <r>
    <n v="0"/>
    <n v="8"/>
    <s v="FTU"/>
    <x v="3"/>
    <n v="0"/>
    <m/>
    <m/>
    <m/>
    <x v="12"/>
  </r>
  <r>
    <n v="0"/>
    <n v="9"/>
    <s v="FTU"/>
    <x v="3"/>
    <n v="0"/>
    <m/>
    <m/>
    <m/>
    <x v="12"/>
  </r>
  <r>
    <n v="0"/>
    <n v="10"/>
    <s v="FTU"/>
    <x v="3"/>
    <n v="0"/>
    <m/>
    <m/>
    <m/>
    <x v="12"/>
  </r>
  <r>
    <n v="0"/>
    <n v="11"/>
    <s v="FTU"/>
    <x v="3"/>
    <n v="0"/>
    <m/>
    <m/>
    <m/>
    <x v="12"/>
  </r>
  <r>
    <n v="0"/>
    <n v="12"/>
    <s v="FTU"/>
    <x v="3"/>
    <n v="0"/>
    <m/>
    <m/>
    <m/>
    <x v="12"/>
  </r>
  <r>
    <n v="0"/>
    <n v="13"/>
    <s v="FTU"/>
    <x v="3"/>
    <n v="0"/>
    <m/>
    <m/>
    <m/>
    <x v="12"/>
  </r>
  <r>
    <n v="0"/>
    <n v="14"/>
    <s v="FTU"/>
    <x v="3"/>
    <n v="0"/>
    <m/>
    <m/>
    <m/>
    <x v="12"/>
  </r>
  <r>
    <n v="0"/>
    <n v="15"/>
    <s v="FTU"/>
    <x v="3"/>
    <n v="0"/>
    <m/>
    <m/>
    <m/>
    <x v="12"/>
  </r>
  <r>
    <n v="0"/>
    <n v="16"/>
    <s v="FTU"/>
    <x v="3"/>
    <n v="0"/>
    <m/>
    <m/>
    <m/>
    <x v="12"/>
  </r>
  <r>
    <n v="0"/>
    <n v="17"/>
    <s v="FTU"/>
    <x v="3"/>
    <n v="0"/>
    <m/>
    <m/>
    <m/>
    <x v="12"/>
  </r>
  <r>
    <n v="0"/>
    <n v="18"/>
    <s v="FTU"/>
    <x v="3"/>
    <n v="0"/>
    <m/>
    <m/>
    <m/>
    <x v="12"/>
  </r>
  <r>
    <n v="0"/>
    <n v="19"/>
    <s v="FTU"/>
    <x v="3"/>
    <n v="0"/>
    <m/>
    <m/>
    <m/>
    <x v="12"/>
  </r>
  <r>
    <n v="0"/>
    <n v="20"/>
    <s v="FTU"/>
    <x v="3"/>
    <n v="0"/>
    <m/>
    <m/>
    <m/>
    <x v="12"/>
  </r>
  <r>
    <n v="0"/>
    <n v="1"/>
    <s v="FTU"/>
    <x v="4"/>
    <n v="0"/>
    <m/>
    <m/>
    <m/>
    <x v="12"/>
  </r>
  <r>
    <n v="0"/>
    <n v="2"/>
    <s v="FTU"/>
    <x v="4"/>
    <n v="0"/>
    <m/>
    <m/>
    <m/>
    <x v="12"/>
  </r>
  <r>
    <n v="0"/>
    <n v="3"/>
    <s v="FTU"/>
    <x v="4"/>
    <n v="0"/>
    <m/>
    <m/>
    <m/>
    <x v="12"/>
  </r>
  <r>
    <n v="0"/>
    <n v="4"/>
    <s v="FTU"/>
    <x v="4"/>
    <n v="0"/>
    <m/>
    <m/>
    <m/>
    <x v="12"/>
  </r>
  <r>
    <n v="0"/>
    <n v="5"/>
    <s v="FTU"/>
    <x v="4"/>
    <n v="0"/>
    <m/>
    <m/>
    <m/>
    <x v="12"/>
  </r>
  <r>
    <n v="0"/>
    <n v="6"/>
    <s v="FTU"/>
    <x v="4"/>
    <n v="0"/>
    <m/>
    <m/>
    <m/>
    <x v="12"/>
  </r>
  <r>
    <n v="0"/>
    <n v="7"/>
    <s v="FTU"/>
    <x v="4"/>
    <n v="0"/>
    <m/>
    <m/>
    <m/>
    <x v="12"/>
  </r>
  <r>
    <n v="0"/>
    <n v="8"/>
    <s v="FTU"/>
    <x v="4"/>
    <n v="0"/>
    <m/>
    <m/>
    <m/>
    <x v="12"/>
  </r>
  <r>
    <n v="0"/>
    <n v="9"/>
    <s v="FTU"/>
    <x v="4"/>
    <n v="0"/>
    <m/>
    <m/>
    <m/>
    <x v="12"/>
  </r>
  <r>
    <n v="0"/>
    <n v="10"/>
    <s v="FTU"/>
    <x v="4"/>
    <n v="0"/>
    <m/>
    <m/>
    <m/>
    <x v="12"/>
  </r>
  <r>
    <n v="0"/>
    <n v="11"/>
    <s v="FTU"/>
    <x v="4"/>
    <n v="0"/>
    <m/>
    <m/>
    <m/>
    <x v="12"/>
  </r>
  <r>
    <n v="0"/>
    <n v="12"/>
    <s v="FTU"/>
    <x v="4"/>
    <n v="0"/>
    <m/>
    <m/>
    <m/>
    <x v="12"/>
  </r>
  <r>
    <n v="0"/>
    <n v="13"/>
    <s v="FTU"/>
    <x v="4"/>
    <n v="0"/>
    <m/>
    <m/>
    <m/>
    <x v="12"/>
  </r>
  <r>
    <n v="0"/>
    <n v="14"/>
    <s v="FTU"/>
    <x v="4"/>
    <n v="0"/>
    <m/>
    <m/>
    <m/>
    <x v="12"/>
  </r>
  <r>
    <n v="0"/>
    <n v="15"/>
    <s v="FTU"/>
    <x v="4"/>
    <n v="0"/>
    <m/>
    <m/>
    <m/>
    <x v="12"/>
  </r>
  <r>
    <n v="0"/>
    <n v="16"/>
    <s v="FTU"/>
    <x v="4"/>
    <n v="0"/>
    <m/>
    <m/>
    <m/>
    <x v="12"/>
  </r>
  <r>
    <n v="0"/>
    <n v="17"/>
    <s v="FTU"/>
    <x v="4"/>
    <n v="0"/>
    <m/>
    <m/>
    <m/>
    <x v="12"/>
  </r>
  <r>
    <n v="0"/>
    <n v="16"/>
    <s v="FTU"/>
    <x v="4"/>
    <n v="0"/>
    <m/>
    <m/>
    <m/>
    <x v="12"/>
  </r>
  <r>
    <n v="0"/>
    <n v="19"/>
    <s v="FTU"/>
    <x v="4"/>
    <n v="0"/>
    <m/>
    <m/>
    <m/>
    <x v="12"/>
  </r>
  <r>
    <n v="0"/>
    <n v="20"/>
    <s v="FTU"/>
    <x v="4"/>
    <n v="0"/>
    <m/>
    <m/>
    <m/>
    <x v="12"/>
  </r>
  <r>
    <n v="0"/>
    <n v="1"/>
    <s v="MSRF"/>
    <x v="0"/>
    <n v="0"/>
    <m/>
    <m/>
    <m/>
    <x v="13"/>
  </r>
  <r>
    <n v="0"/>
    <n v="2"/>
    <s v="MSRF"/>
    <x v="0"/>
    <n v="0"/>
    <m/>
    <m/>
    <m/>
    <x v="13"/>
  </r>
  <r>
    <n v="0"/>
    <n v="3"/>
    <s v="MSRF"/>
    <x v="0"/>
    <n v="0"/>
    <m/>
    <m/>
    <m/>
    <x v="13"/>
  </r>
  <r>
    <n v="0"/>
    <n v="4"/>
    <s v="MSRF"/>
    <x v="0"/>
    <n v="0"/>
    <m/>
    <m/>
    <m/>
    <x v="13"/>
  </r>
  <r>
    <n v="0"/>
    <n v="5"/>
    <s v="MSRF"/>
    <x v="0"/>
    <n v="0"/>
    <m/>
    <m/>
    <m/>
    <x v="13"/>
  </r>
  <r>
    <n v="0"/>
    <n v="6"/>
    <s v="MSRF"/>
    <x v="0"/>
    <n v="0"/>
    <m/>
    <m/>
    <m/>
    <x v="13"/>
  </r>
  <r>
    <n v="0"/>
    <n v="7"/>
    <s v="MSRF"/>
    <x v="0"/>
    <n v="0"/>
    <m/>
    <m/>
    <m/>
    <x v="13"/>
  </r>
  <r>
    <n v="0"/>
    <n v="8"/>
    <s v="MSRF"/>
    <x v="0"/>
    <n v="0"/>
    <m/>
    <m/>
    <m/>
    <x v="13"/>
  </r>
  <r>
    <n v="0"/>
    <n v="9"/>
    <s v="MSRF"/>
    <x v="0"/>
    <n v="0"/>
    <m/>
    <m/>
    <m/>
    <x v="13"/>
  </r>
  <r>
    <n v="0"/>
    <n v="10"/>
    <s v="MSRF"/>
    <x v="0"/>
    <n v="0"/>
    <m/>
    <m/>
    <m/>
    <x v="13"/>
  </r>
  <r>
    <n v="0"/>
    <n v="11"/>
    <s v="MSRF"/>
    <x v="0"/>
    <n v="0"/>
    <m/>
    <m/>
    <m/>
    <x v="13"/>
  </r>
  <r>
    <n v="0"/>
    <n v="12"/>
    <s v="MSRF"/>
    <x v="0"/>
    <n v="0"/>
    <m/>
    <m/>
    <m/>
    <x v="13"/>
  </r>
  <r>
    <n v="0"/>
    <n v="13"/>
    <s v="MSRF"/>
    <x v="0"/>
    <n v="0"/>
    <m/>
    <m/>
    <m/>
    <x v="13"/>
  </r>
  <r>
    <n v="0"/>
    <n v="14"/>
    <s v="MSRF"/>
    <x v="0"/>
    <n v="0"/>
    <m/>
    <m/>
    <m/>
    <x v="13"/>
  </r>
  <r>
    <n v="0"/>
    <n v="15"/>
    <s v="MSRF"/>
    <x v="0"/>
    <n v="0"/>
    <m/>
    <m/>
    <m/>
    <x v="13"/>
  </r>
  <r>
    <n v="0"/>
    <n v="16"/>
    <s v="MSRF"/>
    <x v="0"/>
    <n v="0"/>
    <m/>
    <m/>
    <m/>
    <x v="13"/>
  </r>
  <r>
    <n v="0"/>
    <n v="17"/>
    <s v="MSRF"/>
    <x v="0"/>
    <n v="0"/>
    <m/>
    <m/>
    <m/>
    <x v="13"/>
  </r>
  <r>
    <n v="0"/>
    <n v="18"/>
    <s v="MSRF"/>
    <x v="0"/>
    <n v="0"/>
    <m/>
    <m/>
    <m/>
    <x v="13"/>
  </r>
  <r>
    <n v="0"/>
    <n v="19"/>
    <s v="MSRF"/>
    <x v="0"/>
    <n v="0"/>
    <m/>
    <m/>
    <m/>
    <x v="13"/>
  </r>
  <r>
    <n v="0"/>
    <n v="20"/>
    <s v="MSRF"/>
    <x v="0"/>
    <n v="0"/>
    <m/>
    <m/>
    <m/>
    <x v="13"/>
  </r>
  <r>
    <n v="0"/>
    <n v="1"/>
    <s v="MSRF"/>
    <x v="1"/>
    <n v="0"/>
    <m/>
    <m/>
    <m/>
    <x v="13"/>
  </r>
  <r>
    <n v="0"/>
    <n v="2"/>
    <s v="MSRF"/>
    <x v="1"/>
    <n v="0"/>
    <m/>
    <m/>
    <m/>
    <x v="13"/>
  </r>
  <r>
    <n v="0"/>
    <n v="3"/>
    <s v="MSRF"/>
    <x v="1"/>
    <n v="0"/>
    <m/>
    <m/>
    <m/>
    <x v="13"/>
  </r>
  <r>
    <n v="0"/>
    <n v="4"/>
    <s v="MSRF"/>
    <x v="1"/>
    <n v="0"/>
    <m/>
    <m/>
    <m/>
    <x v="13"/>
  </r>
  <r>
    <n v="0"/>
    <n v="5"/>
    <s v="MSRF"/>
    <x v="1"/>
    <n v="0"/>
    <m/>
    <m/>
    <m/>
    <x v="13"/>
  </r>
  <r>
    <n v="0"/>
    <n v="6"/>
    <s v="MSRF"/>
    <x v="1"/>
    <n v="0"/>
    <m/>
    <m/>
    <m/>
    <x v="13"/>
  </r>
  <r>
    <n v="0"/>
    <n v="7"/>
    <s v="MSRF"/>
    <x v="1"/>
    <n v="0"/>
    <m/>
    <m/>
    <m/>
    <x v="13"/>
  </r>
  <r>
    <n v="0"/>
    <n v="8"/>
    <s v="MSRF"/>
    <x v="1"/>
    <n v="0"/>
    <m/>
    <m/>
    <m/>
    <x v="13"/>
  </r>
  <r>
    <n v="0"/>
    <n v="9"/>
    <s v="MSRF"/>
    <x v="1"/>
    <n v="0"/>
    <m/>
    <m/>
    <m/>
    <x v="13"/>
  </r>
  <r>
    <n v="0"/>
    <n v="10"/>
    <s v="MSRF"/>
    <x v="1"/>
    <n v="0"/>
    <m/>
    <m/>
    <m/>
    <x v="13"/>
  </r>
  <r>
    <n v="0"/>
    <n v="11"/>
    <s v="MSRF"/>
    <x v="1"/>
    <n v="0"/>
    <m/>
    <m/>
    <m/>
    <x v="13"/>
  </r>
  <r>
    <n v="0"/>
    <n v="12"/>
    <s v="MSRF"/>
    <x v="1"/>
    <n v="0"/>
    <m/>
    <m/>
    <m/>
    <x v="13"/>
  </r>
  <r>
    <n v="0"/>
    <n v="13"/>
    <s v="MSRF"/>
    <x v="1"/>
    <n v="0"/>
    <m/>
    <m/>
    <m/>
    <x v="13"/>
  </r>
  <r>
    <n v="0"/>
    <n v="14"/>
    <s v="MSRF"/>
    <x v="1"/>
    <n v="0"/>
    <m/>
    <m/>
    <m/>
    <x v="13"/>
  </r>
  <r>
    <n v="0"/>
    <n v="15"/>
    <s v="MSRF"/>
    <x v="1"/>
    <n v="0"/>
    <m/>
    <m/>
    <m/>
    <x v="13"/>
  </r>
  <r>
    <n v="0"/>
    <n v="16"/>
    <s v="MSRF"/>
    <x v="1"/>
    <n v="0"/>
    <m/>
    <m/>
    <m/>
    <x v="13"/>
  </r>
  <r>
    <n v="0"/>
    <n v="17"/>
    <s v="MSRF"/>
    <x v="1"/>
    <n v="0"/>
    <m/>
    <m/>
    <m/>
    <x v="13"/>
  </r>
  <r>
    <n v="0"/>
    <n v="18"/>
    <s v="MSRF"/>
    <x v="1"/>
    <n v="0"/>
    <m/>
    <m/>
    <m/>
    <x v="13"/>
  </r>
  <r>
    <n v="0"/>
    <n v="19"/>
    <s v="MSRF"/>
    <x v="1"/>
    <n v="0"/>
    <m/>
    <m/>
    <m/>
    <x v="13"/>
  </r>
  <r>
    <n v="0"/>
    <n v="20"/>
    <s v="MSRF"/>
    <x v="1"/>
    <n v="0"/>
    <m/>
    <m/>
    <m/>
    <x v="13"/>
  </r>
  <r>
    <n v="0"/>
    <n v="1"/>
    <s v="MSRF"/>
    <x v="2"/>
    <n v="0"/>
    <m/>
    <m/>
    <m/>
    <x v="13"/>
  </r>
  <r>
    <n v="0"/>
    <n v="2"/>
    <s v="MSRF"/>
    <x v="2"/>
    <n v="0"/>
    <m/>
    <m/>
    <m/>
    <x v="13"/>
  </r>
  <r>
    <n v="0"/>
    <n v="3"/>
    <s v="MSRF"/>
    <x v="2"/>
    <n v="0"/>
    <m/>
    <m/>
    <m/>
    <x v="13"/>
  </r>
  <r>
    <n v="0"/>
    <n v="4"/>
    <s v="MSRF"/>
    <x v="2"/>
    <n v="0"/>
    <m/>
    <m/>
    <m/>
    <x v="13"/>
  </r>
  <r>
    <n v="0"/>
    <n v="5"/>
    <s v="MSRF"/>
    <x v="2"/>
    <n v="0"/>
    <m/>
    <m/>
    <m/>
    <x v="13"/>
  </r>
  <r>
    <n v="0"/>
    <n v="6"/>
    <s v="MSRF"/>
    <x v="2"/>
    <n v="0"/>
    <m/>
    <m/>
    <m/>
    <x v="13"/>
  </r>
  <r>
    <n v="0"/>
    <n v="7"/>
    <s v="MSRF"/>
    <x v="2"/>
    <n v="0"/>
    <m/>
    <m/>
    <m/>
    <x v="13"/>
  </r>
  <r>
    <n v="0"/>
    <n v="8"/>
    <s v="MSRF"/>
    <x v="2"/>
    <n v="0"/>
    <m/>
    <m/>
    <m/>
    <x v="13"/>
  </r>
  <r>
    <n v="0"/>
    <n v="9"/>
    <s v="MSRF"/>
    <x v="2"/>
    <n v="0"/>
    <m/>
    <m/>
    <m/>
    <x v="13"/>
  </r>
  <r>
    <n v="0"/>
    <n v="10"/>
    <s v="MSRF"/>
    <x v="2"/>
    <n v="0"/>
    <m/>
    <m/>
    <m/>
    <x v="13"/>
  </r>
  <r>
    <n v="0"/>
    <n v="11"/>
    <s v="MSRF"/>
    <x v="2"/>
    <n v="0"/>
    <m/>
    <m/>
    <m/>
    <x v="13"/>
  </r>
  <r>
    <n v="0"/>
    <n v="12"/>
    <s v="MSRF"/>
    <x v="2"/>
    <n v="0"/>
    <m/>
    <m/>
    <m/>
    <x v="13"/>
  </r>
  <r>
    <n v="0"/>
    <n v="13"/>
    <s v="MSRF"/>
    <x v="2"/>
    <n v="0"/>
    <m/>
    <m/>
    <m/>
    <x v="13"/>
  </r>
  <r>
    <n v="0"/>
    <n v="14"/>
    <s v="MSRF"/>
    <x v="2"/>
    <n v="0"/>
    <m/>
    <m/>
    <m/>
    <x v="13"/>
  </r>
  <r>
    <n v="0"/>
    <n v="15"/>
    <s v="MSRF"/>
    <x v="2"/>
    <n v="0"/>
    <m/>
    <m/>
    <m/>
    <x v="13"/>
  </r>
  <r>
    <n v="0"/>
    <n v="16"/>
    <s v="MSRF"/>
    <x v="2"/>
    <n v="0"/>
    <m/>
    <m/>
    <m/>
    <x v="13"/>
  </r>
  <r>
    <n v="0"/>
    <n v="17"/>
    <s v="MSRF"/>
    <x v="2"/>
    <n v="0"/>
    <m/>
    <m/>
    <m/>
    <x v="13"/>
  </r>
  <r>
    <n v="0"/>
    <n v="18"/>
    <s v="MSRF"/>
    <x v="2"/>
    <n v="0"/>
    <m/>
    <m/>
    <m/>
    <x v="13"/>
  </r>
  <r>
    <n v="0"/>
    <n v="19"/>
    <s v="MSRF"/>
    <x v="2"/>
    <n v="0"/>
    <m/>
    <m/>
    <m/>
    <x v="13"/>
  </r>
  <r>
    <n v="0"/>
    <n v="20"/>
    <s v="MSRF"/>
    <x v="2"/>
    <n v="0"/>
    <m/>
    <m/>
    <m/>
    <x v="13"/>
  </r>
  <r>
    <n v="0"/>
    <n v="1"/>
    <s v="MSRF"/>
    <x v="3"/>
    <n v="0"/>
    <m/>
    <m/>
    <m/>
    <x v="13"/>
  </r>
  <r>
    <n v="0"/>
    <n v="2"/>
    <s v="MSRF"/>
    <x v="3"/>
    <n v="0"/>
    <m/>
    <m/>
    <m/>
    <x v="13"/>
  </r>
  <r>
    <n v="0"/>
    <n v="3"/>
    <s v="MSRF"/>
    <x v="3"/>
    <n v="0"/>
    <m/>
    <m/>
    <m/>
    <x v="13"/>
  </r>
  <r>
    <n v="0"/>
    <n v="4"/>
    <s v="MSRF"/>
    <x v="3"/>
    <n v="0"/>
    <m/>
    <m/>
    <m/>
    <x v="13"/>
  </r>
  <r>
    <n v="0"/>
    <n v="5"/>
    <s v="MSRF"/>
    <x v="3"/>
    <n v="0"/>
    <m/>
    <m/>
    <m/>
    <x v="13"/>
  </r>
  <r>
    <n v="0"/>
    <n v="6"/>
    <s v="MSRF"/>
    <x v="3"/>
    <n v="0"/>
    <m/>
    <m/>
    <m/>
    <x v="13"/>
  </r>
  <r>
    <n v="0"/>
    <n v="7"/>
    <s v="MSRF"/>
    <x v="3"/>
    <n v="0"/>
    <m/>
    <m/>
    <m/>
    <x v="13"/>
  </r>
  <r>
    <n v="0"/>
    <n v="8"/>
    <s v="MSRF"/>
    <x v="3"/>
    <n v="0"/>
    <m/>
    <m/>
    <m/>
    <x v="13"/>
  </r>
  <r>
    <n v="0"/>
    <n v="9"/>
    <s v="MSRF"/>
    <x v="3"/>
    <n v="0"/>
    <m/>
    <m/>
    <m/>
    <x v="13"/>
  </r>
  <r>
    <n v="0"/>
    <n v="10"/>
    <s v="MSRF"/>
    <x v="3"/>
    <n v="0"/>
    <m/>
    <m/>
    <m/>
    <x v="13"/>
  </r>
  <r>
    <n v="0"/>
    <n v="11"/>
    <s v="MSRF"/>
    <x v="3"/>
    <n v="0"/>
    <m/>
    <m/>
    <m/>
    <x v="13"/>
  </r>
  <r>
    <n v="0"/>
    <n v="12"/>
    <s v="MSRF"/>
    <x v="3"/>
    <n v="0"/>
    <m/>
    <m/>
    <m/>
    <x v="13"/>
  </r>
  <r>
    <n v="0"/>
    <n v="13"/>
    <s v="MSRF"/>
    <x v="3"/>
    <n v="0"/>
    <m/>
    <m/>
    <m/>
    <x v="13"/>
  </r>
  <r>
    <n v="0"/>
    <n v="14"/>
    <s v="MSRF"/>
    <x v="3"/>
    <n v="0"/>
    <m/>
    <m/>
    <m/>
    <x v="13"/>
  </r>
  <r>
    <n v="0"/>
    <n v="15"/>
    <s v="MSRF"/>
    <x v="3"/>
    <n v="0"/>
    <m/>
    <m/>
    <m/>
    <x v="13"/>
  </r>
  <r>
    <n v="0"/>
    <n v="16"/>
    <s v="MSRF"/>
    <x v="3"/>
    <n v="0"/>
    <m/>
    <m/>
    <m/>
    <x v="13"/>
  </r>
  <r>
    <n v="0"/>
    <n v="17"/>
    <s v="MSRF"/>
    <x v="3"/>
    <n v="0"/>
    <m/>
    <m/>
    <m/>
    <x v="13"/>
  </r>
  <r>
    <n v="0"/>
    <n v="18"/>
    <s v="MSRF"/>
    <x v="3"/>
    <n v="0"/>
    <m/>
    <m/>
    <m/>
    <x v="13"/>
  </r>
  <r>
    <n v="0"/>
    <n v="19"/>
    <s v="MSRF"/>
    <x v="3"/>
    <n v="0"/>
    <m/>
    <m/>
    <m/>
    <x v="13"/>
  </r>
  <r>
    <n v="0"/>
    <n v="20"/>
    <s v="MSRF"/>
    <x v="3"/>
    <n v="0"/>
    <m/>
    <m/>
    <m/>
    <x v="13"/>
  </r>
  <r>
    <n v="0"/>
    <n v="1"/>
    <s v="MSRF"/>
    <x v="15"/>
    <n v="0"/>
    <m/>
    <m/>
    <m/>
    <x v="13"/>
  </r>
  <r>
    <n v="0"/>
    <n v="2"/>
    <s v="MSRF"/>
    <x v="15"/>
    <n v="0"/>
    <m/>
    <m/>
    <m/>
    <x v="13"/>
  </r>
  <r>
    <n v="0"/>
    <n v="3"/>
    <s v="MSRF"/>
    <x v="15"/>
    <n v="0"/>
    <m/>
    <m/>
    <m/>
    <x v="13"/>
  </r>
  <r>
    <n v="0"/>
    <n v="4"/>
    <s v="MSRF"/>
    <x v="15"/>
    <n v="0"/>
    <m/>
    <m/>
    <m/>
    <x v="13"/>
  </r>
  <r>
    <n v="0"/>
    <n v="5"/>
    <s v="MSRF"/>
    <x v="15"/>
    <n v="0"/>
    <m/>
    <m/>
    <m/>
    <x v="13"/>
  </r>
  <r>
    <n v="0"/>
    <n v="6"/>
    <s v="MSRF"/>
    <x v="15"/>
    <n v="0"/>
    <m/>
    <m/>
    <m/>
    <x v="13"/>
  </r>
  <r>
    <n v="0"/>
    <n v="7"/>
    <s v="MSRF"/>
    <x v="15"/>
    <n v="0"/>
    <m/>
    <m/>
    <m/>
    <x v="13"/>
  </r>
  <r>
    <n v="0"/>
    <n v="8"/>
    <s v="MSRF"/>
    <x v="15"/>
    <n v="0"/>
    <m/>
    <m/>
    <m/>
    <x v="13"/>
  </r>
  <r>
    <n v="0"/>
    <n v="1"/>
    <s v="MSRF"/>
    <x v="16"/>
    <n v="0"/>
    <m/>
    <m/>
    <m/>
    <x v="13"/>
  </r>
  <r>
    <n v="0"/>
    <n v="2"/>
    <s v="MSRF"/>
    <x v="16"/>
    <n v="0"/>
    <m/>
    <m/>
    <m/>
    <x v="13"/>
  </r>
  <r>
    <n v="0"/>
    <n v="3"/>
    <s v="MSRF"/>
    <x v="16"/>
    <n v="0"/>
    <m/>
    <m/>
    <m/>
    <x v="13"/>
  </r>
  <r>
    <n v="0"/>
    <n v="4"/>
    <s v="MSRF"/>
    <x v="16"/>
    <n v="0"/>
    <m/>
    <m/>
    <m/>
    <x v="13"/>
  </r>
  <r>
    <n v="0"/>
    <n v="5"/>
    <s v="MSRF"/>
    <x v="16"/>
    <n v="0"/>
    <m/>
    <m/>
    <m/>
    <x v="13"/>
  </r>
  <r>
    <n v="0"/>
    <n v="6"/>
    <s v="MSRF"/>
    <x v="16"/>
    <n v="0"/>
    <m/>
    <m/>
    <m/>
    <x v="13"/>
  </r>
  <r>
    <n v="0"/>
    <n v="7"/>
    <s v="MSRF"/>
    <x v="16"/>
    <n v="0"/>
    <m/>
    <m/>
    <m/>
    <x v="13"/>
  </r>
  <r>
    <n v="0"/>
    <n v="8"/>
    <s v="MSRF"/>
    <x v="16"/>
    <n v="0"/>
    <m/>
    <m/>
    <m/>
    <x v="13"/>
  </r>
  <r>
    <n v="0"/>
    <n v="1"/>
    <s v="MSRF"/>
    <x v="17"/>
    <n v="0"/>
    <m/>
    <m/>
    <m/>
    <x v="13"/>
  </r>
  <r>
    <n v="0"/>
    <n v="2"/>
    <s v="MSRF"/>
    <x v="17"/>
    <n v="0"/>
    <m/>
    <m/>
    <m/>
    <x v="13"/>
  </r>
  <r>
    <n v="0"/>
    <n v="3"/>
    <s v="MSRF"/>
    <x v="17"/>
    <n v="0"/>
    <m/>
    <m/>
    <m/>
    <x v="13"/>
  </r>
  <r>
    <n v="0"/>
    <n v="4"/>
    <s v="MSRF"/>
    <x v="17"/>
    <n v="0"/>
    <m/>
    <m/>
    <m/>
    <x v="13"/>
  </r>
  <r>
    <n v="0"/>
    <n v="5"/>
    <s v="MSRF"/>
    <x v="17"/>
    <n v="0"/>
    <m/>
    <m/>
    <m/>
    <x v="13"/>
  </r>
  <r>
    <n v="0"/>
    <n v="1"/>
    <s v="MSRF"/>
    <x v="18"/>
    <n v="0"/>
    <m/>
    <m/>
    <m/>
    <x v="13"/>
  </r>
  <r>
    <n v="0"/>
    <n v="2"/>
    <s v="MSRF"/>
    <x v="18"/>
    <n v="0"/>
    <m/>
    <m/>
    <m/>
    <x v="13"/>
  </r>
  <r>
    <n v="0"/>
    <n v="3"/>
    <s v="MSRF"/>
    <x v="18"/>
    <n v="0"/>
    <m/>
    <m/>
    <m/>
    <x v="13"/>
  </r>
  <r>
    <n v="0"/>
    <n v="4"/>
    <s v="MSRF"/>
    <x v="18"/>
    <n v="0"/>
    <m/>
    <m/>
    <m/>
    <x v="13"/>
  </r>
  <r>
    <n v="0"/>
    <n v="5"/>
    <s v="MSRF"/>
    <x v="18"/>
    <n v="0"/>
    <m/>
    <m/>
    <m/>
    <x v="13"/>
  </r>
  <r>
    <n v="0"/>
    <n v="1"/>
    <s v="MSRF"/>
    <x v="19"/>
    <n v="0"/>
    <m/>
    <m/>
    <m/>
    <x v="13"/>
  </r>
  <r>
    <n v="0"/>
    <n v="2"/>
    <s v="MSRF"/>
    <x v="19"/>
    <n v="0"/>
    <m/>
    <m/>
    <m/>
    <x v="13"/>
  </r>
  <r>
    <n v="0"/>
    <n v="3"/>
    <s v="MSRF"/>
    <x v="19"/>
    <n v="0"/>
    <m/>
    <m/>
    <m/>
    <x v="13"/>
  </r>
  <r>
    <n v="0"/>
    <n v="4"/>
    <s v="MSRF"/>
    <x v="19"/>
    <n v="0"/>
    <m/>
    <m/>
    <m/>
    <x v="13"/>
  </r>
  <r>
    <n v="0"/>
    <n v="5"/>
    <s v="MSRF"/>
    <x v="19"/>
    <n v="0"/>
    <m/>
    <m/>
    <m/>
    <x v="13"/>
  </r>
  <r>
    <n v="0"/>
    <n v="6"/>
    <s v="MSRF"/>
    <x v="19"/>
    <n v="0"/>
    <m/>
    <m/>
    <m/>
    <x v="13"/>
  </r>
  <r>
    <n v="0"/>
    <n v="7"/>
    <s v="MSRF"/>
    <x v="19"/>
    <n v="0"/>
    <m/>
    <m/>
    <m/>
    <x v="13"/>
  </r>
  <r>
    <n v="0"/>
    <n v="8"/>
    <s v="MSRF"/>
    <x v="19"/>
    <n v="0"/>
    <m/>
    <m/>
    <m/>
    <x v="13"/>
  </r>
  <r>
    <n v="0"/>
    <n v="9"/>
    <s v="MSRF"/>
    <x v="19"/>
    <n v="0"/>
    <m/>
    <m/>
    <m/>
    <x v="13"/>
  </r>
  <r>
    <n v="0"/>
    <n v="10"/>
    <s v="MSRF"/>
    <x v="19"/>
    <n v="0"/>
    <m/>
    <m/>
    <m/>
    <x v="13"/>
  </r>
  <r>
    <n v="0"/>
    <n v="1"/>
    <s v="MSRS"/>
    <x v="0"/>
    <n v="0"/>
    <m/>
    <m/>
    <m/>
    <x v="14"/>
  </r>
  <r>
    <n v="0"/>
    <n v="2"/>
    <s v="MSRS"/>
    <x v="0"/>
    <n v="0"/>
    <m/>
    <m/>
    <m/>
    <x v="14"/>
  </r>
  <r>
    <n v="0"/>
    <n v="3"/>
    <s v="MSRS"/>
    <x v="0"/>
    <n v="0"/>
    <m/>
    <m/>
    <m/>
    <x v="14"/>
  </r>
  <r>
    <n v="0"/>
    <n v="4"/>
    <s v="MSRS"/>
    <x v="0"/>
    <n v="0"/>
    <m/>
    <m/>
    <m/>
    <x v="14"/>
  </r>
  <r>
    <n v="0"/>
    <n v="5"/>
    <s v="MSRS"/>
    <x v="0"/>
    <n v="0"/>
    <m/>
    <m/>
    <m/>
    <x v="14"/>
  </r>
  <r>
    <n v="0"/>
    <n v="6"/>
    <s v="MSRS"/>
    <x v="0"/>
    <n v="0"/>
    <m/>
    <m/>
    <m/>
    <x v="14"/>
  </r>
  <r>
    <n v="0"/>
    <n v="7"/>
    <s v="MSRS"/>
    <x v="0"/>
    <n v="0"/>
    <m/>
    <m/>
    <m/>
    <x v="14"/>
  </r>
  <r>
    <n v="0"/>
    <n v="8"/>
    <s v="MSRS"/>
    <x v="0"/>
    <n v="0"/>
    <m/>
    <m/>
    <m/>
    <x v="14"/>
  </r>
  <r>
    <n v="0"/>
    <n v="9"/>
    <s v="MSRS"/>
    <x v="0"/>
    <n v="0"/>
    <m/>
    <m/>
    <m/>
    <x v="14"/>
  </r>
  <r>
    <n v="0"/>
    <n v="10"/>
    <s v="MSRS"/>
    <x v="0"/>
    <n v="0"/>
    <m/>
    <m/>
    <m/>
    <x v="14"/>
  </r>
  <r>
    <n v="0"/>
    <n v="11"/>
    <s v="MSRS"/>
    <x v="0"/>
    <n v="0"/>
    <m/>
    <m/>
    <m/>
    <x v="14"/>
  </r>
  <r>
    <n v="0"/>
    <n v="12"/>
    <s v="MSRS"/>
    <x v="0"/>
    <n v="0"/>
    <m/>
    <m/>
    <m/>
    <x v="14"/>
  </r>
  <r>
    <n v="0"/>
    <n v="13"/>
    <s v="MSRS"/>
    <x v="0"/>
    <n v="0"/>
    <m/>
    <m/>
    <m/>
    <x v="14"/>
  </r>
  <r>
    <n v="0"/>
    <n v="14"/>
    <s v="MSRS"/>
    <x v="0"/>
    <n v="0"/>
    <m/>
    <m/>
    <m/>
    <x v="14"/>
  </r>
  <r>
    <n v="0"/>
    <n v="15"/>
    <s v="MSRS"/>
    <x v="0"/>
    <n v="0"/>
    <m/>
    <m/>
    <m/>
    <x v="14"/>
  </r>
  <r>
    <n v="0"/>
    <n v="16"/>
    <s v="MSRS"/>
    <x v="0"/>
    <n v="0"/>
    <m/>
    <m/>
    <m/>
    <x v="14"/>
  </r>
  <r>
    <n v="0"/>
    <n v="17"/>
    <s v="MSRS"/>
    <x v="0"/>
    <n v="0"/>
    <m/>
    <m/>
    <m/>
    <x v="14"/>
  </r>
  <r>
    <n v="0"/>
    <n v="18"/>
    <s v="MSRS"/>
    <x v="0"/>
    <n v="0"/>
    <m/>
    <m/>
    <m/>
    <x v="14"/>
  </r>
  <r>
    <n v="0"/>
    <n v="19"/>
    <s v="MSRS"/>
    <x v="0"/>
    <n v="0"/>
    <m/>
    <m/>
    <m/>
    <x v="14"/>
  </r>
  <r>
    <n v="0"/>
    <n v="20"/>
    <s v="MSRS"/>
    <x v="0"/>
    <n v="0"/>
    <m/>
    <m/>
    <m/>
    <x v="14"/>
  </r>
  <r>
    <n v="0"/>
    <n v="1"/>
    <s v="MSRS"/>
    <x v="1"/>
    <n v="0"/>
    <m/>
    <m/>
    <m/>
    <x v="14"/>
  </r>
  <r>
    <n v="0"/>
    <n v="2"/>
    <s v="MSRS"/>
    <x v="1"/>
    <n v="0"/>
    <m/>
    <m/>
    <m/>
    <x v="14"/>
  </r>
  <r>
    <n v="0"/>
    <n v="3"/>
    <s v="MSRS"/>
    <x v="1"/>
    <n v="0"/>
    <m/>
    <m/>
    <m/>
    <x v="14"/>
  </r>
  <r>
    <n v="0"/>
    <n v="4"/>
    <s v="MSRS"/>
    <x v="1"/>
    <n v="0"/>
    <m/>
    <m/>
    <m/>
    <x v="14"/>
  </r>
  <r>
    <n v="0"/>
    <n v="5"/>
    <s v="MSRS"/>
    <x v="1"/>
    <n v="0"/>
    <m/>
    <m/>
    <m/>
    <x v="14"/>
  </r>
  <r>
    <n v="0"/>
    <n v="6"/>
    <s v="MSRS"/>
    <x v="1"/>
    <n v="0"/>
    <m/>
    <m/>
    <m/>
    <x v="14"/>
  </r>
  <r>
    <n v="0"/>
    <n v="7"/>
    <s v="MSRS"/>
    <x v="1"/>
    <n v="0"/>
    <m/>
    <m/>
    <m/>
    <x v="14"/>
  </r>
  <r>
    <n v="0"/>
    <n v="8"/>
    <s v="MSRS"/>
    <x v="1"/>
    <n v="0"/>
    <m/>
    <m/>
    <m/>
    <x v="14"/>
  </r>
  <r>
    <n v="0"/>
    <n v="9"/>
    <s v="MSRS"/>
    <x v="1"/>
    <n v="0"/>
    <m/>
    <m/>
    <m/>
    <x v="14"/>
  </r>
  <r>
    <n v="0"/>
    <n v="10"/>
    <s v="MSRS"/>
    <x v="1"/>
    <n v="0"/>
    <m/>
    <m/>
    <m/>
    <x v="14"/>
  </r>
  <r>
    <n v="0"/>
    <n v="11"/>
    <s v="MSRS"/>
    <x v="1"/>
    <n v="0"/>
    <m/>
    <m/>
    <m/>
    <x v="14"/>
  </r>
  <r>
    <n v="0"/>
    <n v="12"/>
    <s v="MSRS"/>
    <x v="1"/>
    <n v="0"/>
    <m/>
    <m/>
    <m/>
    <x v="14"/>
  </r>
  <r>
    <n v="0"/>
    <n v="13"/>
    <s v="MSRS"/>
    <x v="1"/>
    <n v="0"/>
    <m/>
    <m/>
    <m/>
    <x v="14"/>
  </r>
  <r>
    <n v="0"/>
    <n v="14"/>
    <s v="MSRS"/>
    <x v="1"/>
    <n v="0"/>
    <m/>
    <m/>
    <m/>
    <x v="14"/>
  </r>
  <r>
    <n v="0"/>
    <n v="15"/>
    <s v="MSRS"/>
    <x v="1"/>
    <n v="0"/>
    <m/>
    <m/>
    <m/>
    <x v="14"/>
  </r>
  <r>
    <n v="0"/>
    <n v="16"/>
    <s v="MSRS"/>
    <x v="1"/>
    <n v="0"/>
    <m/>
    <m/>
    <m/>
    <x v="14"/>
  </r>
  <r>
    <n v="0"/>
    <n v="17"/>
    <s v="MSRS"/>
    <x v="1"/>
    <n v="0"/>
    <m/>
    <m/>
    <m/>
    <x v="14"/>
  </r>
  <r>
    <n v="0"/>
    <n v="18"/>
    <s v="MSRS"/>
    <x v="1"/>
    <n v="0"/>
    <m/>
    <m/>
    <m/>
    <x v="14"/>
  </r>
  <r>
    <n v="0"/>
    <n v="19"/>
    <s v="MSRS"/>
    <x v="1"/>
    <n v="0"/>
    <m/>
    <m/>
    <m/>
    <x v="14"/>
  </r>
  <r>
    <n v="0"/>
    <n v="20"/>
    <s v="MSRS"/>
    <x v="1"/>
    <n v="0"/>
    <m/>
    <m/>
    <m/>
    <x v="14"/>
  </r>
  <r>
    <n v="0"/>
    <n v="1"/>
    <s v="MSRS"/>
    <x v="2"/>
    <n v="0"/>
    <m/>
    <m/>
    <m/>
    <x v="14"/>
  </r>
  <r>
    <n v="0"/>
    <n v="2"/>
    <s v="MSRS"/>
    <x v="2"/>
    <n v="0"/>
    <m/>
    <m/>
    <m/>
    <x v="14"/>
  </r>
  <r>
    <n v="0"/>
    <n v="3"/>
    <s v="MSRS"/>
    <x v="2"/>
    <n v="0"/>
    <m/>
    <m/>
    <m/>
    <x v="14"/>
  </r>
  <r>
    <n v="0"/>
    <n v="4"/>
    <s v="MSRS"/>
    <x v="2"/>
    <n v="0"/>
    <m/>
    <m/>
    <m/>
    <x v="14"/>
  </r>
  <r>
    <n v="0"/>
    <n v="5"/>
    <s v="MSRS"/>
    <x v="2"/>
    <n v="0"/>
    <m/>
    <m/>
    <m/>
    <x v="14"/>
  </r>
  <r>
    <n v="0"/>
    <n v="6"/>
    <s v="MSRS"/>
    <x v="2"/>
    <n v="0"/>
    <m/>
    <m/>
    <m/>
    <x v="14"/>
  </r>
  <r>
    <n v="0"/>
    <n v="7"/>
    <s v="MSRS"/>
    <x v="2"/>
    <n v="0"/>
    <m/>
    <m/>
    <m/>
    <x v="14"/>
  </r>
  <r>
    <n v="0"/>
    <n v="8"/>
    <s v="MSRS"/>
    <x v="2"/>
    <n v="0"/>
    <m/>
    <m/>
    <m/>
    <x v="14"/>
  </r>
  <r>
    <n v="0"/>
    <n v="9"/>
    <s v="MSRS"/>
    <x v="2"/>
    <n v="0"/>
    <m/>
    <m/>
    <m/>
    <x v="14"/>
  </r>
  <r>
    <n v="0"/>
    <n v="10"/>
    <s v="MSRS"/>
    <x v="2"/>
    <n v="0"/>
    <m/>
    <m/>
    <m/>
    <x v="14"/>
  </r>
  <r>
    <n v="0"/>
    <n v="11"/>
    <s v="MSRS"/>
    <x v="2"/>
    <n v="0"/>
    <m/>
    <m/>
    <m/>
    <x v="14"/>
  </r>
  <r>
    <n v="0"/>
    <n v="12"/>
    <s v="MSRS"/>
    <x v="2"/>
    <n v="0"/>
    <m/>
    <m/>
    <m/>
    <x v="14"/>
  </r>
  <r>
    <n v="0"/>
    <n v="13"/>
    <s v="MSRS"/>
    <x v="2"/>
    <n v="0"/>
    <m/>
    <m/>
    <m/>
    <x v="14"/>
  </r>
  <r>
    <n v="0"/>
    <n v="14"/>
    <s v="MSRS"/>
    <x v="2"/>
    <n v="0"/>
    <m/>
    <m/>
    <m/>
    <x v="14"/>
  </r>
  <r>
    <n v="0"/>
    <n v="15"/>
    <s v="MSRS"/>
    <x v="2"/>
    <n v="0"/>
    <m/>
    <m/>
    <m/>
    <x v="14"/>
  </r>
  <r>
    <n v="0"/>
    <n v="16"/>
    <s v="MSRS"/>
    <x v="2"/>
    <n v="0"/>
    <m/>
    <m/>
    <m/>
    <x v="14"/>
  </r>
  <r>
    <n v="0"/>
    <n v="17"/>
    <s v="MSRS"/>
    <x v="2"/>
    <n v="0"/>
    <m/>
    <m/>
    <m/>
    <x v="14"/>
  </r>
  <r>
    <n v="0"/>
    <n v="18"/>
    <s v="MSRS"/>
    <x v="2"/>
    <n v="0"/>
    <m/>
    <m/>
    <m/>
    <x v="14"/>
  </r>
  <r>
    <n v="0"/>
    <n v="19"/>
    <s v="MSRS"/>
    <x v="2"/>
    <n v="0"/>
    <m/>
    <m/>
    <m/>
    <x v="14"/>
  </r>
  <r>
    <n v="0"/>
    <n v="20"/>
    <s v="MSRS"/>
    <x v="2"/>
    <n v="0"/>
    <m/>
    <m/>
    <m/>
    <x v="14"/>
  </r>
  <r>
    <n v="0"/>
    <n v="1"/>
    <s v="MSRS"/>
    <x v="3"/>
    <n v="0"/>
    <m/>
    <m/>
    <m/>
    <x v="14"/>
  </r>
  <r>
    <n v="0"/>
    <n v="2"/>
    <s v="MSRS"/>
    <x v="3"/>
    <n v="0"/>
    <m/>
    <m/>
    <m/>
    <x v="14"/>
  </r>
  <r>
    <n v="0"/>
    <n v="3"/>
    <s v="MSRS"/>
    <x v="3"/>
    <n v="0"/>
    <m/>
    <m/>
    <m/>
    <x v="14"/>
  </r>
  <r>
    <n v="0"/>
    <n v="4"/>
    <s v="MSRS"/>
    <x v="3"/>
    <n v="0"/>
    <m/>
    <m/>
    <m/>
    <x v="14"/>
  </r>
  <r>
    <n v="0"/>
    <n v="5"/>
    <s v="MSRS"/>
    <x v="3"/>
    <n v="0"/>
    <m/>
    <m/>
    <m/>
    <x v="14"/>
  </r>
  <r>
    <n v="0"/>
    <n v="6"/>
    <s v="MSRS"/>
    <x v="3"/>
    <n v="0"/>
    <m/>
    <m/>
    <m/>
    <x v="14"/>
  </r>
  <r>
    <n v="0"/>
    <n v="7"/>
    <s v="MSRS"/>
    <x v="3"/>
    <n v="0"/>
    <m/>
    <m/>
    <m/>
    <x v="14"/>
  </r>
  <r>
    <n v="0"/>
    <n v="8"/>
    <s v="MSRS"/>
    <x v="3"/>
    <n v="0"/>
    <m/>
    <m/>
    <m/>
    <x v="14"/>
  </r>
  <r>
    <n v="0"/>
    <n v="9"/>
    <s v="MSRS"/>
    <x v="3"/>
    <n v="0"/>
    <m/>
    <m/>
    <m/>
    <x v="14"/>
  </r>
  <r>
    <n v="0"/>
    <n v="10"/>
    <s v="MSRS"/>
    <x v="3"/>
    <n v="0"/>
    <m/>
    <m/>
    <m/>
    <x v="14"/>
  </r>
  <r>
    <n v="0"/>
    <n v="11"/>
    <s v="MSRS"/>
    <x v="3"/>
    <n v="0"/>
    <m/>
    <m/>
    <m/>
    <x v="14"/>
  </r>
  <r>
    <n v="0"/>
    <n v="12"/>
    <s v="MSRS"/>
    <x v="3"/>
    <n v="0"/>
    <m/>
    <m/>
    <m/>
    <x v="14"/>
  </r>
  <r>
    <n v="0"/>
    <n v="13"/>
    <s v="MSRS"/>
    <x v="3"/>
    <n v="0"/>
    <m/>
    <m/>
    <m/>
    <x v="14"/>
  </r>
  <r>
    <n v="0"/>
    <n v="14"/>
    <s v="MSRS"/>
    <x v="3"/>
    <n v="0"/>
    <m/>
    <m/>
    <m/>
    <x v="14"/>
  </r>
  <r>
    <n v="0"/>
    <n v="15"/>
    <s v="MSRS"/>
    <x v="3"/>
    <n v="0"/>
    <m/>
    <m/>
    <m/>
    <x v="14"/>
  </r>
  <r>
    <n v="0"/>
    <n v="16"/>
    <s v="MSRS"/>
    <x v="3"/>
    <n v="0"/>
    <m/>
    <m/>
    <m/>
    <x v="14"/>
  </r>
  <r>
    <n v="0"/>
    <n v="17"/>
    <s v="MSRS"/>
    <x v="3"/>
    <n v="0"/>
    <m/>
    <m/>
    <m/>
    <x v="14"/>
  </r>
  <r>
    <n v="0"/>
    <n v="18"/>
    <s v="MSRS"/>
    <x v="3"/>
    <n v="0"/>
    <m/>
    <m/>
    <m/>
    <x v="14"/>
  </r>
  <r>
    <n v="0"/>
    <n v="19"/>
    <s v="MSRS"/>
    <x v="3"/>
    <n v="0"/>
    <m/>
    <m/>
    <m/>
    <x v="14"/>
  </r>
  <r>
    <n v="0"/>
    <n v="20"/>
    <s v="MSRS"/>
    <x v="3"/>
    <n v="0"/>
    <m/>
    <m/>
    <m/>
    <x v="14"/>
  </r>
  <r>
    <n v="0"/>
    <n v="1"/>
    <s v="MSRS"/>
    <x v="15"/>
    <n v="0"/>
    <m/>
    <m/>
    <m/>
    <x v="14"/>
  </r>
  <r>
    <n v="0"/>
    <n v="2"/>
    <s v="MSRS"/>
    <x v="15"/>
    <n v="0"/>
    <m/>
    <m/>
    <m/>
    <x v="14"/>
  </r>
  <r>
    <n v="0"/>
    <n v="3"/>
    <s v="MSRS"/>
    <x v="15"/>
    <n v="0"/>
    <m/>
    <m/>
    <m/>
    <x v="14"/>
  </r>
  <r>
    <n v="0"/>
    <n v="4"/>
    <s v="MSRS"/>
    <x v="15"/>
    <n v="0"/>
    <m/>
    <m/>
    <m/>
    <x v="14"/>
  </r>
  <r>
    <n v="0"/>
    <n v="5"/>
    <s v="MSRS"/>
    <x v="15"/>
    <n v="0"/>
    <m/>
    <m/>
    <m/>
    <x v="14"/>
  </r>
  <r>
    <n v="0"/>
    <n v="6"/>
    <s v="MSRS"/>
    <x v="15"/>
    <n v="0"/>
    <m/>
    <m/>
    <m/>
    <x v="14"/>
  </r>
  <r>
    <n v="0"/>
    <n v="7"/>
    <s v="MSRS"/>
    <x v="15"/>
    <n v="0"/>
    <m/>
    <m/>
    <m/>
    <x v="14"/>
  </r>
  <r>
    <n v="0"/>
    <n v="8"/>
    <s v="MSRS"/>
    <x v="15"/>
    <n v="0"/>
    <m/>
    <m/>
    <m/>
    <x v="14"/>
  </r>
  <r>
    <n v="0"/>
    <n v="1"/>
    <s v="MSRS"/>
    <x v="16"/>
    <n v="0"/>
    <m/>
    <m/>
    <m/>
    <x v="14"/>
  </r>
  <r>
    <n v="0"/>
    <n v="2"/>
    <s v="MSRS"/>
    <x v="16"/>
    <n v="0"/>
    <m/>
    <m/>
    <m/>
    <x v="14"/>
  </r>
  <r>
    <n v="0"/>
    <n v="3"/>
    <s v="MSRS"/>
    <x v="16"/>
    <n v="0"/>
    <m/>
    <m/>
    <m/>
    <x v="14"/>
  </r>
  <r>
    <n v="0"/>
    <n v="4"/>
    <s v="MSRS"/>
    <x v="16"/>
    <n v="0"/>
    <m/>
    <m/>
    <m/>
    <x v="14"/>
  </r>
  <r>
    <n v="0"/>
    <n v="5"/>
    <s v="MSRS"/>
    <x v="16"/>
    <n v="0"/>
    <m/>
    <m/>
    <m/>
    <x v="14"/>
  </r>
  <r>
    <n v="0"/>
    <n v="6"/>
    <s v="MSRS"/>
    <x v="16"/>
    <n v="0"/>
    <m/>
    <m/>
    <m/>
    <x v="14"/>
  </r>
  <r>
    <n v="0"/>
    <n v="7"/>
    <s v="MSRS"/>
    <x v="16"/>
    <n v="0"/>
    <m/>
    <m/>
    <m/>
    <x v="14"/>
  </r>
  <r>
    <n v="0"/>
    <n v="8"/>
    <s v="MSRS"/>
    <x v="16"/>
    <n v="0"/>
    <m/>
    <m/>
    <m/>
    <x v="14"/>
  </r>
  <r>
    <n v="0"/>
    <n v="1"/>
    <s v="MSRS"/>
    <x v="17"/>
    <n v="0"/>
    <m/>
    <m/>
    <m/>
    <x v="14"/>
  </r>
  <r>
    <n v="0"/>
    <n v="2"/>
    <s v="MSRS"/>
    <x v="17"/>
    <n v="0"/>
    <m/>
    <m/>
    <m/>
    <x v="14"/>
  </r>
  <r>
    <n v="0"/>
    <n v="3"/>
    <s v="MSRS"/>
    <x v="17"/>
    <n v="0"/>
    <m/>
    <m/>
    <m/>
    <x v="14"/>
  </r>
  <r>
    <n v="0"/>
    <n v="4"/>
    <s v="MSRS"/>
    <x v="17"/>
    <n v="0"/>
    <m/>
    <m/>
    <m/>
    <x v="14"/>
  </r>
  <r>
    <n v="0"/>
    <n v="5"/>
    <s v="MSRS"/>
    <x v="17"/>
    <n v="0"/>
    <m/>
    <m/>
    <m/>
    <x v="14"/>
  </r>
  <r>
    <n v="0"/>
    <n v="1"/>
    <s v="MSRS"/>
    <x v="18"/>
    <n v="0"/>
    <m/>
    <m/>
    <m/>
    <x v="14"/>
  </r>
  <r>
    <n v="0"/>
    <n v="2"/>
    <s v="MSRS"/>
    <x v="18"/>
    <n v="0"/>
    <m/>
    <m/>
    <m/>
    <x v="14"/>
  </r>
  <r>
    <n v="0"/>
    <n v="3"/>
    <s v="MSRS"/>
    <x v="18"/>
    <n v="0"/>
    <m/>
    <m/>
    <m/>
    <x v="14"/>
  </r>
  <r>
    <n v="0"/>
    <n v="4"/>
    <s v="MSRS"/>
    <x v="18"/>
    <n v="0"/>
    <m/>
    <m/>
    <m/>
    <x v="14"/>
  </r>
  <r>
    <n v="0"/>
    <n v="5"/>
    <s v="MSRS"/>
    <x v="18"/>
    <n v="0"/>
    <m/>
    <m/>
    <m/>
    <x v="14"/>
  </r>
  <r>
    <n v="0"/>
    <n v="1"/>
    <s v="MSRS"/>
    <x v="19"/>
    <n v="0"/>
    <m/>
    <m/>
    <m/>
    <x v="14"/>
  </r>
  <r>
    <n v="0"/>
    <n v="2"/>
    <s v="MSRS"/>
    <x v="19"/>
    <n v="0"/>
    <m/>
    <m/>
    <m/>
    <x v="14"/>
  </r>
  <r>
    <n v="0"/>
    <n v="3"/>
    <s v="MSRS"/>
    <x v="19"/>
    <n v="0"/>
    <m/>
    <m/>
    <m/>
    <x v="14"/>
  </r>
  <r>
    <n v="0"/>
    <n v="4"/>
    <s v="MSRS"/>
    <x v="19"/>
    <n v="0"/>
    <m/>
    <m/>
    <m/>
    <x v="14"/>
  </r>
  <r>
    <n v="0"/>
    <n v="5"/>
    <s v="MSRS"/>
    <x v="19"/>
    <n v="0"/>
    <m/>
    <m/>
    <m/>
    <x v="14"/>
  </r>
  <r>
    <n v="0"/>
    <n v="6"/>
    <s v="MSRS"/>
    <x v="19"/>
    <n v="0"/>
    <m/>
    <m/>
    <m/>
    <x v="14"/>
  </r>
  <r>
    <n v="0"/>
    <n v="7"/>
    <s v="MSRS"/>
    <x v="19"/>
    <n v="0"/>
    <m/>
    <m/>
    <m/>
    <x v="14"/>
  </r>
  <r>
    <n v="0"/>
    <n v="8"/>
    <s v="MSRS"/>
    <x v="19"/>
    <n v="0"/>
    <m/>
    <m/>
    <m/>
    <x v="14"/>
  </r>
  <r>
    <n v="0"/>
    <n v="9"/>
    <s v="MSRS"/>
    <x v="19"/>
    <n v="0"/>
    <m/>
    <m/>
    <m/>
    <x v="14"/>
  </r>
  <r>
    <n v="0"/>
    <n v="10"/>
    <s v="MSRS"/>
    <x v="19"/>
    <n v="0"/>
    <m/>
    <m/>
    <m/>
    <x v="14"/>
  </r>
  <r>
    <n v="0"/>
    <n v="1"/>
    <s v="MTDU"/>
    <x v="0"/>
    <n v="0"/>
    <m/>
    <m/>
    <m/>
    <x v="15"/>
  </r>
  <r>
    <n v="0"/>
    <n v="2"/>
    <s v="MTDU"/>
    <x v="0"/>
    <n v="0"/>
    <m/>
    <m/>
    <m/>
    <x v="15"/>
  </r>
  <r>
    <n v="0"/>
    <n v="3"/>
    <s v="MTDU"/>
    <x v="0"/>
    <n v="0"/>
    <m/>
    <m/>
    <m/>
    <x v="15"/>
  </r>
  <r>
    <n v="0"/>
    <n v="4"/>
    <s v="MTDU"/>
    <x v="0"/>
    <n v="0"/>
    <m/>
    <m/>
    <m/>
    <x v="15"/>
  </r>
  <r>
    <n v="0"/>
    <n v="5"/>
    <s v="MTDU"/>
    <x v="0"/>
    <n v="0"/>
    <m/>
    <m/>
    <m/>
    <x v="15"/>
  </r>
  <r>
    <n v="0"/>
    <n v="6"/>
    <s v="MTDU"/>
    <x v="0"/>
    <n v="0"/>
    <m/>
    <m/>
    <m/>
    <x v="15"/>
  </r>
  <r>
    <n v="0"/>
    <n v="7"/>
    <s v="MTDU"/>
    <x v="0"/>
    <n v="0"/>
    <m/>
    <m/>
    <m/>
    <x v="15"/>
  </r>
  <r>
    <n v="0"/>
    <n v="8"/>
    <s v="MTDU"/>
    <x v="0"/>
    <n v="0"/>
    <m/>
    <m/>
    <m/>
    <x v="15"/>
  </r>
  <r>
    <n v="0"/>
    <n v="9"/>
    <s v="MTDU"/>
    <x v="0"/>
    <n v="0"/>
    <m/>
    <m/>
    <m/>
    <x v="15"/>
  </r>
  <r>
    <n v="0"/>
    <n v="10"/>
    <s v="MTDU"/>
    <x v="0"/>
    <n v="0"/>
    <m/>
    <m/>
    <m/>
    <x v="15"/>
  </r>
  <r>
    <n v="0"/>
    <n v="11"/>
    <s v="MTDU"/>
    <x v="0"/>
    <n v="0"/>
    <m/>
    <m/>
    <m/>
    <x v="15"/>
  </r>
  <r>
    <n v="0"/>
    <n v="12"/>
    <s v="MTDU"/>
    <x v="0"/>
    <n v="0"/>
    <m/>
    <m/>
    <m/>
    <x v="15"/>
  </r>
  <r>
    <n v="0"/>
    <n v="13"/>
    <s v="MTDU"/>
    <x v="0"/>
    <n v="0"/>
    <m/>
    <m/>
    <m/>
    <x v="15"/>
  </r>
  <r>
    <n v="0"/>
    <n v="14"/>
    <s v="MTDU"/>
    <x v="0"/>
    <n v="0"/>
    <m/>
    <m/>
    <m/>
    <x v="15"/>
  </r>
  <r>
    <n v="0"/>
    <n v="15"/>
    <s v="MTDU"/>
    <x v="0"/>
    <n v="0"/>
    <m/>
    <m/>
    <m/>
    <x v="15"/>
  </r>
  <r>
    <n v="0"/>
    <n v="16"/>
    <s v="MTDU"/>
    <x v="0"/>
    <n v="0"/>
    <m/>
    <m/>
    <m/>
    <x v="15"/>
  </r>
  <r>
    <n v="0"/>
    <n v="17"/>
    <s v="MTDU"/>
    <x v="0"/>
    <n v="0"/>
    <m/>
    <m/>
    <m/>
    <x v="15"/>
  </r>
  <r>
    <n v="0"/>
    <n v="18"/>
    <s v="MTDU"/>
    <x v="0"/>
    <n v="0"/>
    <m/>
    <m/>
    <m/>
    <x v="15"/>
  </r>
  <r>
    <n v="0"/>
    <n v="19"/>
    <s v="MTDU"/>
    <x v="0"/>
    <n v="0"/>
    <m/>
    <m/>
    <m/>
    <x v="15"/>
  </r>
  <r>
    <n v="0"/>
    <n v="20"/>
    <s v="MTDU"/>
    <x v="0"/>
    <n v="0"/>
    <m/>
    <m/>
    <m/>
    <x v="15"/>
  </r>
  <r>
    <n v="0"/>
    <n v="1"/>
    <s v="MTDU"/>
    <x v="1"/>
    <n v="0"/>
    <m/>
    <m/>
    <m/>
    <x v="15"/>
  </r>
  <r>
    <n v="0"/>
    <n v="2"/>
    <s v="MTDU"/>
    <x v="1"/>
    <n v="0"/>
    <m/>
    <m/>
    <m/>
    <x v="15"/>
  </r>
  <r>
    <n v="0"/>
    <n v="3"/>
    <s v="MTDU"/>
    <x v="1"/>
    <n v="0"/>
    <m/>
    <m/>
    <m/>
    <x v="15"/>
  </r>
  <r>
    <n v="0"/>
    <n v="4"/>
    <s v="MTDU"/>
    <x v="1"/>
    <n v="0"/>
    <m/>
    <m/>
    <m/>
    <x v="15"/>
  </r>
  <r>
    <n v="0"/>
    <n v="5"/>
    <s v="MTDU"/>
    <x v="1"/>
    <n v="0"/>
    <m/>
    <m/>
    <m/>
    <x v="15"/>
  </r>
  <r>
    <n v="0"/>
    <n v="6"/>
    <s v="MTDU"/>
    <x v="1"/>
    <n v="0"/>
    <m/>
    <m/>
    <m/>
    <x v="15"/>
  </r>
  <r>
    <n v="0"/>
    <n v="7"/>
    <s v="MTDU"/>
    <x v="1"/>
    <n v="0"/>
    <m/>
    <m/>
    <m/>
    <x v="15"/>
  </r>
  <r>
    <n v="0"/>
    <n v="8"/>
    <s v="MTDU"/>
    <x v="1"/>
    <n v="0"/>
    <m/>
    <m/>
    <m/>
    <x v="15"/>
  </r>
  <r>
    <n v="0"/>
    <n v="9"/>
    <s v="MTDU"/>
    <x v="1"/>
    <n v="0"/>
    <m/>
    <m/>
    <m/>
    <x v="15"/>
  </r>
  <r>
    <n v="0"/>
    <n v="10"/>
    <s v="MTDU"/>
    <x v="1"/>
    <n v="0"/>
    <m/>
    <m/>
    <m/>
    <x v="15"/>
  </r>
  <r>
    <n v="0"/>
    <n v="11"/>
    <s v="MTDU"/>
    <x v="1"/>
    <n v="0"/>
    <m/>
    <m/>
    <m/>
    <x v="15"/>
  </r>
  <r>
    <n v="0"/>
    <n v="12"/>
    <s v="MTDU"/>
    <x v="1"/>
    <n v="0"/>
    <m/>
    <m/>
    <m/>
    <x v="15"/>
  </r>
  <r>
    <n v="0"/>
    <n v="13"/>
    <s v="MTDU"/>
    <x v="1"/>
    <n v="0"/>
    <m/>
    <m/>
    <m/>
    <x v="15"/>
  </r>
  <r>
    <n v="0"/>
    <n v="14"/>
    <s v="MTDU"/>
    <x v="1"/>
    <n v="0"/>
    <m/>
    <m/>
    <m/>
    <x v="15"/>
  </r>
  <r>
    <n v="0"/>
    <n v="15"/>
    <s v="MTDU"/>
    <x v="1"/>
    <n v="0"/>
    <m/>
    <m/>
    <m/>
    <x v="15"/>
  </r>
  <r>
    <n v="0"/>
    <n v="16"/>
    <s v="MTDU"/>
    <x v="1"/>
    <n v="0"/>
    <m/>
    <m/>
    <m/>
    <x v="15"/>
  </r>
  <r>
    <n v="0"/>
    <n v="17"/>
    <s v="MTDU"/>
    <x v="1"/>
    <n v="0"/>
    <m/>
    <m/>
    <m/>
    <x v="15"/>
  </r>
  <r>
    <n v="0"/>
    <n v="18"/>
    <s v="MTDU"/>
    <x v="1"/>
    <n v="0"/>
    <m/>
    <m/>
    <m/>
    <x v="15"/>
  </r>
  <r>
    <n v="0"/>
    <n v="19"/>
    <s v="MTDU"/>
    <x v="1"/>
    <n v="0"/>
    <m/>
    <m/>
    <m/>
    <x v="15"/>
  </r>
  <r>
    <n v="0"/>
    <n v="20"/>
    <s v="MTDU"/>
    <x v="1"/>
    <n v="0"/>
    <m/>
    <m/>
    <m/>
    <x v="15"/>
  </r>
  <r>
    <n v="0"/>
    <n v="1"/>
    <s v="MTDU"/>
    <x v="2"/>
    <n v="0"/>
    <m/>
    <m/>
    <m/>
    <x v="15"/>
  </r>
  <r>
    <n v="0"/>
    <n v="2"/>
    <s v="MTDU"/>
    <x v="2"/>
    <n v="0"/>
    <m/>
    <m/>
    <m/>
    <x v="15"/>
  </r>
  <r>
    <n v="0"/>
    <n v="3"/>
    <s v="MTDU"/>
    <x v="2"/>
    <n v="0"/>
    <m/>
    <m/>
    <m/>
    <x v="15"/>
  </r>
  <r>
    <n v="0"/>
    <n v="4"/>
    <s v="MTDU"/>
    <x v="2"/>
    <n v="0"/>
    <m/>
    <m/>
    <m/>
    <x v="15"/>
  </r>
  <r>
    <n v="0"/>
    <n v="5"/>
    <s v="MTDU"/>
    <x v="2"/>
    <n v="0"/>
    <m/>
    <m/>
    <m/>
    <x v="15"/>
  </r>
  <r>
    <n v="0"/>
    <n v="6"/>
    <s v="MTDU"/>
    <x v="2"/>
    <n v="0"/>
    <m/>
    <m/>
    <m/>
    <x v="15"/>
  </r>
  <r>
    <n v="0"/>
    <n v="7"/>
    <s v="MTDU"/>
    <x v="2"/>
    <n v="0"/>
    <m/>
    <m/>
    <m/>
    <x v="15"/>
  </r>
  <r>
    <n v="0"/>
    <n v="8"/>
    <s v="MTDU"/>
    <x v="2"/>
    <n v="0"/>
    <m/>
    <m/>
    <m/>
    <x v="15"/>
  </r>
  <r>
    <n v="0"/>
    <n v="9"/>
    <s v="MTDU"/>
    <x v="2"/>
    <n v="0"/>
    <m/>
    <m/>
    <m/>
    <x v="15"/>
  </r>
  <r>
    <n v="0"/>
    <n v="10"/>
    <s v="MTDU"/>
    <x v="2"/>
    <n v="0"/>
    <m/>
    <m/>
    <m/>
    <x v="15"/>
  </r>
  <r>
    <n v="0"/>
    <n v="11"/>
    <s v="MTDU"/>
    <x v="2"/>
    <n v="0"/>
    <m/>
    <m/>
    <m/>
    <x v="15"/>
  </r>
  <r>
    <n v="0"/>
    <n v="12"/>
    <s v="MTDU"/>
    <x v="2"/>
    <n v="0"/>
    <m/>
    <m/>
    <m/>
    <x v="15"/>
  </r>
  <r>
    <n v="0"/>
    <n v="13"/>
    <s v="MTDU"/>
    <x v="2"/>
    <n v="0"/>
    <m/>
    <m/>
    <m/>
    <x v="15"/>
  </r>
  <r>
    <n v="0"/>
    <n v="14"/>
    <s v="MTDU"/>
    <x v="2"/>
    <n v="0"/>
    <m/>
    <m/>
    <m/>
    <x v="15"/>
  </r>
  <r>
    <n v="0"/>
    <n v="15"/>
    <s v="MTDU"/>
    <x v="2"/>
    <n v="0"/>
    <m/>
    <m/>
    <m/>
    <x v="15"/>
  </r>
  <r>
    <n v="0"/>
    <n v="16"/>
    <s v="MTDU"/>
    <x v="2"/>
    <n v="0"/>
    <m/>
    <m/>
    <m/>
    <x v="15"/>
  </r>
  <r>
    <n v="0"/>
    <n v="17"/>
    <s v="MTDU"/>
    <x v="2"/>
    <n v="0"/>
    <m/>
    <m/>
    <m/>
    <x v="15"/>
  </r>
  <r>
    <n v="0"/>
    <n v="18"/>
    <s v="MTDU"/>
    <x v="2"/>
    <n v="0"/>
    <m/>
    <m/>
    <m/>
    <x v="15"/>
  </r>
  <r>
    <n v="0"/>
    <n v="19"/>
    <s v="MTDU"/>
    <x v="2"/>
    <n v="0"/>
    <m/>
    <m/>
    <m/>
    <x v="15"/>
  </r>
  <r>
    <n v="0"/>
    <n v="20"/>
    <s v="MTDU"/>
    <x v="2"/>
    <n v="0"/>
    <m/>
    <m/>
    <m/>
    <x v="15"/>
  </r>
  <r>
    <n v="0"/>
    <n v="1"/>
    <s v="MTDU"/>
    <x v="3"/>
    <n v="0"/>
    <m/>
    <m/>
    <m/>
    <x v="15"/>
  </r>
  <r>
    <n v="0"/>
    <n v="2"/>
    <s v="MTDU"/>
    <x v="3"/>
    <n v="0"/>
    <m/>
    <m/>
    <m/>
    <x v="15"/>
  </r>
  <r>
    <n v="0"/>
    <n v="3"/>
    <s v="MTDU"/>
    <x v="3"/>
    <n v="0"/>
    <m/>
    <m/>
    <m/>
    <x v="15"/>
  </r>
  <r>
    <n v="0"/>
    <n v="4"/>
    <s v="MTDU"/>
    <x v="3"/>
    <n v="0"/>
    <m/>
    <m/>
    <m/>
    <x v="15"/>
  </r>
  <r>
    <n v="0"/>
    <n v="5"/>
    <s v="MTDU"/>
    <x v="3"/>
    <n v="0"/>
    <m/>
    <m/>
    <m/>
    <x v="15"/>
  </r>
  <r>
    <n v="0"/>
    <n v="6"/>
    <s v="MTDU"/>
    <x v="3"/>
    <n v="0"/>
    <m/>
    <m/>
    <m/>
    <x v="15"/>
  </r>
  <r>
    <n v="0"/>
    <n v="7"/>
    <s v="MTDU"/>
    <x v="3"/>
    <n v="0"/>
    <m/>
    <m/>
    <m/>
    <x v="15"/>
  </r>
  <r>
    <n v="0"/>
    <n v="8"/>
    <s v="MTDU"/>
    <x v="3"/>
    <n v="0"/>
    <m/>
    <m/>
    <m/>
    <x v="15"/>
  </r>
  <r>
    <n v="0"/>
    <n v="9"/>
    <s v="MTDU"/>
    <x v="3"/>
    <n v="0"/>
    <m/>
    <m/>
    <m/>
    <x v="15"/>
  </r>
  <r>
    <n v="0"/>
    <n v="10"/>
    <s v="MTDU"/>
    <x v="3"/>
    <n v="0"/>
    <m/>
    <m/>
    <m/>
    <x v="15"/>
  </r>
  <r>
    <n v="0"/>
    <n v="11"/>
    <s v="MTDU"/>
    <x v="3"/>
    <n v="0"/>
    <m/>
    <m/>
    <m/>
    <x v="15"/>
  </r>
  <r>
    <n v="0"/>
    <n v="12"/>
    <s v="MTDU"/>
    <x v="3"/>
    <n v="0"/>
    <m/>
    <m/>
    <m/>
    <x v="15"/>
  </r>
  <r>
    <n v="0"/>
    <n v="13"/>
    <s v="MTDU"/>
    <x v="3"/>
    <n v="0"/>
    <m/>
    <m/>
    <m/>
    <x v="15"/>
  </r>
  <r>
    <n v="0"/>
    <n v="14"/>
    <s v="MTDU"/>
    <x v="3"/>
    <n v="0"/>
    <m/>
    <m/>
    <m/>
    <x v="15"/>
  </r>
  <r>
    <n v="0"/>
    <n v="15"/>
    <s v="MTDU"/>
    <x v="3"/>
    <n v="0"/>
    <m/>
    <m/>
    <m/>
    <x v="15"/>
  </r>
  <r>
    <n v="0"/>
    <n v="16"/>
    <s v="MTDU"/>
    <x v="3"/>
    <n v="0"/>
    <m/>
    <m/>
    <m/>
    <x v="15"/>
  </r>
  <r>
    <n v="0"/>
    <n v="17"/>
    <s v="MTDU"/>
    <x v="3"/>
    <n v="0"/>
    <m/>
    <m/>
    <m/>
    <x v="15"/>
  </r>
  <r>
    <n v="0"/>
    <n v="18"/>
    <s v="MTDU"/>
    <x v="3"/>
    <n v="0"/>
    <m/>
    <m/>
    <m/>
    <x v="15"/>
  </r>
  <r>
    <n v="0"/>
    <n v="19"/>
    <s v="MTDU"/>
    <x v="3"/>
    <n v="0"/>
    <m/>
    <m/>
    <m/>
    <x v="15"/>
  </r>
  <r>
    <n v="0"/>
    <n v="20"/>
    <s v="MTDU"/>
    <x v="3"/>
    <n v="0"/>
    <m/>
    <m/>
    <m/>
    <x v="15"/>
  </r>
  <r>
    <n v="0"/>
    <n v="1"/>
    <s v="MTDU"/>
    <x v="15"/>
    <n v="0"/>
    <m/>
    <m/>
    <m/>
    <x v="15"/>
  </r>
  <r>
    <n v="0"/>
    <n v="2"/>
    <s v="MTDU"/>
    <x v="15"/>
    <n v="0"/>
    <m/>
    <m/>
    <m/>
    <x v="15"/>
  </r>
  <r>
    <n v="0"/>
    <n v="3"/>
    <s v="MTDU"/>
    <x v="15"/>
    <n v="0"/>
    <m/>
    <m/>
    <m/>
    <x v="15"/>
  </r>
  <r>
    <n v="0"/>
    <n v="4"/>
    <s v="MTDU"/>
    <x v="15"/>
    <n v="0"/>
    <m/>
    <m/>
    <m/>
    <x v="15"/>
  </r>
  <r>
    <n v="0"/>
    <n v="5"/>
    <s v="MTDU"/>
    <x v="15"/>
    <n v="0"/>
    <m/>
    <m/>
    <m/>
    <x v="15"/>
  </r>
  <r>
    <n v="0"/>
    <n v="6"/>
    <s v="MTDU"/>
    <x v="15"/>
    <n v="0"/>
    <m/>
    <m/>
    <m/>
    <x v="15"/>
  </r>
  <r>
    <n v="0"/>
    <n v="7"/>
    <s v="MTDU"/>
    <x v="15"/>
    <n v="0"/>
    <m/>
    <m/>
    <m/>
    <x v="15"/>
  </r>
  <r>
    <n v="0"/>
    <n v="8"/>
    <s v="MTDU"/>
    <x v="15"/>
    <n v="0"/>
    <m/>
    <m/>
    <m/>
    <x v="15"/>
  </r>
  <r>
    <n v="0"/>
    <n v="1"/>
    <s v="MTDU"/>
    <x v="16"/>
    <n v="0"/>
    <m/>
    <m/>
    <m/>
    <x v="15"/>
  </r>
  <r>
    <n v="0"/>
    <n v="2"/>
    <s v="MTDU"/>
    <x v="16"/>
    <n v="0"/>
    <m/>
    <m/>
    <m/>
    <x v="15"/>
  </r>
  <r>
    <n v="0"/>
    <n v="3"/>
    <s v="MTDU"/>
    <x v="16"/>
    <n v="0"/>
    <m/>
    <m/>
    <m/>
    <x v="15"/>
  </r>
  <r>
    <n v="0"/>
    <n v="4"/>
    <s v="MTDU"/>
    <x v="16"/>
    <n v="0"/>
    <m/>
    <m/>
    <m/>
    <x v="15"/>
  </r>
  <r>
    <n v="0"/>
    <n v="5"/>
    <s v="MTDU"/>
    <x v="16"/>
    <n v="0"/>
    <m/>
    <m/>
    <m/>
    <x v="15"/>
  </r>
  <r>
    <n v="0"/>
    <n v="6"/>
    <s v="MTDU"/>
    <x v="16"/>
    <n v="0"/>
    <m/>
    <m/>
    <m/>
    <x v="15"/>
  </r>
  <r>
    <n v="0"/>
    <n v="7"/>
    <s v="MTDU"/>
    <x v="16"/>
    <n v="0"/>
    <m/>
    <m/>
    <m/>
    <x v="15"/>
  </r>
  <r>
    <n v="0"/>
    <n v="8"/>
    <s v="MTDU"/>
    <x v="16"/>
    <n v="0"/>
    <m/>
    <m/>
    <m/>
    <x v="15"/>
  </r>
  <r>
    <n v="0"/>
    <n v="1"/>
    <s v="MTDU"/>
    <x v="17"/>
    <n v="0"/>
    <m/>
    <m/>
    <m/>
    <x v="15"/>
  </r>
  <r>
    <n v="0"/>
    <n v="2"/>
    <s v="MTDU"/>
    <x v="17"/>
    <n v="0"/>
    <m/>
    <m/>
    <m/>
    <x v="15"/>
  </r>
  <r>
    <n v="0"/>
    <n v="3"/>
    <s v="MTDU"/>
    <x v="17"/>
    <n v="0"/>
    <m/>
    <m/>
    <m/>
    <x v="15"/>
  </r>
  <r>
    <n v="0"/>
    <n v="4"/>
    <s v="MTDU"/>
    <x v="17"/>
    <n v="0"/>
    <m/>
    <m/>
    <m/>
    <x v="15"/>
  </r>
  <r>
    <n v="0"/>
    <n v="5"/>
    <s v="MTDU"/>
    <x v="17"/>
    <n v="0"/>
    <m/>
    <m/>
    <m/>
    <x v="15"/>
  </r>
  <r>
    <n v="0"/>
    <n v="1"/>
    <s v="MTDU"/>
    <x v="18"/>
    <n v="0"/>
    <m/>
    <m/>
    <m/>
    <x v="15"/>
  </r>
  <r>
    <n v="0"/>
    <n v="2"/>
    <s v="MTDU"/>
    <x v="18"/>
    <n v="0"/>
    <m/>
    <m/>
    <m/>
    <x v="15"/>
  </r>
  <r>
    <n v="0"/>
    <n v="3"/>
    <s v="MTDU"/>
    <x v="18"/>
    <n v="0"/>
    <m/>
    <m/>
    <m/>
    <x v="15"/>
  </r>
  <r>
    <n v="0"/>
    <n v="4"/>
    <s v="MTDU"/>
    <x v="18"/>
    <n v="0"/>
    <m/>
    <m/>
    <m/>
    <x v="15"/>
  </r>
  <r>
    <n v="0"/>
    <n v="5"/>
    <s v="MTDU"/>
    <x v="18"/>
    <n v="0"/>
    <m/>
    <m/>
    <m/>
    <x v="15"/>
  </r>
  <r>
    <n v="0"/>
    <n v="1"/>
    <s v="MTDU"/>
    <x v="19"/>
    <n v="0"/>
    <m/>
    <m/>
    <m/>
    <x v="15"/>
  </r>
  <r>
    <n v="0"/>
    <n v="2"/>
    <s v="MTDU"/>
    <x v="19"/>
    <n v="0"/>
    <m/>
    <m/>
    <m/>
    <x v="15"/>
  </r>
  <r>
    <n v="0"/>
    <n v="3"/>
    <s v="MTDU"/>
    <x v="19"/>
    <n v="0"/>
    <m/>
    <m/>
    <m/>
    <x v="15"/>
  </r>
  <r>
    <n v="0"/>
    <n v="4"/>
    <s v="MTDU"/>
    <x v="19"/>
    <n v="0"/>
    <m/>
    <m/>
    <m/>
    <x v="15"/>
  </r>
  <r>
    <n v="0"/>
    <n v="5"/>
    <s v="MTDU"/>
    <x v="19"/>
    <n v="0"/>
    <m/>
    <m/>
    <m/>
    <x v="15"/>
  </r>
  <r>
    <n v="0"/>
    <n v="6"/>
    <s v="MTDU"/>
    <x v="19"/>
    <n v="0"/>
    <m/>
    <m/>
    <m/>
    <x v="15"/>
  </r>
  <r>
    <n v="0"/>
    <n v="7"/>
    <s v="MTDU"/>
    <x v="19"/>
    <n v="0"/>
    <m/>
    <m/>
    <m/>
    <x v="15"/>
  </r>
  <r>
    <n v="0"/>
    <n v="8"/>
    <s v="MTDU"/>
    <x v="19"/>
    <n v="0"/>
    <m/>
    <m/>
    <m/>
    <x v="15"/>
  </r>
  <r>
    <n v="0"/>
    <n v="9"/>
    <s v="MTDU"/>
    <x v="19"/>
    <n v="0"/>
    <m/>
    <m/>
    <m/>
    <x v="15"/>
  </r>
  <r>
    <n v="0"/>
    <n v="10"/>
    <s v="MTDU"/>
    <x v="19"/>
    <n v="0"/>
    <m/>
    <m/>
    <m/>
    <x v="15"/>
  </r>
  <r>
    <n v="0"/>
    <n v="1"/>
    <s v="MTMS"/>
    <x v="0"/>
    <n v="0"/>
    <m/>
    <m/>
    <m/>
    <x v="16"/>
  </r>
  <r>
    <n v="0"/>
    <n v="2"/>
    <s v="MTMS"/>
    <x v="0"/>
    <n v="0"/>
    <m/>
    <m/>
    <m/>
    <x v="16"/>
  </r>
  <r>
    <n v="0"/>
    <n v="3"/>
    <s v="MTMS"/>
    <x v="0"/>
    <n v="0"/>
    <m/>
    <m/>
    <m/>
    <x v="16"/>
  </r>
  <r>
    <n v="0"/>
    <n v="4"/>
    <s v="MTMS"/>
    <x v="0"/>
    <n v="0"/>
    <m/>
    <m/>
    <m/>
    <x v="16"/>
  </r>
  <r>
    <n v="0"/>
    <n v="5"/>
    <s v="MTMS"/>
    <x v="0"/>
    <n v="0"/>
    <m/>
    <m/>
    <m/>
    <x v="16"/>
  </r>
  <r>
    <n v="0"/>
    <n v="6"/>
    <s v="MTMS"/>
    <x v="0"/>
    <n v="0"/>
    <m/>
    <m/>
    <m/>
    <x v="16"/>
  </r>
  <r>
    <n v="0"/>
    <n v="7"/>
    <s v="MTMS"/>
    <x v="0"/>
    <n v="0"/>
    <m/>
    <m/>
    <m/>
    <x v="16"/>
  </r>
  <r>
    <n v="0"/>
    <n v="8"/>
    <s v="MTMS"/>
    <x v="0"/>
    <n v="0"/>
    <m/>
    <m/>
    <m/>
    <x v="16"/>
  </r>
  <r>
    <n v="0"/>
    <n v="9"/>
    <s v="MTMS"/>
    <x v="0"/>
    <n v="0"/>
    <m/>
    <m/>
    <m/>
    <x v="16"/>
  </r>
  <r>
    <n v="0"/>
    <n v="10"/>
    <s v="MTMS"/>
    <x v="0"/>
    <n v="0"/>
    <m/>
    <m/>
    <m/>
    <x v="16"/>
  </r>
  <r>
    <n v="0"/>
    <n v="11"/>
    <s v="MTMS"/>
    <x v="0"/>
    <n v="0"/>
    <m/>
    <m/>
    <m/>
    <x v="16"/>
  </r>
  <r>
    <n v="0"/>
    <n v="12"/>
    <s v="MTMS"/>
    <x v="0"/>
    <n v="0"/>
    <m/>
    <m/>
    <m/>
    <x v="16"/>
  </r>
  <r>
    <n v="0"/>
    <n v="13"/>
    <s v="MTMS"/>
    <x v="0"/>
    <n v="0"/>
    <m/>
    <m/>
    <m/>
    <x v="16"/>
  </r>
  <r>
    <n v="0"/>
    <n v="14"/>
    <s v="MTMS"/>
    <x v="0"/>
    <n v="0"/>
    <m/>
    <m/>
    <m/>
    <x v="16"/>
  </r>
  <r>
    <n v="0"/>
    <n v="15"/>
    <s v="MTMS"/>
    <x v="0"/>
    <n v="0"/>
    <m/>
    <m/>
    <m/>
    <x v="16"/>
  </r>
  <r>
    <n v="0"/>
    <n v="16"/>
    <s v="MTMS"/>
    <x v="0"/>
    <n v="0"/>
    <m/>
    <m/>
    <m/>
    <x v="16"/>
  </r>
  <r>
    <n v="0"/>
    <n v="17"/>
    <s v="MTMS"/>
    <x v="0"/>
    <n v="0"/>
    <m/>
    <m/>
    <m/>
    <x v="16"/>
  </r>
  <r>
    <n v="0"/>
    <n v="18"/>
    <s v="MTMS"/>
    <x v="0"/>
    <n v="0"/>
    <m/>
    <m/>
    <m/>
    <x v="16"/>
  </r>
  <r>
    <n v="0"/>
    <n v="19"/>
    <s v="MTMS"/>
    <x v="0"/>
    <n v="0"/>
    <m/>
    <m/>
    <m/>
    <x v="16"/>
  </r>
  <r>
    <n v="0"/>
    <n v="20"/>
    <s v="MTMS"/>
    <x v="0"/>
    <n v="0"/>
    <m/>
    <m/>
    <m/>
    <x v="16"/>
  </r>
  <r>
    <n v="0"/>
    <n v="1"/>
    <s v="MTMS"/>
    <x v="1"/>
    <n v="0"/>
    <m/>
    <m/>
    <m/>
    <x v="16"/>
  </r>
  <r>
    <n v="0"/>
    <n v="2"/>
    <s v="MTMS"/>
    <x v="1"/>
    <n v="0"/>
    <m/>
    <m/>
    <m/>
    <x v="16"/>
  </r>
  <r>
    <n v="0"/>
    <n v="3"/>
    <s v="MTMS"/>
    <x v="1"/>
    <n v="0"/>
    <m/>
    <m/>
    <m/>
    <x v="16"/>
  </r>
  <r>
    <n v="0"/>
    <n v="4"/>
    <s v="MTMS"/>
    <x v="1"/>
    <n v="0"/>
    <m/>
    <m/>
    <m/>
    <x v="16"/>
  </r>
  <r>
    <n v="0"/>
    <n v="5"/>
    <s v="MTMS"/>
    <x v="1"/>
    <n v="0"/>
    <m/>
    <m/>
    <m/>
    <x v="16"/>
  </r>
  <r>
    <n v="0"/>
    <n v="6"/>
    <s v="MTMS"/>
    <x v="1"/>
    <n v="0"/>
    <m/>
    <m/>
    <m/>
    <x v="16"/>
  </r>
  <r>
    <n v="0"/>
    <n v="7"/>
    <s v="MTMS"/>
    <x v="1"/>
    <n v="0"/>
    <m/>
    <m/>
    <m/>
    <x v="16"/>
  </r>
  <r>
    <n v="0"/>
    <n v="8"/>
    <s v="MTMS"/>
    <x v="1"/>
    <n v="0"/>
    <m/>
    <m/>
    <m/>
    <x v="16"/>
  </r>
  <r>
    <n v="0"/>
    <n v="9"/>
    <s v="MTMS"/>
    <x v="1"/>
    <n v="0"/>
    <m/>
    <m/>
    <m/>
    <x v="16"/>
  </r>
  <r>
    <n v="0"/>
    <n v="10"/>
    <s v="MTMS"/>
    <x v="1"/>
    <n v="0"/>
    <m/>
    <m/>
    <m/>
    <x v="16"/>
  </r>
  <r>
    <n v="0"/>
    <n v="11"/>
    <s v="MTMS"/>
    <x v="1"/>
    <n v="0"/>
    <m/>
    <m/>
    <m/>
    <x v="16"/>
  </r>
  <r>
    <n v="0"/>
    <n v="12"/>
    <s v="MTMS"/>
    <x v="1"/>
    <n v="0"/>
    <m/>
    <m/>
    <m/>
    <x v="16"/>
  </r>
  <r>
    <n v="0"/>
    <n v="13"/>
    <s v="MTMS"/>
    <x v="1"/>
    <n v="0"/>
    <m/>
    <m/>
    <m/>
    <x v="16"/>
  </r>
  <r>
    <n v="0"/>
    <n v="14"/>
    <s v="MTMS"/>
    <x v="1"/>
    <n v="0"/>
    <m/>
    <m/>
    <m/>
    <x v="16"/>
  </r>
  <r>
    <n v="0"/>
    <n v="15"/>
    <s v="MTMS"/>
    <x v="1"/>
    <n v="0"/>
    <m/>
    <m/>
    <m/>
    <x v="16"/>
  </r>
  <r>
    <n v="0"/>
    <n v="16"/>
    <s v="MTMS"/>
    <x v="1"/>
    <n v="0"/>
    <m/>
    <m/>
    <m/>
    <x v="16"/>
  </r>
  <r>
    <n v="0"/>
    <n v="17"/>
    <s v="MTMS"/>
    <x v="1"/>
    <n v="0"/>
    <m/>
    <m/>
    <m/>
    <x v="16"/>
  </r>
  <r>
    <n v="0"/>
    <n v="18"/>
    <s v="MTMS"/>
    <x v="1"/>
    <n v="0"/>
    <m/>
    <m/>
    <m/>
    <x v="16"/>
  </r>
  <r>
    <n v="0"/>
    <n v="19"/>
    <s v="MTMS"/>
    <x v="1"/>
    <n v="0"/>
    <m/>
    <m/>
    <m/>
    <x v="16"/>
  </r>
  <r>
    <n v="0"/>
    <n v="20"/>
    <s v="MTMS"/>
    <x v="1"/>
    <n v="0"/>
    <m/>
    <m/>
    <m/>
    <x v="16"/>
  </r>
  <r>
    <n v="0"/>
    <n v="1"/>
    <s v="MTMS"/>
    <x v="2"/>
    <n v="0"/>
    <m/>
    <m/>
    <m/>
    <x v="16"/>
  </r>
  <r>
    <n v="0"/>
    <n v="2"/>
    <s v="MTMS"/>
    <x v="2"/>
    <n v="0"/>
    <m/>
    <m/>
    <m/>
    <x v="16"/>
  </r>
  <r>
    <n v="0"/>
    <n v="3"/>
    <s v="MTMS"/>
    <x v="2"/>
    <n v="0"/>
    <m/>
    <m/>
    <m/>
    <x v="16"/>
  </r>
  <r>
    <n v="0"/>
    <n v="4"/>
    <s v="MTMS"/>
    <x v="2"/>
    <n v="0"/>
    <m/>
    <m/>
    <m/>
    <x v="16"/>
  </r>
  <r>
    <n v="0"/>
    <n v="5"/>
    <s v="MTMS"/>
    <x v="2"/>
    <n v="0"/>
    <m/>
    <m/>
    <m/>
    <x v="16"/>
  </r>
  <r>
    <n v="0"/>
    <n v="6"/>
    <s v="MTMS"/>
    <x v="2"/>
    <n v="0"/>
    <m/>
    <m/>
    <m/>
    <x v="16"/>
  </r>
  <r>
    <n v="0"/>
    <n v="7"/>
    <s v="MTMS"/>
    <x v="2"/>
    <n v="0"/>
    <m/>
    <m/>
    <m/>
    <x v="16"/>
  </r>
  <r>
    <n v="0"/>
    <n v="8"/>
    <s v="MTMS"/>
    <x v="2"/>
    <n v="0"/>
    <m/>
    <m/>
    <m/>
    <x v="16"/>
  </r>
  <r>
    <n v="0"/>
    <n v="9"/>
    <s v="MTMS"/>
    <x v="2"/>
    <n v="0"/>
    <m/>
    <m/>
    <m/>
    <x v="16"/>
  </r>
  <r>
    <n v="0"/>
    <n v="10"/>
    <s v="MTMS"/>
    <x v="2"/>
    <n v="0"/>
    <m/>
    <m/>
    <m/>
    <x v="16"/>
  </r>
  <r>
    <n v="0"/>
    <n v="11"/>
    <s v="MTMS"/>
    <x v="2"/>
    <n v="0"/>
    <m/>
    <m/>
    <m/>
    <x v="16"/>
  </r>
  <r>
    <n v="0"/>
    <n v="12"/>
    <s v="MTMS"/>
    <x v="2"/>
    <n v="0"/>
    <m/>
    <m/>
    <m/>
    <x v="16"/>
  </r>
  <r>
    <n v="0"/>
    <n v="13"/>
    <s v="MTMS"/>
    <x v="2"/>
    <n v="0"/>
    <m/>
    <m/>
    <m/>
    <x v="16"/>
  </r>
  <r>
    <n v="0"/>
    <n v="14"/>
    <s v="MTMS"/>
    <x v="2"/>
    <n v="0"/>
    <m/>
    <m/>
    <m/>
    <x v="16"/>
  </r>
  <r>
    <n v="0"/>
    <n v="15"/>
    <s v="MTMS"/>
    <x v="2"/>
    <n v="0"/>
    <m/>
    <m/>
    <m/>
    <x v="16"/>
  </r>
  <r>
    <n v="0"/>
    <n v="16"/>
    <s v="MTMS"/>
    <x v="2"/>
    <n v="0"/>
    <m/>
    <m/>
    <m/>
    <x v="16"/>
  </r>
  <r>
    <n v="0"/>
    <n v="17"/>
    <s v="MTMS"/>
    <x v="2"/>
    <n v="0"/>
    <m/>
    <m/>
    <m/>
    <x v="16"/>
  </r>
  <r>
    <n v="0"/>
    <n v="18"/>
    <s v="MTMS"/>
    <x v="2"/>
    <n v="0"/>
    <m/>
    <m/>
    <m/>
    <x v="16"/>
  </r>
  <r>
    <n v="0"/>
    <n v="19"/>
    <s v="MTMS"/>
    <x v="2"/>
    <n v="0"/>
    <m/>
    <m/>
    <m/>
    <x v="16"/>
  </r>
  <r>
    <n v="0"/>
    <n v="20"/>
    <s v="MTMS"/>
    <x v="2"/>
    <n v="0"/>
    <m/>
    <m/>
    <m/>
    <x v="16"/>
  </r>
  <r>
    <n v="0"/>
    <n v="1"/>
    <s v="MTMS"/>
    <x v="3"/>
    <n v="0"/>
    <m/>
    <m/>
    <m/>
    <x v="16"/>
  </r>
  <r>
    <n v="0"/>
    <n v="2"/>
    <s v="MTMS"/>
    <x v="3"/>
    <n v="0"/>
    <m/>
    <m/>
    <m/>
    <x v="16"/>
  </r>
  <r>
    <n v="0"/>
    <n v="3"/>
    <s v="MTMS"/>
    <x v="3"/>
    <n v="0"/>
    <m/>
    <m/>
    <m/>
    <x v="16"/>
  </r>
  <r>
    <n v="0"/>
    <n v="4"/>
    <s v="MTMS"/>
    <x v="3"/>
    <n v="0"/>
    <m/>
    <m/>
    <m/>
    <x v="16"/>
  </r>
  <r>
    <n v="0"/>
    <n v="5"/>
    <s v="MTMS"/>
    <x v="3"/>
    <n v="0"/>
    <m/>
    <m/>
    <m/>
    <x v="16"/>
  </r>
  <r>
    <n v="0"/>
    <n v="6"/>
    <s v="MTMS"/>
    <x v="3"/>
    <n v="0"/>
    <m/>
    <m/>
    <m/>
    <x v="16"/>
  </r>
  <r>
    <n v="0"/>
    <n v="7"/>
    <s v="MTMS"/>
    <x v="3"/>
    <n v="0"/>
    <m/>
    <m/>
    <m/>
    <x v="16"/>
  </r>
  <r>
    <n v="0"/>
    <n v="8"/>
    <s v="MTMS"/>
    <x v="3"/>
    <n v="0"/>
    <m/>
    <m/>
    <m/>
    <x v="16"/>
  </r>
  <r>
    <n v="0"/>
    <n v="9"/>
    <s v="MTMS"/>
    <x v="3"/>
    <n v="0"/>
    <m/>
    <m/>
    <m/>
    <x v="16"/>
  </r>
  <r>
    <n v="0"/>
    <n v="10"/>
    <s v="MTMS"/>
    <x v="3"/>
    <n v="0"/>
    <m/>
    <m/>
    <m/>
    <x v="16"/>
  </r>
  <r>
    <n v="0"/>
    <n v="11"/>
    <s v="MTMS"/>
    <x v="3"/>
    <n v="0"/>
    <m/>
    <m/>
    <m/>
    <x v="16"/>
  </r>
  <r>
    <n v="0"/>
    <n v="12"/>
    <s v="MTMS"/>
    <x v="3"/>
    <n v="0"/>
    <m/>
    <m/>
    <m/>
    <x v="16"/>
  </r>
  <r>
    <n v="0"/>
    <n v="13"/>
    <s v="MTMS"/>
    <x v="3"/>
    <n v="0"/>
    <m/>
    <m/>
    <m/>
    <x v="16"/>
  </r>
  <r>
    <n v="0"/>
    <n v="14"/>
    <s v="MTMS"/>
    <x v="3"/>
    <n v="0"/>
    <m/>
    <m/>
    <m/>
    <x v="16"/>
  </r>
  <r>
    <n v="0"/>
    <n v="15"/>
    <s v="MTMS"/>
    <x v="3"/>
    <n v="0"/>
    <m/>
    <m/>
    <m/>
    <x v="16"/>
  </r>
  <r>
    <n v="0"/>
    <n v="16"/>
    <s v="MTMS"/>
    <x v="3"/>
    <n v="0"/>
    <m/>
    <m/>
    <m/>
    <x v="16"/>
  </r>
  <r>
    <n v="0"/>
    <n v="17"/>
    <s v="MTMS"/>
    <x v="3"/>
    <n v="0"/>
    <m/>
    <m/>
    <m/>
    <x v="16"/>
  </r>
  <r>
    <n v="0"/>
    <n v="18"/>
    <s v="MTMS"/>
    <x v="3"/>
    <n v="0"/>
    <m/>
    <m/>
    <m/>
    <x v="16"/>
  </r>
  <r>
    <n v="0"/>
    <n v="19"/>
    <s v="MTMS"/>
    <x v="3"/>
    <n v="0"/>
    <m/>
    <m/>
    <m/>
    <x v="16"/>
  </r>
  <r>
    <n v="0"/>
    <n v="20"/>
    <s v="MTMS"/>
    <x v="3"/>
    <n v="0"/>
    <m/>
    <m/>
    <m/>
    <x v="16"/>
  </r>
  <r>
    <n v="0"/>
    <n v="1"/>
    <s v="MTMS"/>
    <x v="15"/>
    <n v="0"/>
    <m/>
    <m/>
    <m/>
    <x v="16"/>
  </r>
  <r>
    <n v="0"/>
    <n v="2"/>
    <s v="MTMS"/>
    <x v="15"/>
    <n v="0"/>
    <m/>
    <m/>
    <m/>
    <x v="16"/>
  </r>
  <r>
    <n v="0"/>
    <n v="3"/>
    <s v="MTMS"/>
    <x v="15"/>
    <n v="0"/>
    <m/>
    <m/>
    <m/>
    <x v="16"/>
  </r>
  <r>
    <n v="0"/>
    <n v="4"/>
    <s v="MTMS"/>
    <x v="15"/>
    <n v="0"/>
    <m/>
    <m/>
    <m/>
    <x v="16"/>
  </r>
  <r>
    <n v="0"/>
    <n v="5"/>
    <s v="MTMS"/>
    <x v="15"/>
    <n v="0"/>
    <m/>
    <m/>
    <m/>
    <x v="16"/>
  </r>
  <r>
    <n v="0"/>
    <n v="6"/>
    <s v="MTMS"/>
    <x v="15"/>
    <n v="0"/>
    <m/>
    <m/>
    <m/>
    <x v="16"/>
  </r>
  <r>
    <n v="0"/>
    <n v="7"/>
    <s v="MTMS"/>
    <x v="15"/>
    <n v="0"/>
    <m/>
    <m/>
    <m/>
    <x v="16"/>
  </r>
  <r>
    <n v="0"/>
    <n v="8"/>
    <s v="MTMS"/>
    <x v="15"/>
    <n v="0"/>
    <m/>
    <m/>
    <m/>
    <x v="16"/>
  </r>
  <r>
    <n v="0"/>
    <n v="1"/>
    <s v="MTMS"/>
    <x v="16"/>
    <n v="0"/>
    <m/>
    <m/>
    <m/>
    <x v="16"/>
  </r>
  <r>
    <n v="0"/>
    <n v="2"/>
    <s v="MTMS"/>
    <x v="16"/>
    <n v="0"/>
    <m/>
    <m/>
    <m/>
    <x v="16"/>
  </r>
  <r>
    <n v="0"/>
    <n v="3"/>
    <s v="MTMS"/>
    <x v="16"/>
    <n v="0"/>
    <m/>
    <m/>
    <m/>
    <x v="16"/>
  </r>
  <r>
    <n v="0"/>
    <n v="4"/>
    <s v="MTMS"/>
    <x v="16"/>
    <n v="0"/>
    <m/>
    <m/>
    <m/>
    <x v="16"/>
  </r>
  <r>
    <n v="0"/>
    <n v="5"/>
    <s v="MTMS"/>
    <x v="16"/>
    <n v="0"/>
    <m/>
    <m/>
    <m/>
    <x v="16"/>
  </r>
  <r>
    <n v="0"/>
    <n v="6"/>
    <s v="MTMS"/>
    <x v="16"/>
    <n v="0"/>
    <m/>
    <m/>
    <m/>
    <x v="16"/>
  </r>
  <r>
    <n v="0"/>
    <n v="7"/>
    <s v="MTMS"/>
    <x v="16"/>
    <n v="0"/>
    <m/>
    <m/>
    <m/>
    <x v="16"/>
  </r>
  <r>
    <n v="0"/>
    <n v="8"/>
    <s v="MTMS"/>
    <x v="16"/>
    <n v="0"/>
    <m/>
    <m/>
    <m/>
    <x v="16"/>
  </r>
  <r>
    <n v="0"/>
    <n v="1"/>
    <s v="MTMS"/>
    <x v="17"/>
    <n v="0"/>
    <m/>
    <m/>
    <m/>
    <x v="16"/>
  </r>
  <r>
    <n v="0"/>
    <n v="2"/>
    <s v="MTMS"/>
    <x v="17"/>
    <n v="0"/>
    <m/>
    <m/>
    <m/>
    <x v="16"/>
  </r>
  <r>
    <n v="0"/>
    <n v="3"/>
    <s v="MTMS"/>
    <x v="17"/>
    <n v="0"/>
    <m/>
    <m/>
    <m/>
    <x v="16"/>
  </r>
  <r>
    <n v="0"/>
    <n v="4"/>
    <s v="MTMS"/>
    <x v="17"/>
    <n v="0"/>
    <m/>
    <m/>
    <m/>
    <x v="16"/>
  </r>
  <r>
    <n v="0"/>
    <n v="5"/>
    <s v="MTMS"/>
    <x v="17"/>
    <n v="0"/>
    <m/>
    <m/>
    <m/>
    <x v="16"/>
  </r>
  <r>
    <n v="0"/>
    <n v="1"/>
    <s v="MTMS"/>
    <x v="18"/>
    <n v="0"/>
    <m/>
    <m/>
    <m/>
    <x v="16"/>
  </r>
  <r>
    <n v="0"/>
    <n v="2"/>
    <s v="MTMS"/>
    <x v="18"/>
    <n v="0"/>
    <m/>
    <m/>
    <m/>
    <x v="16"/>
  </r>
  <r>
    <n v="0"/>
    <n v="3"/>
    <s v="MTMS"/>
    <x v="18"/>
    <n v="0"/>
    <m/>
    <m/>
    <m/>
    <x v="16"/>
  </r>
  <r>
    <n v="0"/>
    <n v="4"/>
    <s v="MTMS"/>
    <x v="18"/>
    <n v="0"/>
    <m/>
    <m/>
    <m/>
    <x v="16"/>
  </r>
  <r>
    <n v="0"/>
    <n v="5"/>
    <s v="MTMS"/>
    <x v="18"/>
    <n v="0"/>
    <m/>
    <m/>
    <m/>
    <x v="16"/>
  </r>
  <r>
    <n v="0"/>
    <n v="1"/>
    <s v="MTMS"/>
    <x v="19"/>
    <n v="0"/>
    <m/>
    <m/>
    <m/>
    <x v="16"/>
  </r>
  <r>
    <n v="0"/>
    <n v="2"/>
    <s v="MTMS"/>
    <x v="19"/>
    <n v="0"/>
    <m/>
    <m/>
    <m/>
    <x v="16"/>
  </r>
  <r>
    <n v="0"/>
    <n v="3"/>
    <s v="MTMS"/>
    <x v="19"/>
    <n v="0"/>
    <m/>
    <m/>
    <m/>
    <x v="16"/>
  </r>
  <r>
    <n v="0"/>
    <n v="4"/>
    <s v="MTMS"/>
    <x v="19"/>
    <n v="0"/>
    <m/>
    <m/>
    <m/>
    <x v="16"/>
  </r>
  <r>
    <n v="0"/>
    <n v="5"/>
    <s v="MTMS"/>
    <x v="19"/>
    <n v="0"/>
    <m/>
    <m/>
    <m/>
    <x v="16"/>
  </r>
  <r>
    <n v="0"/>
    <n v="6"/>
    <s v="MTMS"/>
    <x v="19"/>
    <n v="0"/>
    <m/>
    <m/>
    <m/>
    <x v="16"/>
  </r>
  <r>
    <n v="0"/>
    <n v="7"/>
    <s v="MTMS"/>
    <x v="19"/>
    <n v="0"/>
    <m/>
    <m/>
    <m/>
    <x v="16"/>
  </r>
  <r>
    <n v="0"/>
    <n v="8"/>
    <s v="MTMS"/>
    <x v="19"/>
    <n v="0"/>
    <m/>
    <m/>
    <m/>
    <x v="16"/>
  </r>
  <r>
    <n v="0"/>
    <n v="9"/>
    <s v="MTMS"/>
    <x v="19"/>
    <n v="0"/>
    <m/>
    <m/>
    <m/>
    <x v="16"/>
  </r>
  <r>
    <n v="0"/>
    <n v="10"/>
    <s v="MTMS"/>
    <x v="19"/>
    <n v="0"/>
    <m/>
    <m/>
    <m/>
    <x v="16"/>
  </r>
  <r>
    <n v="0"/>
    <n v="1"/>
    <s v="MTSS"/>
    <x v="0"/>
    <n v="0"/>
    <m/>
    <m/>
    <m/>
    <x v="17"/>
  </r>
  <r>
    <n v="0"/>
    <n v="2"/>
    <s v="MTSS"/>
    <x v="0"/>
    <n v="0"/>
    <m/>
    <m/>
    <m/>
    <x v="17"/>
  </r>
  <r>
    <n v="0"/>
    <n v="3"/>
    <s v="MTSS"/>
    <x v="0"/>
    <n v="0"/>
    <m/>
    <m/>
    <m/>
    <x v="17"/>
  </r>
  <r>
    <n v="0"/>
    <n v="4"/>
    <s v="MTSS"/>
    <x v="0"/>
    <n v="0"/>
    <m/>
    <m/>
    <m/>
    <x v="17"/>
  </r>
  <r>
    <n v="0"/>
    <n v="5"/>
    <s v="MTSS"/>
    <x v="0"/>
    <n v="0"/>
    <m/>
    <m/>
    <m/>
    <x v="17"/>
  </r>
  <r>
    <n v="0"/>
    <n v="6"/>
    <s v="MTSS"/>
    <x v="0"/>
    <n v="0"/>
    <m/>
    <m/>
    <m/>
    <x v="17"/>
  </r>
  <r>
    <n v="0"/>
    <n v="7"/>
    <s v="MTSS"/>
    <x v="0"/>
    <n v="0"/>
    <m/>
    <m/>
    <m/>
    <x v="17"/>
  </r>
  <r>
    <n v="0"/>
    <n v="8"/>
    <s v="MTSS"/>
    <x v="0"/>
    <n v="0"/>
    <m/>
    <m/>
    <m/>
    <x v="17"/>
  </r>
  <r>
    <n v="0"/>
    <n v="9"/>
    <s v="MTSS"/>
    <x v="0"/>
    <n v="0"/>
    <m/>
    <m/>
    <m/>
    <x v="17"/>
  </r>
  <r>
    <n v="0"/>
    <n v="10"/>
    <s v="MTSS"/>
    <x v="0"/>
    <n v="0"/>
    <m/>
    <m/>
    <m/>
    <x v="17"/>
  </r>
  <r>
    <n v="0"/>
    <n v="11"/>
    <s v="MTSS"/>
    <x v="0"/>
    <n v="0"/>
    <m/>
    <m/>
    <m/>
    <x v="17"/>
  </r>
  <r>
    <n v="0"/>
    <n v="12"/>
    <s v="MTSS"/>
    <x v="0"/>
    <n v="0"/>
    <m/>
    <m/>
    <m/>
    <x v="17"/>
  </r>
  <r>
    <n v="0"/>
    <n v="13"/>
    <s v="MTSS"/>
    <x v="0"/>
    <n v="0"/>
    <m/>
    <m/>
    <m/>
    <x v="17"/>
  </r>
  <r>
    <n v="0"/>
    <n v="14"/>
    <s v="MTSS"/>
    <x v="0"/>
    <n v="0"/>
    <m/>
    <m/>
    <m/>
    <x v="17"/>
  </r>
  <r>
    <n v="0"/>
    <n v="15"/>
    <s v="MTSS"/>
    <x v="0"/>
    <n v="0"/>
    <m/>
    <m/>
    <m/>
    <x v="17"/>
  </r>
  <r>
    <n v="0"/>
    <n v="16"/>
    <s v="MTSS"/>
    <x v="0"/>
    <n v="0"/>
    <m/>
    <m/>
    <m/>
    <x v="17"/>
  </r>
  <r>
    <n v="0"/>
    <n v="17"/>
    <s v="MTSS"/>
    <x v="0"/>
    <n v="0"/>
    <m/>
    <m/>
    <m/>
    <x v="17"/>
  </r>
  <r>
    <n v="0"/>
    <n v="18"/>
    <s v="MTSS"/>
    <x v="0"/>
    <n v="0"/>
    <m/>
    <m/>
    <m/>
    <x v="17"/>
  </r>
  <r>
    <n v="0"/>
    <n v="19"/>
    <s v="MTSS"/>
    <x v="0"/>
    <n v="0"/>
    <m/>
    <m/>
    <m/>
    <x v="17"/>
  </r>
  <r>
    <n v="0"/>
    <n v="20"/>
    <s v="MTSS"/>
    <x v="0"/>
    <n v="0"/>
    <m/>
    <m/>
    <m/>
    <x v="17"/>
  </r>
  <r>
    <n v="0"/>
    <n v="1"/>
    <s v="MTSS"/>
    <x v="1"/>
    <n v="0"/>
    <m/>
    <m/>
    <m/>
    <x v="17"/>
  </r>
  <r>
    <n v="0"/>
    <n v="2"/>
    <s v="MTSS"/>
    <x v="1"/>
    <n v="0"/>
    <m/>
    <m/>
    <m/>
    <x v="17"/>
  </r>
  <r>
    <n v="0"/>
    <n v="3"/>
    <s v="MTSS"/>
    <x v="1"/>
    <n v="0"/>
    <m/>
    <m/>
    <m/>
    <x v="17"/>
  </r>
  <r>
    <n v="0"/>
    <n v="4"/>
    <s v="MTSS"/>
    <x v="1"/>
    <n v="0"/>
    <m/>
    <m/>
    <m/>
    <x v="17"/>
  </r>
  <r>
    <n v="0"/>
    <n v="5"/>
    <s v="MTSS"/>
    <x v="1"/>
    <n v="0"/>
    <m/>
    <m/>
    <m/>
    <x v="17"/>
  </r>
  <r>
    <n v="0"/>
    <n v="6"/>
    <s v="MTSS"/>
    <x v="1"/>
    <n v="0"/>
    <m/>
    <m/>
    <m/>
    <x v="17"/>
  </r>
  <r>
    <n v="0"/>
    <n v="7"/>
    <s v="MTSS"/>
    <x v="1"/>
    <n v="0"/>
    <m/>
    <m/>
    <m/>
    <x v="17"/>
  </r>
  <r>
    <n v="0"/>
    <n v="8"/>
    <s v="MTSS"/>
    <x v="1"/>
    <n v="0"/>
    <m/>
    <m/>
    <m/>
    <x v="17"/>
  </r>
  <r>
    <n v="0"/>
    <n v="9"/>
    <s v="MTSS"/>
    <x v="1"/>
    <n v="0"/>
    <m/>
    <m/>
    <m/>
    <x v="17"/>
  </r>
  <r>
    <n v="0"/>
    <n v="10"/>
    <s v="MTSS"/>
    <x v="1"/>
    <n v="0"/>
    <m/>
    <m/>
    <m/>
    <x v="17"/>
  </r>
  <r>
    <n v="0"/>
    <n v="11"/>
    <s v="MTSS"/>
    <x v="1"/>
    <n v="0"/>
    <m/>
    <m/>
    <m/>
    <x v="17"/>
  </r>
  <r>
    <n v="0"/>
    <n v="12"/>
    <s v="MTSS"/>
    <x v="1"/>
    <n v="0"/>
    <m/>
    <m/>
    <m/>
    <x v="17"/>
  </r>
  <r>
    <n v="0"/>
    <n v="13"/>
    <s v="MTSS"/>
    <x v="1"/>
    <n v="0"/>
    <m/>
    <m/>
    <m/>
    <x v="17"/>
  </r>
  <r>
    <n v="0"/>
    <n v="14"/>
    <s v="MTSS"/>
    <x v="1"/>
    <n v="0"/>
    <m/>
    <m/>
    <m/>
    <x v="17"/>
  </r>
  <r>
    <n v="0"/>
    <n v="15"/>
    <s v="MTSS"/>
    <x v="1"/>
    <n v="0"/>
    <m/>
    <m/>
    <m/>
    <x v="17"/>
  </r>
  <r>
    <n v="0"/>
    <n v="16"/>
    <s v="MTSS"/>
    <x v="1"/>
    <n v="0"/>
    <m/>
    <m/>
    <m/>
    <x v="17"/>
  </r>
  <r>
    <n v="0"/>
    <n v="17"/>
    <s v="MTSS"/>
    <x v="1"/>
    <n v="0"/>
    <m/>
    <m/>
    <m/>
    <x v="17"/>
  </r>
  <r>
    <n v="0"/>
    <n v="18"/>
    <s v="MTSS"/>
    <x v="1"/>
    <n v="0"/>
    <m/>
    <m/>
    <m/>
    <x v="17"/>
  </r>
  <r>
    <n v="0"/>
    <n v="19"/>
    <s v="MTSS"/>
    <x v="1"/>
    <n v="0"/>
    <m/>
    <m/>
    <m/>
    <x v="17"/>
  </r>
  <r>
    <n v="0"/>
    <n v="20"/>
    <s v="MTSS"/>
    <x v="1"/>
    <n v="0"/>
    <m/>
    <m/>
    <m/>
    <x v="17"/>
  </r>
  <r>
    <n v="0"/>
    <n v="1"/>
    <s v="MTSS"/>
    <x v="2"/>
    <n v="0"/>
    <m/>
    <m/>
    <m/>
    <x v="17"/>
  </r>
  <r>
    <n v="0"/>
    <n v="2"/>
    <s v="MTSS"/>
    <x v="2"/>
    <n v="0"/>
    <m/>
    <m/>
    <m/>
    <x v="17"/>
  </r>
  <r>
    <n v="0"/>
    <n v="3"/>
    <s v="MTSS"/>
    <x v="2"/>
    <n v="0"/>
    <m/>
    <m/>
    <m/>
    <x v="17"/>
  </r>
  <r>
    <n v="0"/>
    <n v="4"/>
    <s v="MTSS"/>
    <x v="2"/>
    <n v="0"/>
    <m/>
    <m/>
    <m/>
    <x v="17"/>
  </r>
  <r>
    <n v="0"/>
    <n v="5"/>
    <s v="MTSS"/>
    <x v="2"/>
    <n v="0"/>
    <m/>
    <m/>
    <m/>
    <x v="17"/>
  </r>
  <r>
    <n v="0"/>
    <n v="6"/>
    <s v="MTSS"/>
    <x v="2"/>
    <n v="0"/>
    <m/>
    <m/>
    <m/>
    <x v="17"/>
  </r>
  <r>
    <n v="0"/>
    <n v="7"/>
    <s v="MTSS"/>
    <x v="2"/>
    <n v="0"/>
    <m/>
    <m/>
    <m/>
    <x v="17"/>
  </r>
  <r>
    <n v="0"/>
    <n v="8"/>
    <s v="MTSS"/>
    <x v="2"/>
    <n v="0"/>
    <m/>
    <m/>
    <m/>
    <x v="17"/>
  </r>
  <r>
    <n v="0"/>
    <n v="9"/>
    <s v="MTSS"/>
    <x v="2"/>
    <n v="0"/>
    <m/>
    <m/>
    <m/>
    <x v="17"/>
  </r>
  <r>
    <n v="0"/>
    <n v="10"/>
    <s v="MTSS"/>
    <x v="2"/>
    <n v="0"/>
    <m/>
    <m/>
    <m/>
    <x v="17"/>
  </r>
  <r>
    <n v="0"/>
    <n v="11"/>
    <s v="MTSS"/>
    <x v="2"/>
    <n v="0"/>
    <m/>
    <m/>
    <m/>
    <x v="17"/>
  </r>
  <r>
    <n v="0"/>
    <n v="12"/>
    <s v="MTSS"/>
    <x v="2"/>
    <n v="0"/>
    <m/>
    <m/>
    <m/>
    <x v="17"/>
  </r>
  <r>
    <n v="0"/>
    <n v="13"/>
    <s v="MTSS"/>
    <x v="2"/>
    <n v="0"/>
    <m/>
    <m/>
    <m/>
    <x v="17"/>
  </r>
  <r>
    <n v="0"/>
    <n v="14"/>
    <s v="MTSS"/>
    <x v="2"/>
    <n v="0"/>
    <m/>
    <m/>
    <m/>
    <x v="17"/>
  </r>
  <r>
    <n v="0"/>
    <n v="15"/>
    <s v="MTSS"/>
    <x v="2"/>
    <n v="0"/>
    <m/>
    <m/>
    <m/>
    <x v="17"/>
  </r>
  <r>
    <n v="0"/>
    <n v="16"/>
    <s v="MTSS"/>
    <x v="2"/>
    <n v="0"/>
    <m/>
    <m/>
    <m/>
    <x v="17"/>
  </r>
  <r>
    <n v="0"/>
    <n v="17"/>
    <s v="MTSS"/>
    <x v="2"/>
    <n v="0"/>
    <m/>
    <m/>
    <m/>
    <x v="17"/>
  </r>
  <r>
    <n v="0"/>
    <n v="18"/>
    <s v="MTSS"/>
    <x v="2"/>
    <n v="0"/>
    <m/>
    <m/>
    <m/>
    <x v="17"/>
  </r>
  <r>
    <n v="0"/>
    <n v="19"/>
    <s v="MTSS"/>
    <x v="2"/>
    <n v="0"/>
    <m/>
    <m/>
    <m/>
    <x v="17"/>
  </r>
  <r>
    <n v="0"/>
    <n v="20"/>
    <s v="MTSS"/>
    <x v="2"/>
    <n v="0"/>
    <m/>
    <m/>
    <m/>
    <x v="17"/>
  </r>
  <r>
    <n v="0"/>
    <n v="1"/>
    <s v="MTSS"/>
    <x v="3"/>
    <n v="0"/>
    <m/>
    <m/>
    <m/>
    <x v="17"/>
  </r>
  <r>
    <n v="0"/>
    <n v="2"/>
    <s v="MTSS"/>
    <x v="3"/>
    <n v="0"/>
    <m/>
    <m/>
    <m/>
    <x v="17"/>
  </r>
  <r>
    <n v="0"/>
    <n v="3"/>
    <s v="MTSS"/>
    <x v="3"/>
    <n v="0"/>
    <m/>
    <m/>
    <m/>
    <x v="17"/>
  </r>
  <r>
    <n v="0"/>
    <n v="4"/>
    <s v="MTSS"/>
    <x v="3"/>
    <n v="0"/>
    <m/>
    <m/>
    <m/>
    <x v="17"/>
  </r>
  <r>
    <n v="0"/>
    <n v="5"/>
    <s v="MTSS"/>
    <x v="3"/>
    <n v="0"/>
    <m/>
    <m/>
    <m/>
    <x v="17"/>
  </r>
  <r>
    <n v="0"/>
    <n v="6"/>
    <s v="MTSS"/>
    <x v="3"/>
    <n v="0"/>
    <m/>
    <m/>
    <m/>
    <x v="17"/>
  </r>
  <r>
    <n v="0"/>
    <n v="7"/>
    <s v="MTSS"/>
    <x v="3"/>
    <n v="0"/>
    <m/>
    <m/>
    <m/>
    <x v="17"/>
  </r>
  <r>
    <n v="0"/>
    <n v="8"/>
    <s v="MTSS"/>
    <x v="3"/>
    <n v="0"/>
    <m/>
    <m/>
    <m/>
    <x v="17"/>
  </r>
  <r>
    <n v="0"/>
    <n v="9"/>
    <s v="MTSS"/>
    <x v="3"/>
    <n v="0"/>
    <m/>
    <m/>
    <m/>
    <x v="17"/>
  </r>
  <r>
    <n v="0"/>
    <n v="10"/>
    <s v="MTSS"/>
    <x v="3"/>
    <n v="0"/>
    <m/>
    <m/>
    <m/>
    <x v="17"/>
  </r>
  <r>
    <n v="0"/>
    <n v="11"/>
    <s v="MTSS"/>
    <x v="3"/>
    <n v="0"/>
    <m/>
    <m/>
    <m/>
    <x v="17"/>
  </r>
  <r>
    <n v="0"/>
    <n v="12"/>
    <s v="MTSS"/>
    <x v="3"/>
    <n v="0"/>
    <m/>
    <m/>
    <m/>
    <x v="17"/>
  </r>
  <r>
    <n v="0"/>
    <n v="13"/>
    <s v="MTSS"/>
    <x v="3"/>
    <n v="0"/>
    <m/>
    <m/>
    <m/>
    <x v="17"/>
  </r>
  <r>
    <n v="0"/>
    <n v="14"/>
    <s v="MTSS"/>
    <x v="3"/>
    <n v="0"/>
    <m/>
    <m/>
    <m/>
    <x v="17"/>
  </r>
  <r>
    <n v="0"/>
    <n v="15"/>
    <s v="MTSS"/>
    <x v="3"/>
    <n v="0"/>
    <m/>
    <m/>
    <m/>
    <x v="17"/>
  </r>
  <r>
    <n v="0"/>
    <n v="16"/>
    <s v="MTSS"/>
    <x v="3"/>
    <n v="0"/>
    <m/>
    <m/>
    <m/>
    <x v="17"/>
  </r>
  <r>
    <n v="0"/>
    <n v="17"/>
    <s v="MTSS"/>
    <x v="3"/>
    <n v="0"/>
    <m/>
    <m/>
    <m/>
    <x v="17"/>
  </r>
  <r>
    <n v="0"/>
    <n v="18"/>
    <s v="MTSS"/>
    <x v="3"/>
    <n v="0"/>
    <m/>
    <m/>
    <m/>
    <x v="17"/>
  </r>
  <r>
    <n v="0"/>
    <n v="19"/>
    <s v="MTSS"/>
    <x v="3"/>
    <n v="0"/>
    <m/>
    <m/>
    <m/>
    <x v="17"/>
  </r>
  <r>
    <n v="0"/>
    <n v="20"/>
    <s v="MTSS"/>
    <x v="3"/>
    <n v="0"/>
    <m/>
    <m/>
    <m/>
    <x v="17"/>
  </r>
  <r>
    <n v="0"/>
    <n v="1"/>
    <s v="MTSS"/>
    <x v="15"/>
    <n v="0"/>
    <m/>
    <m/>
    <m/>
    <x v="17"/>
  </r>
  <r>
    <n v="0"/>
    <n v="2"/>
    <s v="MTSS"/>
    <x v="15"/>
    <n v="0"/>
    <m/>
    <m/>
    <m/>
    <x v="17"/>
  </r>
  <r>
    <n v="0"/>
    <n v="3"/>
    <s v="MTSS"/>
    <x v="15"/>
    <n v="0"/>
    <m/>
    <m/>
    <m/>
    <x v="17"/>
  </r>
  <r>
    <n v="0"/>
    <n v="4"/>
    <s v="MTSS"/>
    <x v="15"/>
    <n v="0"/>
    <m/>
    <m/>
    <m/>
    <x v="17"/>
  </r>
  <r>
    <n v="0"/>
    <n v="5"/>
    <s v="MTSS"/>
    <x v="15"/>
    <n v="0"/>
    <m/>
    <m/>
    <m/>
    <x v="17"/>
  </r>
  <r>
    <n v="0"/>
    <n v="6"/>
    <s v="MTSS"/>
    <x v="15"/>
    <n v="0"/>
    <m/>
    <m/>
    <m/>
    <x v="17"/>
  </r>
  <r>
    <n v="0"/>
    <n v="7"/>
    <s v="MTSS"/>
    <x v="15"/>
    <n v="0"/>
    <m/>
    <m/>
    <m/>
    <x v="17"/>
  </r>
  <r>
    <n v="0"/>
    <n v="8"/>
    <s v="MTSS"/>
    <x v="15"/>
    <n v="0"/>
    <m/>
    <m/>
    <m/>
    <x v="17"/>
  </r>
  <r>
    <n v="0"/>
    <n v="1"/>
    <s v="MTSS"/>
    <x v="16"/>
    <n v="0"/>
    <m/>
    <m/>
    <m/>
    <x v="17"/>
  </r>
  <r>
    <n v="0"/>
    <n v="2"/>
    <s v="MTSS"/>
    <x v="16"/>
    <n v="0"/>
    <m/>
    <m/>
    <m/>
    <x v="17"/>
  </r>
  <r>
    <n v="0"/>
    <n v="3"/>
    <s v="MTSS"/>
    <x v="16"/>
    <n v="0"/>
    <m/>
    <m/>
    <m/>
    <x v="17"/>
  </r>
  <r>
    <n v="0"/>
    <n v="4"/>
    <s v="MTSS"/>
    <x v="16"/>
    <n v="0"/>
    <m/>
    <m/>
    <m/>
    <x v="17"/>
  </r>
  <r>
    <n v="0"/>
    <n v="5"/>
    <s v="MTSS"/>
    <x v="16"/>
    <n v="0"/>
    <m/>
    <m/>
    <m/>
    <x v="17"/>
  </r>
  <r>
    <n v="0"/>
    <n v="6"/>
    <s v="MTSS"/>
    <x v="16"/>
    <n v="0"/>
    <m/>
    <m/>
    <m/>
    <x v="17"/>
  </r>
  <r>
    <n v="0"/>
    <n v="7"/>
    <s v="MTSS"/>
    <x v="16"/>
    <n v="0"/>
    <m/>
    <m/>
    <m/>
    <x v="17"/>
  </r>
  <r>
    <n v="0"/>
    <n v="8"/>
    <s v="MTSS"/>
    <x v="16"/>
    <n v="0"/>
    <m/>
    <m/>
    <m/>
    <x v="17"/>
  </r>
  <r>
    <n v="0"/>
    <n v="1"/>
    <s v="MTSS"/>
    <x v="17"/>
    <n v="0"/>
    <m/>
    <m/>
    <m/>
    <x v="17"/>
  </r>
  <r>
    <n v="0"/>
    <n v="2"/>
    <s v="MTSS"/>
    <x v="17"/>
    <n v="0"/>
    <m/>
    <m/>
    <m/>
    <x v="17"/>
  </r>
  <r>
    <n v="0"/>
    <n v="3"/>
    <s v="MTSS"/>
    <x v="17"/>
    <n v="0"/>
    <m/>
    <m/>
    <m/>
    <x v="17"/>
  </r>
  <r>
    <n v="0"/>
    <n v="4"/>
    <s v="MTSS"/>
    <x v="17"/>
    <n v="0"/>
    <m/>
    <m/>
    <m/>
    <x v="17"/>
  </r>
  <r>
    <n v="0"/>
    <n v="5"/>
    <s v="MTSS"/>
    <x v="17"/>
    <n v="0"/>
    <m/>
    <m/>
    <m/>
    <x v="17"/>
  </r>
  <r>
    <n v="0"/>
    <n v="1"/>
    <s v="MTSS"/>
    <x v="18"/>
    <n v="0"/>
    <m/>
    <m/>
    <m/>
    <x v="17"/>
  </r>
  <r>
    <n v="0"/>
    <n v="2"/>
    <s v="MTSS"/>
    <x v="18"/>
    <n v="0"/>
    <m/>
    <m/>
    <m/>
    <x v="17"/>
  </r>
  <r>
    <n v="0"/>
    <n v="3"/>
    <s v="MTSS"/>
    <x v="18"/>
    <n v="0"/>
    <m/>
    <m/>
    <m/>
    <x v="17"/>
  </r>
  <r>
    <n v="0"/>
    <n v="4"/>
    <s v="MTSS"/>
    <x v="18"/>
    <n v="0"/>
    <m/>
    <m/>
    <m/>
    <x v="17"/>
  </r>
  <r>
    <n v="0"/>
    <n v="5"/>
    <s v="MTSS"/>
    <x v="18"/>
    <n v="0"/>
    <m/>
    <m/>
    <m/>
    <x v="17"/>
  </r>
  <r>
    <n v="0"/>
    <n v="1"/>
    <s v="MTSS"/>
    <x v="19"/>
    <n v="0"/>
    <m/>
    <m/>
    <m/>
    <x v="17"/>
  </r>
  <r>
    <n v="0"/>
    <n v="2"/>
    <s v="MTSS"/>
    <x v="19"/>
    <n v="0"/>
    <m/>
    <m/>
    <m/>
    <x v="17"/>
  </r>
  <r>
    <n v="0"/>
    <n v="3"/>
    <s v="MTSS"/>
    <x v="19"/>
    <n v="0"/>
    <m/>
    <m/>
    <m/>
    <x v="17"/>
  </r>
  <r>
    <n v="0"/>
    <n v="4"/>
    <s v="MTSS"/>
    <x v="19"/>
    <n v="0"/>
    <m/>
    <m/>
    <m/>
    <x v="17"/>
  </r>
  <r>
    <n v="0"/>
    <n v="5"/>
    <s v="MTSS"/>
    <x v="19"/>
    <n v="0"/>
    <m/>
    <m/>
    <m/>
    <x v="17"/>
  </r>
  <r>
    <n v="0"/>
    <n v="6"/>
    <s v="MTSS"/>
    <x v="19"/>
    <n v="0"/>
    <m/>
    <m/>
    <m/>
    <x v="17"/>
  </r>
  <r>
    <n v="0"/>
    <n v="7"/>
    <s v="MTSS"/>
    <x v="19"/>
    <n v="0"/>
    <m/>
    <m/>
    <m/>
    <x v="17"/>
  </r>
  <r>
    <n v="0"/>
    <n v="8"/>
    <s v="MTSS"/>
    <x v="19"/>
    <n v="0"/>
    <m/>
    <m/>
    <m/>
    <x v="17"/>
  </r>
  <r>
    <n v="0"/>
    <n v="9"/>
    <s v="MTSS"/>
    <x v="19"/>
    <n v="0"/>
    <m/>
    <m/>
    <m/>
    <x v="17"/>
  </r>
  <r>
    <n v="0"/>
    <n v="10"/>
    <s v="MTSS"/>
    <x v="19"/>
    <n v="0"/>
    <m/>
    <m/>
    <m/>
    <x v="17"/>
  </r>
  <r>
    <n v="0"/>
    <n v="1"/>
    <s v="MTU"/>
    <x v="3"/>
    <n v="0"/>
    <m/>
    <m/>
    <m/>
    <x v="18"/>
  </r>
  <r>
    <n v="0"/>
    <n v="2"/>
    <s v="MTU"/>
    <x v="3"/>
    <n v="0"/>
    <m/>
    <m/>
    <m/>
    <x v="18"/>
  </r>
  <r>
    <n v="0"/>
    <n v="3"/>
    <s v="MTU"/>
    <x v="3"/>
    <n v="0"/>
    <m/>
    <m/>
    <m/>
    <x v="18"/>
  </r>
  <r>
    <n v="0"/>
    <n v="4"/>
    <s v="MTU"/>
    <x v="3"/>
    <n v="0"/>
    <m/>
    <m/>
    <m/>
    <x v="18"/>
  </r>
  <r>
    <n v="0"/>
    <n v="5"/>
    <s v="MTU"/>
    <x v="3"/>
    <n v="0"/>
    <m/>
    <m/>
    <m/>
    <x v="18"/>
  </r>
  <r>
    <n v="0"/>
    <n v="6"/>
    <s v="MTU"/>
    <x v="3"/>
    <n v="0"/>
    <m/>
    <m/>
    <m/>
    <x v="18"/>
  </r>
  <r>
    <n v="0"/>
    <n v="7"/>
    <s v="MTU"/>
    <x v="3"/>
    <n v="0"/>
    <m/>
    <m/>
    <m/>
    <x v="18"/>
  </r>
  <r>
    <n v="0"/>
    <n v="8"/>
    <s v="MTU"/>
    <x v="3"/>
    <n v="0"/>
    <m/>
    <m/>
    <m/>
    <x v="18"/>
  </r>
  <r>
    <n v="0"/>
    <n v="9"/>
    <s v="MTU"/>
    <x v="3"/>
    <n v="0"/>
    <m/>
    <m/>
    <m/>
    <x v="18"/>
  </r>
  <r>
    <n v="0"/>
    <n v="10"/>
    <s v="MTU"/>
    <x v="3"/>
    <n v="0"/>
    <m/>
    <m/>
    <m/>
    <x v="18"/>
  </r>
  <r>
    <n v="0"/>
    <n v="11"/>
    <s v="MTU"/>
    <x v="3"/>
    <n v="0"/>
    <m/>
    <m/>
    <m/>
    <x v="18"/>
  </r>
  <r>
    <n v="0"/>
    <n v="12"/>
    <s v="MTU"/>
    <x v="3"/>
    <n v="0"/>
    <m/>
    <m/>
    <m/>
    <x v="18"/>
  </r>
  <r>
    <n v="0"/>
    <n v="13"/>
    <s v="MTU"/>
    <x v="3"/>
    <n v="0"/>
    <m/>
    <m/>
    <m/>
    <x v="18"/>
  </r>
  <r>
    <n v="0"/>
    <n v="14"/>
    <s v="MTU"/>
    <x v="3"/>
    <n v="0"/>
    <m/>
    <m/>
    <m/>
    <x v="18"/>
  </r>
  <r>
    <n v="0"/>
    <n v="15"/>
    <s v="MTU"/>
    <x v="3"/>
    <n v="0"/>
    <m/>
    <m/>
    <m/>
    <x v="18"/>
  </r>
  <r>
    <n v="0"/>
    <n v="16"/>
    <s v="MTU"/>
    <x v="3"/>
    <n v="0"/>
    <m/>
    <m/>
    <m/>
    <x v="18"/>
  </r>
  <r>
    <n v="0"/>
    <n v="17"/>
    <s v="MTU"/>
    <x v="3"/>
    <n v="0"/>
    <m/>
    <m/>
    <m/>
    <x v="18"/>
  </r>
  <r>
    <n v="0"/>
    <n v="18"/>
    <s v="MTU"/>
    <x v="3"/>
    <n v="0"/>
    <m/>
    <m/>
    <m/>
    <x v="18"/>
  </r>
  <r>
    <n v="0"/>
    <n v="19"/>
    <s v="MTU"/>
    <x v="3"/>
    <n v="0"/>
    <m/>
    <m/>
    <m/>
    <x v="18"/>
  </r>
  <r>
    <n v="0"/>
    <n v="20"/>
    <s v="MTU"/>
    <x v="3"/>
    <n v="0"/>
    <m/>
    <m/>
    <m/>
    <x v="18"/>
  </r>
  <r>
    <n v="0"/>
    <n v="1"/>
    <s v="MTU"/>
    <x v="4"/>
    <n v="0"/>
    <m/>
    <m/>
    <m/>
    <x v="18"/>
  </r>
  <r>
    <n v="0"/>
    <n v="2"/>
    <s v="MTU"/>
    <x v="4"/>
    <n v="0"/>
    <m/>
    <m/>
    <m/>
    <x v="18"/>
  </r>
  <r>
    <n v="0"/>
    <n v="3"/>
    <s v="MTU"/>
    <x v="4"/>
    <n v="0"/>
    <m/>
    <m/>
    <m/>
    <x v="18"/>
  </r>
  <r>
    <n v="0"/>
    <n v="4"/>
    <s v="MTU"/>
    <x v="4"/>
    <n v="0"/>
    <m/>
    <m/>
    <m/>
    <x v="18"/>
  </r>
  <r>
    <n v="0"/>
    <n v="5"/>
    <s v="MTU"/>
    <x v="4"/>
    <n v="0"/>
    <m/>
    <m/>
    <m/>
    <x v="18"/>
  </r>
  <r>
    <n v="0"/>
    <n v="6"/>
    <s v="MTU"/>
    <x v="4"/>
    <n v="0"/>
    <m/>
    <m/>
    <m/>
    <x v="18"/>
  </r>
  <r>
    <n v="0"/>
    <n v="7"/>
    <s v="MTU"/>
    <x v="4"/>
    <n v="0"/>
    <m/>
    <m/>
    <m/>
    <x v="18"/>
  </r>
  <r>
    <n v="0"/>
    <n v="8"/>
    <s v="MTU"/>
    <x v="4"/>
    <n v="0"/>
    <m/>
    <m/>
    <m/>
    <x v="18"/>
  </r>
  <r>
    <n v="0"/>
    <n v="9"/>
    <s v="MTU"/>
    <x v="4"/>
    <n v="0"/>
    <m/>
    <m/>
    <m/>
    <x v="18"/>
  </r>
  <r>
    <n v="0"/>
    <n v="10"/>
    <s v="MTU"/>
    <x v="4"/>
    <n v="0"/>
    <m/>
    <m/>
    <m/>
    <x v="18"/>
  </r>
  <r>
    <n v="0"/>
    <n v="11"/>
    <s v="MTU"/>
    <x v="4"/>
    <n v="0"/>
    <m/>
    <m/>
    <m/>
    <x v="18"/>
  </r>
  <r>
    <n v="0"/>
    <n v="12"/>
    <s v="MTU"/>
    <x v="4"/>
    <n v="0"/>
    <m/>
    <m/>
    <m/>
    <x v="18"/>
  </r>
  <r>
    <n v="0"/>
    <n v="13"/>
    <s v="MTU"/>
    <x v="4"/>
    <n v="0"/>
    <m/>
    <m/>
    <m/>
    <x v="18"/>
  </r>
  <r>
    <n v="0"/>
    <n v="14"/>
    <s v="MTU"/>
    <x v="4"/>
    <n v="0"/>
    <m/>
    <m/>
    <m/>
    <x v="18"/>
  </r>
  <r>
    <n v="0"/>
    <n v="15"/>
    <s v="MTU"/>
    <x v="4"/>
    <n v="0"/>
    <m/>
    <m/>
    <m/>
    <x v="18"/>
  </r>
  <r>
    <n v="0"/>
    <n v="16"/>
    <s v="MTU"/>
    <x v="4"/>
    <n v="0"/>
    <m/>
    <m/>
    <m/>
    <x v="18"/>
  </r>
  <r>
    <n v="0"/>
    <n v="17"/>
    <s v="MTU"/>
    <x v="4"/>
    <n v="0"/>
    <m/>
    <m/>
    <m/>
    <x v="18"/>
  </r>
  <r>
    <n v="0"/>
    <n v="16"/>
    <s v="MTU"/>
    <x v="4"/>
    <n v="0"/>
    <m/>
    <m/>
    <m/>
    <x v="18"/>
  </r>
  <r>
    <n v="0"/>
    <n v="19"/>
    <s v="MTU"/>
    <x v="4"/>
    <n v="0"/>
    <m/>
    <m/>
    <m/>
    <x v="18"/>
  </r>
  <r>
    <n v="0"/>
    <n v="20"/>
    <s v="MTU"/>
    <x v="4"/>
    <n v="0"/>
    <m/>
    <m/>
    <m/>
    <x v="18"/>
  </r>
  <r>
    <n v="0"/>
    <n v="1"/>
    <s v="SRPF"/>
    <x v="0"/>
    <n v="0"/>
    <n v="0"/>
    <m/>
    <m/>
    <x v="19"/>
  </r>
  <r>
    <n v="0"/>
    <n v="2"/>
    <s v="SRPF"/>
    <x v="0"/>
    <n v="0"/>
    <n v="0"/>
    <m/>
    <m/>
    <x v="19"/>
  </r>
  <r>
    <n v="0"/>
    <n v="3"/>
    <s v="SRPF"/>
    <x v="0"/>
    <n v="0"/>
    <n v="0"/>
    <m/>
    <m/>
    <x v="19"/>
  </r>
  <r>
    <n v="0"/>
    <n v="4"/>
    <s v="SRPF"/>
    <x v="0"/>
    <n v="0"/>
    <n v="0"/>
    <m/>
    <m/>
    <x v="19"/>
  </r>
  <r>
    <n v="0"/>
    <n v="5"/>
    <s v="SRPF"/>
    <x v="0"/>
    <n v="0"/>
    <n v="0"/>
    <m/>
    <m/>
    <x v="19"/>
  </r>
  <r>
    <n v="0"/>
    <n v="6"/>
    <s v="SRPF"/>
    <x v="0"/>
    <n v="0"/>
    <n v="0"/>
    <m/>
    <m/>
    <x v="19"/>
  </r>
  <r>
    <n v="0"/>
    <n v="7"/>
    <s v="SRPF"/>
    <x v="0"/>
    <n v="0"/>
    <n v="0"/>
    <m/>
    <m/>
    <x v="19"/>
  </r>
  <r>
    <n v="0"/>
    <n v="8"/>
    <s v="SRPF"/>
    <x v="0"/>
    <n v="0"/>
    <n v="0"/>
    <m/>
    <m/>
    <x v="19"/>
  </r>
  <r>
    <n v="0"/>
    <n v="9"/>
    <s v="SRPF"/>
    <x v="0"/>
    <n v="0"/>
    <n v="0"/>
    <m/>
    <m/>
    <x v="19"/>
  </r>
  <r>
    <n v="0"/>
    <n v="10"/>
    <s v="SRPF"/>
    <x v="0"/>
    <n v="0"/>
    <n v="0"/>
    <m/>
    <m/>
    <x v="19"/>
  </r>
  <r>
    <n v="0"/>
    <n v="11"/>
    <s v="SRPF"/>
    <x v="0"/>
    <n v="0"/>
    <n v="0"/>
    <m/>
    <m/>
    <x v="19"/>
  </r>
  <r>
    <n v="0"/>
    <n v="12"/>
    <s v="SRPF"/>
    <x v="0"/>
    <n v="0"/>
    <n v="0"/>
    <m/>
    <m/>
    <x v="19"/>
  </r>
  <r>
    <n v="0"/>
    <n v="13"/>
    <s v="SRPF"/>
    <x v="0"/>
    <n v="0"/>
    <n v="0"/>
    <m/>
    <m/>
    <x v="19"/>
  </r>
  <r>
    <n v="0"/>
    <n v="14"/>
    <s v="SRPF"/>
    <x v="0"/>
    <n v="0"/>
    <n v="0"/>
    <m/>
    <m/>
    <x v="19"/>
  </r>
  <r>
    <n v="0"/>
    <n v="15"/>
    <s v="SRPF"/>
    <x v="0"/>
    <n v="0"/>
    <n v="0"/>
    <m/>
    <m/>
    <x v="19"/>
  </r>
  <r>
    <n v="0"/>
    <n v="16"/>
    <s v="SRPF"/>
    <x v="0"/>
    <n v="0"/>
    <n v="0"/>
    <m/>
    <m/>
    <x v="19"/>
  </r>
  <r>
    <n v="0"/>
    <n v="17"/>
    <s v="SRPF"/>
    <x v="0"/>
    <n v="0"/>
    <n v="0"/>
    <m/>
    <m/>
    <x v="19"/>
  </r>
  <r>
    <n v="0"/>
    <n v="18"/>
    <s v="SRPF"/>
    <x v="0"/>
    <n v="0"/>
    <n v="0"/>
    <m/>
    <m/>
    <x v="19"/>
  </r>
  <r>
    <n v="0"/>
    <n v="19"/>
    <s v="SRPF"/>
    <x v="0"/>
    <n v="0"/>
    <n v="0"/>
    <m/>
    <m/>
    <x v="19"/>
  </r>
  <r>
    <n v="0"/>
    <n v="20"/>
    <s v="SRPF"/>
    <x v="0"/>
    <n v="0"/>
    <n v="0"/>
    <m/>
    <m/>
    <x v="19"/>
  </r>
  <r>
    <n v="0"/>
    <n v="1"/>
    <s v="SRPF"/>
    <x v="1"/>
    <n v="0"/>
    <n v="0"/>
    <m/>
    <m/>
    <x v="19"/>
  </r>
  <r>
    <n v="0"/>
    <n v="2"/>
    <s v="SRPF"/>
    <x v="1"/>
    <n v="0"/>
    <n v="0"/>
    <m/>
    <m/>
    <x v="19"/>
  </r>
  <r>
    <n v="0"/>
    <n v="3"/>
    <s v="SRPF"/>
    <x v="1"/>
    <n v="0"/>
    <n v="0"/>
    <m/>
    <m/>
    <x v="19"/>
  </r>
  <r>
    <n v="0"/>
    <n v="4"/>
    <s v="SRPF"/>
    <x v="1"/>
    <n v="0"/>
    <n v="0"/>
    <m/>
    <m/>
    <x v="19"/>
  </r>
  <r>
    <n v="0"/>
    <n v="5"/>
    <s v="SRPF"/>
    <x v="1"/>
    <n v="0"/>
    <n v="0"/>
    <m/>
    <m/>
    <x v="19"/>
  </r>
  <r>
    <n v="0"/>
    <n v="6"/>
    <s v="SRPF"/>
    <x v="1"/>
    <n v="0"/>
    <n v="0"/>
    <m/>
    <m/>
    <x v="19"/>
  </r>
  <r>
    <n v="0"/>
    <n v="7"/>
    <s v="SRPF"/>
    <x v="1"/>
    <n v="0"/>
    <n v="0"/>
    <m/>
    <m/>
    <x v="19"/>
  </r>
  <r>
    <n v="0"/>
    <n v="8"/>
    <s v="SRPF"/>
    <x v="1"/>
    <n v="0"/>
    <n v="0"/>
    <m/>
    <m/>
    <x v="19"/>
  </r>
  <r>
    <n v="0"/>
    <n v="9"/>
    <s v="SRPF"/>
    <x v="1"/>
    <n v="0"/>
    <n v="0"/>
    <m/>
    <m/>
    <x v="19"/>
  </r>
  <r>
    <n v="0"/>
    <n v="10"/>
    <s v="SRPF"/>
    <x v="1"/>
    <n v="0"/>
    <n v="0"/>
    <m/>
    <m/>
    <x v="19"/>
  </r>
  <r>
    <n v="0"/>
    <n v="11"/>
    <s v="SRPF"/>
    <x v="1"/>
    <n v="0"/>
    <n v="0"/>
    <m/>
    <m/>
    <x v="19"/>
  </r>
  <r>
    <n v="0"/>
    <n v="12"/>
    <s v="SRPF"/>
    <x v="1"/>
    <n v="0"/>
    <n v="0"/>
    <m/>
    <m/>
    <x v="19"/>
  </r>
  <r>
    <n v="0"/>
    <n v="13"/>
    <s v="SRPF"/>
    <x v="1"/>
    <n v="0"/>
    <n v="0"/>
    <m/>
    <m/>
    <x v="19"/>
  </r>
  <r>
    <n v="0"/>
    <n v="14"/>
    <s v="SRPF"/>
    <x v="1"/>
    <n v="0"/>
    <n v="0"/>
    <m/>
    <m/>
    <x v="19"/>
  </r>
  <r>
    <n v="0"/>
    <n v="15"/>
    <s v="SRPF"/>
    <x v="1"/>
    <n v="0"/>
    <n v="0"/>
    <m/>
    <m/>
    <x v="19"/>
  </r>
  <r>
    <n v="0"/>
    <n v="16"/>
    <s v="SRPF"/>
    <x v="1"/>
    <n v="0"/>
    <n v="0"/>
    <m/>
    <m/>
    <x v="19"/>
  </r>
  <r>
    <n v="0"/>
    <n v="17"/>
    <s v="SRPF"/>
    <x v="1"/>
    <n v="0"/>
    <n v="0"/>
    <m/>
    <m/>
    <x v="19"/>
  </r>
  <r>
    <n v="0"/>
    <n v="18"/>
    <s v="SRPF"/>
    <x v="1"/>
    <n v="0"/>
    <n v="0"/>
    <m/>
    <m/>
    <x v="19"/>
  </r>
  <r>
    <n v="0"/>
    <n v="19"/>
    <s v="SRPF"/>
    <x v="1"/>
    <n v="0"/>
    <n v="0"/>
    <m/>
    <m/>
    <x v="19"/>
  </r>
  <r>
    <n v="0"/>
    <n v="20"/>
    <s v="SRPF"/>
    <x v="1"/>
    <n v="0"/>
    <n v="0"/>
    <m/>
    <m/>
    <x v="19"/>
  </r>
  <r>
    <n v="0"/>
    <n v="1"/>
    <s v="SRPF"/>
    <x v="2"/>
    <n v="0"/>
    <n v="0"/>
    <m/>
    <m/>
    <x v="19"/>
  </r>
  <r>
    <n v="0"/>
    <n v="2"/>
    <s v="SRPF"/>
    <x v="2"/>
    <n v="0"/>
    <n v="0"/>
    <m/>
    <m/>
    <x v="19"/>
  </r>
  <r>
    <n v="0"/>
    <n v="3"/>
    <s v="SRPF"/>
    <x v="2"/>
    <n v="0"/>
    <n v="0"/>
    <m/>
    <m/>
    <x v="19"/>
  </r>
  <r>
    <n v="0"/>
    <n v="4"/>
    <s v="SRPF"/>
    <x v="2"/>
    <n v="0"/>
    <n v="0"/>
    <m/>
    <m/>
    <x v="19"/>
  </r>
  <r>
    <n v="0"/>
    <n v="5"/>
    <s v="SRPF"/>
    <x v="2"/>
    <n v="0"/>
    <n v="0"/>
    <m/>
    <m/>
    <x v="19"/>
  </r>
  <r>
    <n v="0"/>
    <n v="6"/>
    <s v="SRPF"/>
    <x v="2"/>
    <n v="0"/>
    <n v="0"/>
    <m/>
    <m/>
    <x v="19"/>
  </r>
  <r>
    <n v="0"/>
    <n v="7"/>
    <s v="SRPF"/>
    <x v="2"/>
    <n v="0"/>
    <n v="0"/>
    <m/>
    <m/>
    <x v="19"/>
  </r>
  <r>
    <n v="0"/>
    <n v="8"/>
    <s v="SRPF"/>
    <x v="2"/>
    <n v="0"/>
    <n v="0"/>
    <m/>
    <m/>
    <x v="19"/>
  </r>
  <r>
    <n v="0"/>
    <n v="9"/>
    <s v="SRPF"/>
    <x v="2"/>
    <n v="0"/>
    <n v="0"/>
    <m/>
    <m/>
    <x v="19"/>
  </r>
  <r>
    <n v="0"/>
    <n v="10"/>
    <s v="SRPF"/>
    <x v="2"/>
    <n v="0"/>
    <n v="0"/>
    <m/>
    <m/>
    <x v="19"/>
  </r>
  <r>
    <n v="0"/>
    <n v="11"/>
    <s v="SRPF"/>
    <x v="2"/>
    <n v="0"/>
    <n v="0"/>
    <m/>
    <m/>
    <x v="19"/>
  </r>
  <r>
    <n v="0"/>
    <n v="12"/>
    <s v="SRPF"/>
    <x v="2"/>
    <n v="0"/>
    <n v="0"/>
    <m/>
    <m/>
    <x v="19"/>
  </r>
  <r>
    <n v="0"/>
    <n v="13"/>
    <s v="SRPF"/>
    <x v="2"/>
    <n v="0"/>
    <n v="0"/>
    <m/>
    <m/>
    <x v="19"/>
  </r>
  <r>
    <n v="0"/>
    <n v="14"/>
    <s v="SRPF"/>
    <x v="2"/>
    <n v="0"/>
    <n v="0"/>
    <m/>
    <m/>
    <x v="19"/>
  </r>
  <r>
    <n v="0"/>
    <n v="15"/>
    <s v="SRPF"/>
    <x v="2"/>
    <n v="0"/>
    <n v="0"/>
    <m/>
    <m/>
    <x v="19"/>
  </r>
  <r>
    <n v="0"/>
    <n v="16"/>
    <s v="SRPF"/>
    <x v="2"/>
    <n v="0"/>
    <n v="0"/>
    <m/>
    <m/>
    <x v="19"/>
  </r>
  <r>
    <n v="0"/>
    <n v="17"/>
    <s v="SRPF"/>
    <x v="2"/>
    <n v="0"/>
    <n v="0"/>
    <m/>
    <m/>
    <x v="19"/>
  </r>
  <r>
    <n v="0"/>
    <n v="18"/>
    <s v="SRPF"/>
    <x v="2"/>
    <n v="0"/>
    <n v="0"/>
    <m/>
    <m/>
    <x v="19"/>
  </r>
  <r>
    <n v="0"/>
    <n v="19"/>
    <s v="SRPF"/>
    <x v="2"/>
    <n v="0"/>
    <n v="0"/>
    <m/>
    <m/>
    <x v="19"/>
  </r>
  <r>
    <n v="0"/>
    <n v="20"/>
    <s v="SRPF"/>
    <x v="2"/>
    <n v="0"/>
    <n v="0"/>
    <m/>
    <m/>
    <x v="19"/>
  </r>
  <r>
    <n v="0"/>
    <n v="1"/>
    <s v="SRPF"/>
    <x v="3"/>
    <n v="0"/>
    <n v="0"/>
    <m/>
    <m/>
    <x v="19"/>
  </r>
  <r>
    <n v="0"/>
    <n v="2"/>
    <s v="SRPF"/>
    <x v="3"/>
    <n v="0"/>
    <n v="0"/>
    <m/>
    <m/>
    <x v="19"/>
  </r>
  <r>
    <n v="0"/>
    <n v="3"/>
    <s v="SRPF"/>
    <x v="3"/>
    <n v="0"/>
    <n v="0"/>
    <m/>
    <m/>
    <x v="19"/>
  </r>
  <r>
    <n v="0"/>
    <n v="4"/>
    <s v="SRPF"/>
    <x v="3"/>
    <n v="0"/>
    <n v="0"/>
    <m/>
    <m/>
    <x v="19"/>
  </r>
  <r>
    <n v="0"/>
    <n v="5"/>
    <s v="SRPF"/>
    <x v="3"/>
    <n v="0"/>
    <n v="0"/>
    <m/>
    <m/>
    <x v="19"/>
  </r>
  <r>
    <n v="0"/>
    <n v="6"/>
    <s v="SRPF"/>
    <x v="3"/>
    <n v="0"/>
    <n v="0"/>
    <m/>
    <m/>
    <x v="19"/>
  </r>
  <r>
    <n v="0"/>
    <n v="7"/>
    <s v="SRPF"/>
    <x v="3"/>
    <n v="0"/>
    <n v="0"/>
    <m/>
    <m/>
    <x v="19"/>
  </r>
  <r>
    <n v="0"/>
    <n v="8"/>
    <s v="SRPF"/>
    <x v="3"/>
    <n v="0"/>
    <n v="0"/>
    <m/>
    <m/>
    <x v="19"/>
  </r>
  <r>
    <n v="0"/>
    <n v="9"/>
    <s v="SRPF"/>
    <x v="3"/>
    <n v="0"/>
    <n v="0"/>
    <m/>
    <m/>
    <x v="19"/>
  </r>
  <r>
    <n v="0"/>
    <n v="10"/>
    <s v="SRPF"/>
    <x v="3"/>
    <n v="0"/>
    <n v="0"/>
    <m/>
    <m/>
    <x v="19"/>
  </r>
  <r>
    <n v="0"/>
    <n v="11"/>
    <s v="SRPF"/>
    <x v="3"/>
    <n v="0"/>
    <n v="0"/>
    <m/>
    <m/>
    <x v="19"/>
  </r>
  <r>
    <n v="0"/>
    <n v="12"/>
    <s v="SRPF"/>
    <x v="3"/>
    <n v="0"/>
    <n v="0"/>
    <m/>
    <m/>
    <x v="19"/>
  </r>
  <r>
    <n v="0"/>
    <n v="13"/>
    <s v="SRPF"/>
    <x v="3"/>
    <n v="0"/>
    <n v="0"/>
    <m/>
    <m/>
    <x v="19"/>
  </r>
  <r>
    <n v="0"/>
    <n v="14"/>
    <s v="SRPF"/>
    <x v="3"/>
    <n v="0"/>
    <n v="0"/>
    <m/>
    <m/>
    <x v="19"/>
  </r>
  <r>
    <n v="0"/>
    <n v="15"/>
    <s v="SRPF"/>
    <x v="3"/>
    <n v="0"/>
    <n v="0"/>
    <m/>
    <m/>
    <x v="19"/>
  </r>
  <r>
    <n v="0"/>
    <n v="16"/>
    <s v="SRPF"/>
    <x v="3"/>
    <n v="0"/>
    <n v="0"/>
    <m/>
    <m/>
    <x v="19"/>
  </r>
  <r>
    <n v="0"/>
    <n v="17"/>
    <s v="SRPF"/>
    <x v="3"/>
    <n v="0"/>
    <n v="0"/>
    <m/>
    <m/>
    <x v="19"/>
  </r>
  <r>
    <n v="0"/>
    <n v="18"/>
    <s v="SRPF"/>
    <x v="3"/>
    <n v="0"/>
    <n v="0"/>
    <m/>
    <m/>
    <x v="19"/>
  </r>
  <r>
    <n v="0"/>
    <n v="19"/>
    <s v="SRPF"/>
    <x v="3"/>
    <n v="0"/>
    <n v="0"/>
    <m/>
    <m/>
    <x v="19"/>
  </r>
  <r>
    <n v="0"/>
    <n v="20"/>
    <s v="SRPF"/>
    <x v="3"/>
    <n v="0"/>
    <n v="0"/>
    <m/>
    <m/>
    <x v="19"/>
  </r>
  <r>
    <n v="0"/>
    <n v="1"/>
    <s v="SRPF"/>
    <x v="4"/>
    <n v="0"/>
    <n v="0"/>
    <m/>
    <m/>
    <x v="19"/>
  </r>
  <r>
    <n v="0"/>
    <n v="2"/>
    <s v="SRPF"/>
    <x v="4"/>
    <n v="0"/>
    <n v="0"/>
    <m/>
    <m/>
    <x v="19"/>
  </r>
  <r>
    <n v="0"/>
    <n v="3"/>
    <s v="SRPF"/>
    <x v="4"/>
    <n v="0"/>
    <n v="0"/>
    <m/>
    <m/>
    <x v="19"/>
  </r>
  <r>
    <n v="0"/>
    <n v="4"/>
    <s v="SRPF"/>
    <x v="4"/>
    <n v="0"/>
    <n v="0"/>
    <m/>
    <m/>
    <x v="19"/>
  </r>
  <r>
    <n v="0"/>
    <n v="5"/>
    <s v="SRPF"/>
    <x v="4"/>
    <n v="0"/>
    <n v="0"/>
    <m/>
    <m/>
    <x v="19"/>
  </r>
  <r>
    <n v="0"/>
    <n v="6"/>
    <s v="SRPF"/>
    <x v="4"/>
    <n v="0"/>
    <n v="0"/>
    <m/>
    <m/>
    <x v="19"/>
  </r>
  <r>
    <n v="0"/>
    <n v="7"/>
    <s v="SRPF"/>
    <x v="4"/>
    <n v="0"/>
    <n v="0"/>
    <m/>
    <m/>
    <x v="19"/>
  </r>
  <r>
    <n v="0"/>
    <n v="8"/>
    <s v="SRPF"/>
    <x v="4"/>
    <n v="0"/>
    <n v="0"/>
    <m/>
    <m/>
    <x v="19"/>
  </r>
  <r>
    <n v="0"/>
    <n v="9"/>
    <s v="SRPF"/>
    <x v="4"/>
    <n v="0"/>
    <n v="0"/>
    <m/>
    <m/>
    <x v="19"/>
  </r>
  <r>
    <n v="0"/>
    <n v="10"/>
    <s v="SRPF"/>
    <x v="4"/>
    <n v="0"/>
    <n v="0"/>
    <m/>
    <m/>
    <x v="19"/>
  </r>
  <r>
    <n v="0"/>
    <n v="11"/>
    <s v="SRPF"/>
    <x v="4"/>
    <n v="0"/>
    <n v="0"/>
    <m/>
    <m/>
    <x v="19"/>
  </r>
  <r>
    <n v="0"/>
    <n v="12"/>
    <s v="SRPF"/>
    <x v="4"/>
    <n v="0"/>
    <n v="0"/>
    <m/>
    <m/>
    <x v="19"/>
  </r>
  <r>
    <n v="0"/>
    <n v="13"/>
    <s v="SRPF"/>
    <x v="4"/>
    <n v="0"/>
    <n v="0"/>
    <m/>
    <m/>
    <x v="19"/>
  </r>
  <r>
    <n v="0"/>
    <n v="14"/>
    <s v="SRPF"/>
    <x v="4"/>
    <n v="0"/>
    <n v="0"/>
    <m/>
    <m/>
    <x v="19"/>
  </r>
  <r>
    <n v="0"/>
    <n v="15"/>
    <s v="SRPF"/>
    <x v="4"/>
    <n v="0"/>
    <n v="0"/>
    <m/>
    <m/>
    <x v="19"/>
  </r>
  <r>
    <n v="0"/>
    <n v="16"/>
    <s v="SRPF"/>
    <x v="4"/>
    <n v="0"/>
    <n v="0"/>
    <m/>
    <m/>
    <x v="19"/>
  </r>
  <r>
    <n v="0"/>
    <n v="17"/>
    <s v="SRPF"/>
    <x v="4"/>
    <n v="0"/>
    <n v="0"/>
    <m/>
    <m/>
    <x v="19"/>
  </r>
  <r>
    <n v="0"/>
    <n v="18"/>
    <s v="SRPF"/>
    <x v="4"/>
    <n v="0"/>
    <n v="0"/>
    <m/>
    <m/>
    <x v="19"/>
  </r>
  <r>
    <n v="0"/>
    <n v="19"/>
    <s v="SRPF"/>
    <x v="4"/>
    <n v="0"/>
    <n v="0"/>
    <m/>
    <m/>
    <x v="19"/>
  </r>
  <r>
    <n v="0"/>
    <n v="20"/>
    <s v="SRPF"/>
    <x v="4"/>
    <n v="0"/>
    <n v="0"/>
    <m/>
    <m/>
    <x v="19"/>
  </r>
  <r>
    <n v="0"/>
    <n v="1"/>
    <s v="SRPF"/>
    <x v="5"/>
    <n v="0"/>
    <n v="0"/>
    <m/>
    <m/>
    <x v="19"/>
  </r>
  <r>
    <n v="0"/>
    <n v="2"/>
    <s v="SRPF"/>
    <x v="5"/>
    <n v="0"/>
    <n v="0"/>
    <m/>
    <m/>
    <x v="19"/>
  </r>
  <r>
    <n v="0"/>
    <n v="3"/>
    <s v="SRPF"/>
    <x v="5"/>
    <n v="0"/>
    <n v="0"/>
    <m/>
    <m/>
    <x v="19"/>
  </r>
  <r>
    <n v="0"/>
    <n v="1"/>
    <s v="SRSR"/>
    <x v="0"/>
    <n v="0"/>
    <n v="0"/>
    <n v="0"/>
    <n v="0"/>
    <x v="20"/>
  </r>
  <r>
    <n v="0"/>
    <n v="2"/>
    <s v="SRSR"/>
    <x v="0"/>
    <n v="0"/>
    <n v="0"/>
    <n v="0"/>
    <n v="0"/>
    <x v="20"/>
  </r>
  <r>
    <n v="0"/>
    <n v="3"/>
    <s v="SRSR"/>
    <x v="0"/>
    <n v="0"/>
    <n v="0"/>
    <n v="0"/>
    <n v="0"/>
    <x v="20"/>
  </r>
  <r>
    <n v="0"/>
    <n v="4"/>
    <s v="SRSR"/>
    <x v="0"/>
    <n v="0"/>
    <n v="0"/>
    <n v="0"/>
    <n v="0"/>
    <x v="20"/>
  </r>
  <r>
    <n v="0"/>
    <n v="5"/>
    <s v="SRSR"/>
    <x v="0"/>
    <n v="0"/>
    <n v="0"/>
    <n v="0"/>
    <n v="0"/>
    <x v="20"/>
  </r>
  <r>
    <n v="0"/>
    <n v="6"/>
    <s v="SRSR"/>
    <x v="0"/>
    <n v="0"/>
    <n v="0"/>
    <n v="0"/>
    <n v="0"/>
    <x v="20"/>
  </r>
  <r>
    <n v="0"/>
    <n v="7"/>
    <s v="SRSR"/>
    <x v="0"/>
    <n v="0"/>
    <n v="0"/>
    <n v="0"/>
    <n v="0"/>
    <x v="20"/>
  </r>
  <r>
    <n v="0"/>
    <n v="8"/>
    <s v="SRSR"/>
    <x v="0"/>
    <n v="0"/>
    <n v="0"/>
    <n v="0"/>
    <n v="0"/>
    <x v="20"/>
  </r>
  <r>
    <n v="0"/>
    <n v="9"/>
    <s v="SRSR"/>
    <x v="0"/>
    <n v="0"/>
    <n v="0"/>
    <n v="0"/>
    <n v="0"/>
    <x v="20"/>
  </r>
  <r>
    <n v="0"/>
    <n v="10"/>
    <s v="SRSR"/>
    <x v="0"/>
    <n v="0"/>
    <n v="0"/>
    <n v="0"/>
    <n v="0"/>
    <x v="20"/>
  </r>
  <r>
    <n v="0"/>
    <n v="11"/>
    <s v="SRSR"/>
    <x v="0"/>
    <n v="0"/>
    <n v="0"/>
    <n v="0"/>
    <n v="0"/>
    <x v="20"/>
  </r>
  <r>
    <n v="0"/>
    <n v="12"/>
    <s v="SRSR"/>
    <x v="0"/>
    <n v="0"/>
    <n v="0"/>
    <n v="0"/>
    <n v="0"/>
    <x v="20"/>
  </r>
  <r>
    <n v="0"/>
    <n v="1"/>
    <s v="SRSR"/>
    <x v="1"/>
    <n v="0"/>
    <n v="0"/>
    <n v="0"/>
    <n v="0"/>
    <x v="20"/>
  </r>
  <r>
    <n v="0"/>
    <n v="2"/>
    <s v="SRSR"/>
    <x v="1"/>
    <n v="0"/>
    <n v="0"/>
    <n v="0"/>
    <n v="0"/>
    <x v="20"/>
  </r>
  <r>
    <n v="0"/>
    <n v="3"/>
    <s v="SRSR"/>
    <x v="1"/>
    <n v="0"/>
    <n v="0"/>
    <n v="0"/>
    <n v="0"/>
    <x v="20"/>
  </r>
  <r>
    <n v="0"/>
    <n v="4"/>
    <s v="SRSR"/>
    <x v="1"/>
    <n v="0"/>
    <n v="0"/>
    <n v="0"/>
    <n v="0"/>
    <x v="20"/>
  </r>
  <r>
    <n v="0"/>
    <n v="5"/>
    <s v="SRSR"/>
    <x v="1"/>
    <n v="0"/>
    <n v="0"/>
    <n v="0"/>
    <n v="0"/>
    <x v="20"/>
  </r>
  <r>
    <n v="0"/>
    <n v="6"/>
    <s v="SRSR"/>
    <x v="1"/>
    <n v="0"/>
    <n v="0"/>
    <n v="0"/>
    <n v="0"/>
    <x v="20"/>
  </r>
  <r>
    <n v="0"/>
    <n v="7"/>
    <s v="SRSR"/>
    <x v="1"/>
    <n v="0"/>
    <n v="0"/>
    <n v="0"/>
    <n v="0"/>
    <x v="20"/>
  </r>
  <r>
    <n v="0"/>
    <n v="8"/>
    <s v="SRSR"/>
    <x v="1"/>
    <n v="0"/>
    <n v="0"/>
    <n v="0"/>
    <n v="0"/>
    <x v="20"/>
  </r>
  <r>
    <n v="0"/>
    <n v="9"/>
    <s v="SRSR"/>
    <x v="1"/>
    <n v="0"/>
    <n v="0"/>
    <n v="0"/>
    <n v="0"/>
    <x v="20"/>
  </r>
  <r>
    <n v="0"/>
    <n v="10"/>
    <s v="SRSR"/>
    <x v="1"/>
    <n v="0"/>
    <n v="0"/>
    <n v="0"/>
    <n v="0"/>
    <x v="20"/>
  </r>
  <r>
    <n v="0"/>
    <n v="11"/>
    <s v="SRSR"/>
    <x v="1"/>
    <n v="0"/>
    <n v="0"/>
    <n v="0"/>
    <n v="0"/>
    <x v="20"/>
  </r>
  <r>
    <n v="0"/>
    <n v="12"/>
    <s v="SRSR"/>
    <x v="1"/>
    <n v="0"/>
    <n v="0"/>
    <n v="0"/>
    <n v="0"/>
    <x v="20"/>
  </r>
  <r>
    <n v="0"/>
    <n v="1"/>
    <s v="SRSR"/>
    <x v="2"/>
    <n v="0"/>
    <n v="0"/>
    <n v="0"/>
    <n v="0"/>
    <x v="20"/>
  </r>
  <r>
    <n v="0"/>
    <n v="2"/>
    <s v="SRSR"/>
    <x v="2"/>
    <n v="0"/>
    <n v="0"/>
    <n v="0"/>
    <n v="0"/>
    <x v="20"/>
  </r>
  <r>
    <n v="0"/>
    <n v="3"/>
    <s v="SRSR"/>
    <x v="2"/>
    <n v="0"/>
    <n v="0"/>
    <n v="0"/>
    <n v="0"/>
    <x v="20"/>
  </r>
  <r>
    <n v="0"/>
    <n v="4"/>
    <s v="SRSR"/>
    <x v="2"/>
    <n v="0"/>
    <n v="0"/>
    <n v="0"/>
    <n v="0"/>
    <x v="20"/>
  </r>
  <r>
    <n v="0"/>
    <n v="5"/>
    <s v="SRSR"/>
    <x v="2"/>
    <n v="0"/>
    <n v="0"/>
    <n v="0"/>
    <n v="0"/>
    <x v="20"/>
  </r>
  <r>
    <n v="0"/>
    <n v="6"/>
    <s v="SRSR"/>
    <x v="2"/>
    <n v="0"/>
    <n v="0"/>
    <n v="0"/>
    <n v="0"/>
    <x v="20"/>
  </r>
  <r>
    <n v="0"/>
    <n v="7"/>
    <s v="SRSR"/>
    <x v="2"/>
    <n v="0"/>
    <n v="0"/>
    <n v="0"/>
    <n v="0"/>
    <x v="20"/>
  </r>
  <r>
    <n v="0"/>
    <n v="8"/>
    <s v="SRSR"/>
    <x v="2"/>
    <n v="0"/>
    <n v="0"/>
    <n v="0"/>
    <n v="0"/>
    <x v="20"/>
  </r>
  <r>
    <n v="0"/>
    <n v="9"/>
    <s v="SRSR"/>
    <x v="2"/>
    <n v="0"/>
    <n v="0"/>
    <n v="0"/>
    <n v="0"/>
    <x v="20"/>
  </r>
  <r>
    <n v="0"/>
    <n v="10"/>
    <s v="SRSR"/>
    <x v="2"/>
    <n v="0"/>
    <n v="0"/>
    <n v="0"/>
    <n v="0"/>
    <x v="20"/>
  </r>
  <r>
    <n v="0"/>
    <n v="1"/>
    <s v="SRSR"/>
    <x v="3"/>
    <n v="0"/>
    <n v="0"/>
    <n v="0"/>
    <n v="0"/>
    <x v="20"/>
  </r>
  <r>
    <n v="0"/>
    <n v="2"/>
    <s v="SRSR"/>
    <x v="3"/>
    <n v="0"/>
    <n v="0"/>
    <n v="0"/>
    <n v="0"/>
    <x v="20"/>
  </r>
  <r>
    <n v="0"/>
    <n v="3"/>
    <s v="SRSR"/>
    <x v="3"/>
    <n v="0"/>
    <n v="0"/>
    <n v="0"/>
    <n v="0"/>
    <x v="20"/>
  </r>
  <r>
    <n v="0"/>
    <n v="4"/>
    <s v="SRSR"/>
    <x v="3"/>
    <n v="0"/>
    <n v="0"/>
    <n v="0"/>
    <n v="0"/>
    <x v="20"/>
  </r>
  <r>
    <n v="0"/>
    <n v="5"/>
    <s v="SRSR"/>
    <x v="3"/>
    <n v="0"/>
    <n v="0"/>
    <n v="0"/>
    <n v="0"/>
    <x v="20"/>
  </r>
  <r>
    <n v="0"/>
    <n v="6"/>
    <s v="SRSR"/>
    <x v="3"/>
    <n v="0"/>
    <n v="0"/>
    <n v="0"/>
    <n v="0"/>
    <x v="20"/>
  </r>
  <r>
    <n v="0"/>
    <n v="7"/>
    <s v="SRSR"/>
    <x v="3"/>
    <n v="0"/>
    <n v="0"/>
    <n v="0"/>
    <n v="0"/>
    <x v="20"/>
  </r>
  <r>
    <n v="0"/>
    <n v="8"/>
    <s v="SRSR"/>
    <x v="3"/>
    <n v="0"/>
    <n v="0"/>
    <n v="0"/>
    <n v="0"/>
    <x v="20"/>
  </r>
  <r>
    <n v="0"/>
    <n v="1"/>
    <s v="SRSR"/>
    <x v="4"/>
    <n v="0"/>
    <n v="0"/>
    <n v="0"/>
    <n v="0"/>
    <x v="20"/>
  </r>
  <r>
    <n v="0"/>
    <n v="2"/>
    <s v="SRSR"/>
    <x v="4"/>
    <n v="0"/>
    <n v="0"/>
    <n v="0"/>
    <n v="0"/>
    <x v="20"/>
  </r>
  <r>
    <n v="0"/>
    <n v="3"/>
    <s v="SRSR"/>
    <x v="4"/>
    <n v="0"/>
    <n v="0"/>
    <n v="0"/>
    <n v="0"/>
    <x v="20"/>
  </r>
  <r>
    <n v="0"/>
    <n v="4"/>
    <s v="SRSR"/>
    <x v="4"/>
    <n v="0"/>
    <n v="0"/>
    <n v="0"/>
    <n v="0"/>
    <x v="20"/>
  </r>
  <r>
    <n v="0"/>
    <n v="5"/>
    <s v="SRSR"/>
    <x v="4"/>
    <n v="0"/>
    <n v="0"/>
    <n v="0"/>
    <n v="0"/>
    <x v="20"/>
  </r>
  <r>
    <n v="0"/>
    <n v="6"/>
    <s v="SRSR"/>
    <x v="4"/>
    <n v="0"/>
    <n v="0"/>
    <n v="0"/>
    <n v="0"/>
    <x v="20"/>
  </r>
  <r>
    <n v="0"/>
    <n v="7"/>
    <s v="SRSR"/>
    <x v="4"/>
    <n v="0"/>
    <n v="0"/>
    <n v="0"/>
    <n v="0"/>
    <x v="20"/>
  </r>
  <r>
    <n v="0"/>
    <n v="8"/>
    <s v="SRSR"/>
    <x v="4"/>
    <n v="0"/>
    <n v="0"/>
    <n v="0"/>
    <n v="0"/>
    <x v="20"/>
  </r>
  <r>
    <n v="0"/>
    <n v="1"/>
    <s v="SRSR"/>
    <x v="5"/>
    <n v="0"/>
    <n v="0"/>
    <n v="0"/>
    <n v="0"/>
    <x v="20"/>
  </r>
  <r>
    <n v="0"/>
    <n v="2"/>
    <s v="SRSR"/>
    <x v="5"/>
    <n v="0"/>
    <n v="0"/>
    <n v="0"/>
    <n v="0"/>
    <x v="20"/>
  </r>
  <r>
    <n v="0"/>
    <n v="3"/>
    <s v="SRSR"/>
    <x v="5"/>
    <n v="0"/>
    <n v="0"/>
    <n v="0"/>
    <n v="0"/>
    <x v="20"/>
  </r>
  <r>
    <n v="0"/>
    <n v="4"/>
    <s v="SRSR"/>
    <x v="5"/>
    <n v="0"/>
    <n v="0"/>
    <n v="0"/>
    <n v="0"/>
    <x v="20"/>
  </r>
  <r>
    <n v="0"/>
    <n v="5"/>
    <s v="SRSR"/>
    <x v="5"/>
    <n v="0"/>
    <n v="0"/>
    <n v="0"/>
    <n v="0"/>
    <x v="20"/>
  </r>
  <r>
    <n v="0"/>
    <n v="6"/>
    <s v="SRSR"/>
    <x v="5"/>
    <n v="0"/>
    <n v="0"/>
    <n v="0"/>
    <n v="0"/>
    <x v="20"/>
  </r>
  <r>
    <n v="0"/>
    <n v="7"/>
    <s v="SRSR"/>
    <x v="5"/>
    <n v="0"/>
    <n v="0"/>
    <n v="0"/>
    <n v="0"/>
    <x v="20"/>
  </r>
  <r>
    <n v="0"/>
    <n v="8"/>
    <s v="SRSR"/>
    <x v="5"/>
    <n v="0"/>
    <n v="0"/>
    <n v="0"/>
    <n v="0"/>
    <x v="20"/>
  </r>
  <r>
    <n v="0"/>
    <n v="1"/>
    <s v="TSL"/>
    <x v="20"/>
    <n v="0"/>
    <m/>
    <m/>
    <m/>
    <x v="21"/>
  </r>
  <r>
    <n v="0"/>
    <n v="1"/>
    <s v="TSS"/>
    <x v="20"/>
    <n v="0"/>
    <m/>
    <m/>
    <m/>
    <x v="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B191" firstHeaderRow="2" firstDataRow="2" firstDataCol="1"/>
  <pivotFields count="9">
    <pivotField showAll="0"/>
    <pivotField dataField="1" showAll="0"/>
    <pivotField showAll="0"/>
    <pivotField axis="axisRow" showAll="0">
      <items count="22">
        <item x="19"/>
        <item x="0"/>
        <item x="1"/>
        <item x="2"/>
        <item x="20"/>
        <item x="6"/>
        <item x="7"/>
        <item x="8"/>
        <item x="9"/>
        <item x="10"/>
        <item x="11"/>
        <item x="3"/>
        <item x="15"/>
        <item x="4"/>
        <item x="16"/>
        <item x="17"/>
        <item x="5"/>
        <item x="18"/>
        <item x="12"/>
        <item x="13"/>
        <item x="14"/>
        <item t="default"/>
      </items>
    </pivotField>
    <pivotField showAll="0"/>
    <pivotField showAll="0"/>
    <pivotField showAll="0"/>
    <pivotField showAll="0"/>
    <pivotField axis="axisRow" showAll="0">
      <items count="25">
        <item x="0"/>
        <item x="1"/>
        <item x="2"/>
        <item x="3"/>
        <item x="4"/>
        <item x="5"/>
        <item x="6"/>
        <item x="7"/>
        <item x="8"/>
        <item x="10"/>
        <item x="12"/>
        <item x="13"/>
        <item x="14"/>
        <item x="16"/>
        <item x="18"/>
        <item x="19"/>
        <item x="20"/>
        <item x="21"/>
        <item x="22"/>
        <item x="15"/>
        <item x="9"/>
        <item m="1" x="23"/>
        <item x="17"/>
        <item x="11"/>
        <item t="default"/>
      </items>
    </pivotField>
  </pivotFields>
  <rowFields count="2">
    <field x="8"/>
    <field x="3"/>
  </rowFields>
  <rowItems count="187">
    <i>
      <x/>
    </i>
    <i r="1">
      <x v="1"/>
    </i>
    <i r="1">
      <x v="2"/>
    </i>
    <i r="1">
      <x v="3"/>
    </i>
    <i r="1">
      <x v="11"/>
    </i>
    <i r="1">
      <x v="13"/>
    </i>
    <i r="1">
      <x v="16"/>
    </i>
    <i>
      <x v="1"/>
    </i>
    <i r="1">
      <x v="1"/>
    </i>
    <i r="1">
      <x v="2"/>
    </i>
    <i r="1">
      <x v="3"/>
    </i>
    <i r="1">
      <x v="11"/>
    </i>
    <i r="1">
      <x v="13"/>
    </i>
    <i r="1">
      <x v="16"/>
    </i>
    <i>
      <x v="2"/>
    </i>
    <i r="1">
      <x v="1"/>
    </i>
    <i r="1">
      <x v="2"/>
    </i>
    <i r="1">
      <x v="3"/>
    </i>
    <i r="1">
      <x v="11"/>
    </i>
    <i r="1">
      <x v="13"/>
    </i>
    <i r="1">
      <x v="16"/>
    </i>
    <i>
      <x v="3"/>
    </i>
    <i r="1">
      <x v="1"/>
    </i>
    <i r="1">
      <x v="2"/>
    </i>
    <i r="1">
      <x v="3"/>
    </i>
    <i r="1">
      <x v="11"/>
    </i>
    <i r="1">
      <x v="13"/>
    </i>
    <i r="1">
      <x v="16"/>
    </i>
    <i>
      <x v="4"/>
    </i>
    <i r="1">
      <x v="11"/>
    </i>
    <i r="1">
      <x v="13"/>
    </i>
    <i>
      <x v="5"/>
    </i>
    <i r="1">
      <x v="11"/>
    </i>
    <i r="1">
      <x v="13"/>
    </i>
    <i>
      <x v="6"/>
    </i>
    <i r="1">
      <x/>
    </i>
    <i r="1">
      <x v="5"/>
    </i>
    <i r="1">
      <x v="6"/>
    </i>
    <i r="1">
      <x v="7"/>
    </i>
    <i r="1">
      <x v="8"/>
    </i>
    <i r="1">
      <x v="9"/>
    </i>
    <i r="1">
      <x v="10"/>
    </i>
    <i r="1">
      <x v="12"/>
    </i>
    <i r="1">
      <x v="14"/>
    </i>
    <i r="1">
      <x v="15"/>
    </i>
    <i r="1">
      <x v="17"/>
    </i>
    <i r="1">
      <x v="18"/>
    </i>
    <i r="1">
      <x v="19"/>
    </i>
    <i r="1">
      <x v="20"/>
    </i>
    <i>
      <x v="7"/>
    </i>
    <i r="1">
      <x v="11"/>
    </i>
    <i r="1">
      <x v="13"/>
    </i>
    <i>
      <x v="8"/>
    </i>
    <i r="1">
      <x/>
    </i>
    <i r="1">
      <x v="5"/>
    </i>
    <i r="1">
      <x v="6"/>
    </i>
    <i r="1">
      <x v="7"/>
    </i>
    <i r="1">
      <x v="8"/>
    </i>
    <i r="1">
      <x v="9"/>
    </i>
    <i r="1">
      <x v="10"/>
    </i>
    <i r="1">
      <x v="12"/>
    </i>
    <i r="1">
      <x v="14"/>
    </i>
    <i r="1">
      <x v="15"/>
    </i>
    <i r="1">
      <x v="17"/>
    </i>
    <i r="1">
      <x v="18"/>
    </i>
    <i r="1">
      <x v="19"/>
    </i>
    <i r="1">
      <x v="20"/>
    </i>
    <i>
      <x v="9"/>
    </i>
    <i r="1">
      <x/>
    </i>
    <i r="1">
      <x v="5"/>
    </i>
    <i r="1">
      <x v="6"/>
    </i>
    <i r="1">
      <x v="7"/>
    </i>
    <i r="1">
      <x v="8"/>
    </i>
    <i r="1">
      <x v="9"/>
    </i>
    <i r="1">
      <x v="10"/>
    </i>
    <i r="1">
      <x v="12"/>
    </i>
    <i r="1">
      <x v="14"/>
    </i>
    <i r="1">
      <x v="15"/>
    </i>
    <i r="1">
      <x v="17"/>
    </i>
    <i r="1">
      <x v="18"/>
    </i>
    <i r="1">
      <x v="19"/>
    </i>
    <i r="1">
      <x v="20"/>
    </i>
    <i>
      <x v="10"/>
    </i>
    <i r="1">
      <x v="11"/>
    </i>
    <i r="1">
      <x v="13"/>
    </i>
    <i>
      <x v="11"/>
    </i>
    <i r="1">
      <x/>
    </i>
    <i r="1">
      <x v="1"/>
    </i>
    <i r="1">
      <x v="2"/>
    </i>
    <i r="1">
      <x v="3"/>
    </i>
    <i r="1">
      <x v="11"/>
    </i>
    <i r="1">
      <x v="12"/>
    </i>
    <i r="1">
      <x v="14"/>
    </i>
    <i r="1">
      <x v="15"/>
    </i>
    <i r="1">
      <x v="17"/>
    </i>
    <i>
      <x v="12"/>
    </i>
    <i r="1">
      <x/>
    </i>
    <i r="1">
      <x v="1"/>
    </i>
    <i r="1">
      <x v="2"/>
    </i>
    <i r="1">
      <x v="3"/>
    </i>
    <i r="1">
      <x v="11"/>
    </i>
    <i r="1">
      <x v="12"/>
    </i>
    <i r="1">
      <x v="14"/>
    </i>
    <i r="1">
      <x v="15"/>
    </i>
    <i r="1">
      <x v="17"/>
    </i>
    <i>
      <x v="13"/>
    </i>
    <i r="1">
      <x/>
    </i>
    <i r="1">
      <x v="1"/>
    </i>
    <i r="1">
      <x v="2"/>
    </i>
    <i r="1">
      <x v="3"/>
    </i>
    <i r="1">
      <x v="11"/>
    </i>
    <i r="1">
      <x v="12"/>
    </i>
    <i r="1">
      <x v="14"/>
    </i>
    <i r="1">
      <x v="15"/>
    </i>
    <i r="1">
      <x v="17"/>
    </i>
    <i>
      <x v="14"/>
    </i>
    <i r="1">
      <x v="11"/>
    </i>
    <i r="1">
      <x v="13"/>
    </i>
    <i>
      <x v="15"/>
    </i>
    <i r="1">
      <x v="1"/>
    </i>
    <i r="1">
      <x v="2"/>
    </i>
    <i r="1">
      <x v="3"/>
    </i>
    <i r="1">
      <x v="11"/>
    </i>
    <i r="1">
      <x v="13"/>
    </i>
    <i r="1">
      <x v="16"/>
    </i>
    <i>
      <x v="16"/>
    </i>
    <i r="1">
      <x v="1"/>
    </i>
    <i r="1">
      <x v="2"/>
    </i>
    <i r="1">
      <x v="3"/>
    </i>
    <i r="1">
      <x v="11"/>
    </i>
    <i r="1">
      <x v="13"/>
    </i>
    <i r="1">
      <x v="16"/>
    </i>
    <i>
      <x v="17"/>
    </i>
    <i r="1">
      <x v="4"/>
    </i>
    <i>
      <x v="18"/>
    </i>
    <i r="1">
      <x v="4"/>
    </i>
    <i>
      <x v="19"/>
    </i>
    <i r="1">
      <x/>
    </i>
    <i r="1">
      <x v="1"/>
    </i>
    <i r="1">
      <x v="2"/>
    </i>
    <i r="1">
      <x v="3"/>
    </i>
    <i r="1">
      <x v="11"/>
    </i>
    <i r="1">
      <x v="12"/>
    </i>
    <i r="1">
      <x v="14"/>
    </i>
    <i r="1">
      <x v="15"/>
    </i>
    <i r="1">
      <x v="17"/>
    </i>
    <i>
      <x v="20"/>
    </i>
    <i r="1">
      <x/>
    </i>
    <i r="1">
      <x v="5"/>
    </i>
    <i r="1">
      <x v="6"/>
    </i>
    <i r="1">
      <x v="7"/>
    </i>
    <i r="1">
      <x v="8"/>
    </i>
    <i r="1">
      <x v="9"/>
    </i>
    <i r="1">
      <x v="10"/>
    </i>
    <i r="1">
      <x v="12"/>
    </i>
    <i r="1">
      <x v="14"/>
    </i>
    <i r="1">
      <x v="15"/>
    </i>
    <i r="1">
      <x v="17"/>
    </i>
    <i r="1">
      <x v="18"/>
    </i>
    <i r="1">
      <x v="19"/>
    </i>
    <i r="1">
      <x v="20"/>
    </i>
    <i>
      <x v="22"/>
    </i>
    <i r="1">
      <x/>
    </i>
    <i r="1">
      <x v="1"/>
    </i>
    <i r="1">
      <x v="2"/>
    </i>
    <i r="1">
      <x v="3"/>
    </i>
    <i r="1">
      <x v="11"/>
    </i>
    <i r="1">
      <x v="12"/>
    </i>
    <i r="1">
      <x v="14"/>
    </i>
    <i r="1">
      <x v="15"/>
    </i>
    <i r="1">
      <x v="17"/>
    </i>
    <i>
      <x v="23"/>
    </i>
    <i r="1">
      <x/>
    </i>
    <i r="1">
      <x v="5"/>
    </i>
    <i r="1">
      <x v="6"/>
    </i>
    <i r="1">
      <x v="7"/>
    </i>
    <i r="1">
      <x v="8"/>
    </i>
    <i r="1">
      <x v="9"/>
    </i>
    <i r="1">
      <x v="10"/>
    </i>
    <i r="1">
      <x v="12"/>
    </i>
    <i r="1">
      <x v="14"/>
    </i>
    <i r="1">
      <x v="15"/>
    </i>
    <i r="1">
      <x v="17"/>
    </i>
    <i r="1">
      <x v="18"/>
    </i>
    <i r="1">
      <x v="19"/>
    </i>
    <i r="1">
      <x v="20"/>
    </i>
    <i t="grand">
      <x/>
    </i>
  </rowItems>
  <colItems count="1">
    <i/>
  </colItems>
  <dataFields count="1">
    <dataField name="Count of #/Rank" fld="1"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21.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22.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23.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2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5.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6.xml.rels><?xml version="1.0" encoding="UTF-8" standalone="yes"?>
<Relationships xmlns="http://schemas.openxmlformats.org/package/2006/relationships"><Relationship Id="rId1" Type="http://schemas.openxmlformats.org/officeDocument/2006/relationships/customProperty" Target="../customProperty20.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19"/>
  <sheetViews>
    <sheetView tabSelected="1" workbookViewId="0">
      <selection activeCell="B3" sqref="B3"/>
    </sheetView>
  </sheetViews>
  <sheetFormatPr defaultColWidth="8.85546875" defaultRowHeight="15" x14ac:dyDescent="0.25"/>
  <cols>
    <col min="1" max="1" width="19" style="37" customWidth="1"/>
    <col min="2" max="2" width="71.7109375" style="37" customWidth="1"/>
    <col min="3" max="3" width="8.85546875" style="37"/>
    <col min="4" max="4" width="25.5703125" style="37" customWidth="1"/>
    <col min="5" max="5" width="55.85546875" style="37" customWidth="1"/>
    <col min="6" max="16384" width="8.85546875" style="37"/>
  </cols>
  <sheetData>
    <row r="1" spans="1:5" ht="21" x14ac:dyDescent="0.35">
      <c r="A1" s="53" t="s">
        <v>147</v>
      </c>
    </row>
    <row r="2" spans="1:5" ht="15.75" thickBot="1" x14ac:dyDescent="0.3"/>
    <row r="3" spans="1:5" ht="33" customHeight="1" x14ac:dyDescent="0.25">
      <c r="A3" s="109" t="s">
        <v>4</v>
      </c>
      <c r="B3" s="110"/>
      <c r="C3" s="111"/>
      <c r="D3" s="157" t="s">
        <v>186</v>
      </c>
      <c r="E3" s="158"/>
    </row>
    <row r="4" spans="1:5" ht="33" customHeight="1" x14ac:dyDescent="0.25">
      <c r="A4" s="112" t="s">
        <v>5</v>
      </c>
      <c r="B4" s="113"/>
      <c r="C4" s="114"/>
      <c r="D4" s="159"/>
      <c r="E4" s="160"/>
    </row>
    <row r="5" spans="1:5" ht="33" customHeight="1" x14ac:dyDescent="0.25">
      <c r="A5" s="112" t="s">
        <v>91</v>
      </c>
      <c r="B5" s="113"/>
      <c r="C5" s="114"/>
      <c r="D5" s="127" t="s">
        <v>180</v>
      </c>
      <c r="E5" s="132"/>
    </row>
    <row r="6" spans="1:5" ht="33" customHeight="1" x14ac:dyDescent="0.25">
      <c r="A6" s="112" t="s">
        <v>125</v>
      </c>
      <c r="B6" s="113"/>
      <c r="C6" s="114"/>
      <c r="D6" s="128">
        <v>2</v>
      </c>
      <c r="E6" s="133"/>
    </row>
    <row r="7" spans="1:5" ht="15" customHeight="1" x14ac:dyDescent="0.25">
      <c r="A7" s="115" t="s">
        <v>92</v>
      </c>
      <c r="B7" s="116"/>
      <c r="C7" s="114"/>
      <c r="D7" s="128">
        <v>3</v>
      </c>
      <c r="E7" s="133"/>
    </row>
    <row r="8" spans="1:5" x14ac:dyDescent="0.25">
      <c r="A8" s="117" t="s">
        <v>93</v>
      </c>
      <c r="B8" s="69"/>
      <c r="C8" s="114"/>
      <c r="D8" s="129">
        <v>4</v>
      </c>
      <c r="E8" s="133"/>
    </row>
    <row r="9" spans="1:5" x14ac:dyDescent="0.25">
      <c r="A9" s="117" t="s">
        <v>94</v>
      </c>
      <c r="B9" s="69"/>
      <c r="C9" s="114"/>
      <c r="D9" s="121" t="s">
        <v>181</v>
      </c>
      <c r="E9" s="122"/>
    </row>
    <row r="10" spans="1:5" ht="25.5" customHeight="1" x14ac:dyDescent="0.25">
      <c r="A10" s="118" t="s">
        <v>95</v>
      </c>
      <c r="B10" s="119"/>
      <c r="C10" s="114"/>
      <c r="D10" s="155" t="s">
        <v>182</v>
      </c>
      <c r="E10" s="156"/>
    </row>
    <row r="11" spans="1:5" ht="34.5" customHeight="1" x14ac:dyDescent="0.25">
      <c r="A11" s="112" t="s">
        <v>126</v>
      </c>
      <c r="B11" s="113"/>
      <c r="C11" s="114"/>
      <c r="D11" s="130" t="s">
        <v>183</v>
      </c>
      <c r="E11" s="125"/>
    </row>
    <row r="12" spans="1:5" x14ac:dyDescent="0.25">
      <c r="A12" s="123"/>
      <c r="B12" s="114"/>
      <c r="C12" s="114"/>
      <c r="D12" s="130" t="s">
        <v>184</v>
      </c>
      <c r="E12" s="125"/>
    </row>
    <row r="13" spans="1:5" ht="15.75" thickBot="1" x14ac:dyDescent="0.3">
      <c r="A13" s="124"/>
      <c r="B13" s="120"/>
      <c r="C13" s="120"/>
      <c r="D13" s="131" t="s">
        <v>185</v>
      </c>
      <c r="E13" s="126"/>
    </row>
    <row r="17" spans="1:2" x14ac:dyDescent="0.25">
      <c r="A17" s="37" t="s">
        <v>143</v>
      </c>
    </row>
    <row r="18" spans="1:2" x14ac:dyDescent="0.25">
      <c r="A18" s="66" t="s">
        <v>66</v>
      </c>
      <c r="B18" s="68"/>
    </row>
    <row r="19" spans="1:2" x14ac:dyDescent="0.25">
      <c r="A19" s="67" t="s">
        <v>148</v>
      </c>
      <c r="B19" s="78" t="s">
        <v>149</v>
      </c>
    </row>
  </sheetData>
  <sheetProtection password="CE88" sheet="1" objects="1" scenarios="1" selectLockedCells="1"/>
  <mergeCells count="2">
    <mergeCell ref="D10:E10"/>
    <mergeCell ref="D3:E4"/>
  </mergeCells>
  <phoneticPr fontId="23" type="noConversion"/>
  <pageMargins left="0.25" right="0.25" top="0.75" bottom="0.75" header="0.3" footer="0.3"/>
  <pageSetup scale="73" orientation="landscape" horizontalDpi="180" verticalDpi="180" r:id="rId1"/>
  <headerFooter>
    <oddHeader>&amp;LUSAJR Regional Tournament&amp;R&amp;A</oddHeader>
    <oddFooter>&amp;RPage &amp;P of &amp;N</oddFooter>
  </headerFooter>
  <customProperties>
    <customPr name="DVSECTIONID" r:id="rId2"/>
  </customProperties>
  <extLst>
    <ext xmlns:mx="http://schemas.microsoft.com/office/mac/excel/2008/main" uri="{64002731-A6B0-56B0-2670-7721B7C09600}">
      <mx:PLV Mode="0" OnePage="0" WScale="83"/>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N85"/>
  <sheetViews>
    <sheetView workbookViewId="0">
      <selection activeCell="D6" sqref="D6"/>
    </sheetView>
  </sheetViews>
  <sheetFormatPr defaultColWidth="8.85546875" defaultRowHeight="15" x14ac:dyDescent="0.25"/>
  <cols>
    <col min="1" max="1" width="2.7109375" style="37" customWidth="1"/>
    <col min="2" max="2" width="4.7109375" style="60" bestFit="1" customWidth="1"/>
    <col min="3" max="3" width="7.140625" style="60" bestFit="1" customWidth="1"/>
    <col min="4" max="4" width="8.28515625" style="37" bestFit="1" customWidth="1"/>
    <col min="5" max="6" width="20.7109375" style="37" customWidth="1"/>
    <col min="7" max="7" width="1.7109375" style="37" customWidth="1"/>
    <col min="8" max="8" width="2.7109375" style="37" bestFit="1" customWidth="1"/>
    <col min="9" max="9" width="4.7109375" style="60" bestFit="1" customWidth="1"/>
    <col min="10" max="10" width="6.28515625" style="60" bestFit="1" customWidth="1"/>
    <col min="11" max="11" width="8.28515625" style="37" bestFit="1" customWidth="1"/>
    <col min="12" max="13" width="20.7109375" style="37" customWidth="1"/>
    <col min="14" max="14" width="1.7109375" style="37" customWidth="1"/>
    <col min="15" max="15" width="2.7109375" style="37" customWidth="1"/>
    <col min="16" max="16" width="4.7109375" style="37" bestFit="1" customWidth="1"/>
    <col min="17" max="17" width="4.85546875" style="37" bestFit="1" customWidth="1"/>
    <col min="18" max="18" width="8.85546875" style="37"/>
    <col min="19" max="20" width="12.7109375" style="37" customWidth="1"/>
    <col min="21" max="21" width="1.7109375" style="37" customWidth="1"/>
    <col min="22" max="22" width="2.7109375" style="37" customWidth="1"/>
    <col min="23" max="23" width="4.7109375" style="37" bestFit="1" customWidth="1"/>
    <col min="24" max="24" width="4.85546875" style="37" bestFit="1" customWidth="1"/>
    <col min="25" max="25" width="8.85546875" style="37"/>
    <col min="26" max="27" width="12.7109375" style="37" customWidth="1"/>
    <col min="28" max="16384" width="8.85546875" style="37"/>
  </cols>
  <sheetData>
    <row r="1" spans="1:14" ht="18.75" x14ac:dyDescent="0.25">
      <c r="A1" s="58" t="s">
        <v>102</v>
      </c>
      <c r="B1" s="59"/>
      <c r="C1" s="59"/>
      <c r="M1" s="43" t="str">
        <f>CONCATENATE("Team: ",'Team Info'!$B$3)</f>
        <v xml:space="preserve">Team: </v>
      </c>
    </row>
    <row r="2" spans="1:14" x14ac:dyDescent="0.25">
      <c r="A2" s="170" t="s">
        <v>135</v>
      </c>
      <c r="B2" s="170"/>
      <c r="C2" s="170"/>
      <c r="D2" s="170"/>
      <c r="E2" s="170"/>
      <c r="F2" s="170"/>
    </row>
    <row r="3" spans="1:14" x14ac:dyDescent="0.25">
      <c r="A3" s="170" t="s">
        <v>136</v>
      </c>
      <c r="B3" s="170"/>
      <c r="C3" s="170"/>
      <c r="D3" s="170"/>
      <c r="E3" s="170"/>
      <c r="F3" s="170"/>
    </row>
    <row r="4" spans="1:14" ht="15" customHeight="1" x14ac:dyDescent="0.25">
      <c r="A4" s="104" t="s">
        <v>170</v>
      </c>
      <c r="B4" s="54"/>
      <c r="C4" s="54"/>
      <c r="D4" s="38"/>
      <c r="E4" s="38"/>
      <c r="F4" s="38"/>
    </row>
    <row r="5" spans="1:14" ht="23.25" customHeight="1" x14ac:dyDescent="0.25">
      <c r="A5" s="39" t="s">
        <v>0</v>
      </c>
      <c r="B5" s="39" t="s">
        <v>55</v>
      </c>
      <c r="C5" s="39" t="s">
        <v>56</v>
      </c>
      <c r="D5" s="55" t="s">
        <v>8</v>
      </c>
      <c r="E5" s="39" t="s">
        <v>2</v>
      </c>
      <c r="F5" s="39" t="s">
        <v>1</v>
      </c>
      <c r="I5" s="169" t="s">
        <v>178</v>
      </c>
      <c r="J5" s="169"/>
      <c r="K5" s="169"/>
      <c r="L5" s="169"/>
      <c r="M5" s="169"/>
      <c r="N5" s="169"/>
    </row>
    <row r="6" spans="1:14" x14ac:dyDescent="0.25">
      <c r="A6" s="63">
        <v>1</v>
      </c>
      <c r="B6" s="90" t="s">
        <v>117</v>
      </c>
      <c r="C6" s="90" t="s">
        <v>177</v>
      </c>
      <c r="D6" s="108"/>
      <c r="E6" s="44" t="str">
        <f t="shared" ref="E6:E15" si="0">IF(D6&gt;0,VLOOKUP(D6,Jumpers,3),"")</f>
        <v/>
      </c>
      <c r="F6" s="44" t="str">
        <f t="shared" ref="F6:F15" si="1">IF(D6&gt;0,VLOOKUP(D6,Jumpers,2),"")</f>
        <v/>
      </c>
      <c r="I6" s="169"/>
      <c r="J6" s="169"/>
      <c r="K6" s="169"/>
      <c r="L6" s="169"/>
      <c r="M6" s="169"/>
      <c r="N6" s="169"/>
    </row>
    <row r="7" spans="1:14" x14ac:dyDescent="0.25">
      <c r="A7" s="63">
        <v>2</v>
      </c>
      <c r="B7" s="90" t="s">
        <v>117</v>
      </c>
      <c r="C7" s="90" t="s">
        <v>177</v>
      </c>
      <c r="D7" s="35"/>
      <c r="E7" s="44" t="str">
        <f t="shared" si="0"/>
        <v/>
      </c>
      <c r="F7" s="44" t="str">
        <f t="shared" si="1"/>
        <v/>
      </c>
      <c r="I7" s="169"/>
      <c r="J7" s="169"/>
      <c r="K7" s="169"/>
      <c r="L7" s="169"/>
      <c r="M7" s="169"/>
      <c r="N7" s="169"/>
    </row>
    <row r="8" spans="1:14" x14ac:dyDescent="0.25">
      <c r="A8" s="63">
        <v>3</v>
      </c>
      <c r="B8" s="90" t="s">
        <v>117</v>
      </c>
      <c r="C8" s="90" t="s">
        <v>177</v>
      </c>
      <c r="D8" s="35"/>
      <c r="E8" s="44" t="str">
        <f t="shared" si="0"/>
        <v/>
      </c>
      <c r="F8" s="44" t="str">
        <f t="shared" si="1"/>
        <v/>
      </c>
      <c r="I8" s="169"/>
      <c r="J8" s="169"/>
      <c r="K8" s="169"/>
      <c r="L8" s="169"/>
      <c r="M8" s="169"/>
      <c r="N8" s="169"/>
    </row>
    <row r="9" spans="1:14" x14ac:dyDescent="0.25">
      <c r="A9" s="63">
        <v>4</v>
      </c>
      <c r="B9" s="90" t="s">
        <v>117</v>
      </c>
      <c r="C9" s="90" t="s">
        <v>177</v>
      </c>
      <c r="D9" s="35"/>
      <c r="E9" s="44" t="str">
        <f t="shared" si="0"/>
        <v/>
      </c>
      <c r="F9" s="44" t="str">
        <f t="shared" si="1"/>
        <v/>
      </c>
    </row>
    <row r="10" spans="1:14" x14ac:dyDescent="0.25">
      <c r="A10" s="63">
        <v>5</v>
      </c>
      <c r="B10" s="90" t="s">
        <v>117</v>
      </c>
      <c r="C10" s="90" t="s">
        <v>177</v>
      </c>
      <c r="D10" s="35"/>
      <c r="E10" s="44" t="str">
        <f t="shared" si="0"/>
        <v/>
      </c>
      <c r="F10" s="44" t="str">
        <f t="shared" si="1"/>
        <v/>
      </c>
    </row>
    <row r="11" spans="1:14" x14ac:dyDescent="0.25">
      <c r="A11" s="63">
        <v>6</v>
      </c>
      <c r="B11" s="90" t="s">
        <v>117</v>
      </c>
      <c r="C11" s="90" t="s">
        <v>177</v>
      </c>
      <c r="D11" s="35"/>
      <c r="E11" s="44" t="str">
        <f t="shared" si="0"/>
        <v/>
      </c>
      <c r="F11" s="44" t="str">
        <f t="shared" si="1"/>
        <v/>
      </c>
    </row>
    <row r="12" spans="1:14" x14ac:dyDescent="0.25">
      <c r="A12" s="63">
        <v>7</v>
      </c>
      <c r="B12" s="90" t="s">
        <v>117</v>
      </c>
      <c r="C12" s="90" t="s">
        <v>177</v>
      </c>
      <c r="D12" s="35"/>
      <c r="E12" s="44" t="str">
        <f t="shared" si="0"/>
        <v/>
      </c>
      <c r="F12" s="44" t="str">
        <f t="shared" si="1"/>
        <v/>
      </c>
    </row>
    <row r="13" spans="1:14" x14ac:dyDescent="0.25">
      <c r="A13" s="63">
        <v>8</v>
      </c>
      <c r="B13" s="90" t="s">
        <v>117</v>
      </c>
      <c r="C13" s="90" t="s">
        <v>177</v>
      </c>
      <c r="D13" s="35"/>
      <c r="E13" s="44" t="str">
        <f t="shared" si="0"/>
        <v/>
      </c>
      <c r="F13" s="44" t="str">
        <f t="shared" si="1"/>
        <v/>
      </c>
    </row>
    <row r="14" spans="1:14" x14ac:dyDescent="0.25">
      <c r="A14" s="63">
        <v>9</v>
      </c>
      <c r="B14" s="90" t="s">
        <v>117</v>
      </c>
      <c r="C14" s="90" t="s">
        <v>177</v>
      </c>
      <c r="D14" s="35"/>
      <c r="E14" s="44" t="str">
        <f t="shared" si="0"/>
        <v/>
      </c>
      <c r="F14" s="44" t="str">
        <f t="shared" si="1"/>
        <v/>
      </c>
    </row>
    <row r="15" spans="1:14" x14ac:dyDescent="0.25">
      <c r="A15" s="63">
        <v>10</v>
      </c>
      <c r="B15" s="90" t="s">
        <v>117</v>
      </c>
      <c r="C15" s="90" t="s">
        <v>177</v>
      </c>
      <c r="D15" s="35"/>
      <c r="E15" s="44" t="str">
        <f t="shared" si="0"/>
        <v/>
      </c>
      <c r="F15" s="44" t="str">
        <f t="shared" si="1"/>
        <v/>
      </c>
    </row>
    <row r="16" spans="1:14" x14ac:dyDescent="0.25">
      <c r="A16" s="38" t="s">
        <v>9</v>
      </c>
      <c r="B16" s="54"/>
      <c r="C16" s="54"/>
      <c r="D16" s="38"/>
      <c r="E16" s="38"/>
      <c r="F16" s="38"/>
      <c r="H16" s="38" t="s">
        <v>10</v>
      </c>
      <c r="I16" s="54"/>
      <c r="J16" s="54"/>
      <c r="K16" s="38"/>
      <c r="L16" s="38"/>
      <c r="M16" s="38"/>
    </row>
    <row r="17" spans="1:13" ht="23.25" x14ac:dyDescent="0.25">
      <c r="A17" s="39" t="s">
        <v>104</v>
      </c>
      <c r="B17" s="39" t="s">
        <v>55</v>
      </c>
      <c r="C17" s="39" t="s">
        <v>56</v>
      </c>
      <c r="D17" s="55" t="s">
        <v>8</v>
      </c>
      <c r="E17" s="39" t="s">
        <v>2</v>
      </c>
      <c r="F17" s="39" t="s">
        <v>1</v>
      </c>
      <c r="H17" s="39" t="s">
        <v>104</v>
      </c>
      <c r="I17" s="39" t="s">
        <v>55</v>
      </c>
      <c r="J17" s="39" t="s">
        <v>56</v>
      </c>
      <c r="K17" s="55" t="s">
        <v>8</v>
      </c>
      <c r="L17" s="39" t="s">
        <v>2</v>
      </c>
      <c r="M17" s="39" t="s">
        <v>1</v>
      </c>
    </row>
    <row r="18" spans="1:13" x14ac:dyDescent="0.25">
      <c r="A18" s="63">
        <v>1</v>
      </c>
      <c r="B18" s="90" t="s">
        <v>117</v>
      </c>
      <c r="C18" s="63" t="s">
        <v>44</v>
      </c>
      <c r="D18" s="108"/>
      <c r="E18" s="44" t="str">
        <f t="shared" ref="E18:E37" si="2">IF(D18&gt;0,VLOOKUP(D18,Jumpers,3),"")</f>
        <v/>
      </c>
      <c r="F18" s="44" t="str">
        <f t="shared" ref="F18:F37" si="3">IF(D18&gt;0,VLOOKUP(D18,Jumpers,2),"")</f>
        <v/>
      </c>
      <c r="H18" s="63">
        <v>1</v>
      </c>
      <c r="I18" s="90" t="s">
        <v>117</v>
      </c>
      <c r="J18" s="63" t="s">
        <v>45</v>
      </c>
      <c r="K18" s="35"/>
      <c r="L18" s="44" t="str">
        <f t="shared" ref="L18:L37" si="4">IF(K18&gt;0,VLOOKUP(K18,Jumpers,3),"")</f>
        <v/>
      </c>
      <c r="M18" s="44" t="str">
        <f t="shared" ref="M18:M37" si="5">IF(K18&gt;0,VLOOKUP(K18,Jumpers,2),"")</f>
        <v/>
      </c>
    </row>
    <row r="19" spans="1:13" x14ac:dyDescent="0.25">
      <c r="A19" s="63">
        <v>2</v>
      </c>
      <c r="B19" s="90" t="s">
        <v>117</v>
      </c>
      <c r="C19" s="63" t="s">
        <v>44</v>
      </c>
      <c r="D19" s="35"/>
      <c r="E19" s="44" t="str">
        <f t="shared" si="2"/>
        <v/>
      </c>
      <c r="F19" s="44" t="str">
        <f t="shared" si="3"/>
        <v/>
      </c>
      <c r="H19" s="63">
        <v>2</v>
      </c>
      <c r="I19" s="90" t="s">
        <v>117</v>
      </c>
      <c r="J19" s="63" t="s">
        <v>45</v>
      </c>
      <c r="K19" s="35"/>
      <c r="L19" s="44" t="str">
        <f t="shared" si="4"/>
        <v/>
      </c>
      <c r="M19" s="44" t="str">
        <f t="shared" si="5"/>
        <v/>
      </c>
    </row>
    <row r="20" spans="1:13" x14ac:dyDescent="0.25">
      <c r="A20" s="63">
        <v>3</v>
      </c>
      <c r="B20" s="90" t="s">
        <v>117</v>
      </c>
      <c r="C20" s="63" t="s">
        <v>44</v>
      </c>
      <c r="D20" s="35"/>
      <c r="E20" s="44" t="str">
        <f t="shared" si="2"/>
        <v/>
      </c>
      <c r="F20" s="44" t="str">
        <f t="shared" si="3"/>
        <v/>
      </c>
      <c r="H20" s="63">
        <v>3</v>
      </c>
      <c r="I20" s="90" t="s">
        <v>117</v>
      </c>
      <c r="J20" s="63" t="s">
        <v>45</v>
      </c>
      <c r="K20" s="35"/>
      <c r="L20" s="44" t="str">
        <f t="shared" si="4"/>
        <v/>
      </c>
      <c r="M20" s="44" t="str">
        <f t="shared" si="5"/>
        <v/>
      </c>
    </row>
    <row r="21" spans="1:13" x14ac:dyDescent="0.25">
      <c r="A21" s="63">
        <v>4</v>
      </c>
      <c r="B21" s="90" t="s">
        <v>117</v>
      </c>
      <c r="C21" s="63" t="s">
        <v>44</v>
      </c>
      <c r="D21" s="35"/>
      <c r="E21" s="44" t="str">
        <f t="shared" si="2"/>
        <v/>
      </c>
      <c r="F21" s="44" t="str">
        <f t="shared" si="3"/>
        <v/>
      </c>
      <c r="H21" s="63">
        <v>4</v>
      </c>
      <c r="I21" s="90" t="s">
        <v>117</v>
      </c>
      <c r="J21" s="63" t="s">
        <v>45</v>
      </c>
      <c r="K21" s="35"/>
      <c r="L21" s="44" t="str">
        <f t="shared" si="4"/>
        <v/>
      </c>
      <c r="M21" s="44" t="str">
        <f t="shared" si="5"/>
        <v/>
      </c>
    </row>
    <row r="22" spans="1:13" x14ac:dyDescent="0.25">
      <c r="A22" s="63">
        <v>5</v>
      </c>
      <c r="B22" s="90" t="s">
        <v>117</v>
      </c>
      <c r="C22" s="63" t="s">
        <v>44</v>
      </c>
      <c r="D22" s="35"/>
      <c r="E22" s="44" t="str">
        <f t="shared" si="2"/>
        <v/>
      </c>
      <c r="F22" s="44" t="str">
        <f t="shared" si="3"/>
        <v/>
      </c>
      <c r="H22" s="63">
        <v>5</v>
      </c>
      <c r="I22" s="90" t="s">
        <v>117</v>
      </c>
      <c r="J22" s="63" t="s">
        <v>45</v>
      </c>
      <c r="K22" s="35"/>
      <c r="L22" s="44" t="str">
        <f t="shared" si="4"/>
        <v/>
      </c>
      <c r="M22" s="44" t="str">
        <f t="shared" si="5"/>
        <v/>
      </c>
    </row>
    <row r="23" spans="1:13" x14ac:dyDescent="0.25">
      <c r="A23" s="63">
        <v>6</v>
      </c>
      <c r="B23" s="90" t="s">
        <v>117</v>
      </c>
      <c r="C23" s="63" t="s">
        <v>44</v>
      </c>
      <c r="D23" s="35"/>
      <c r="E23" s="44" t="str">
        <f t="shared" si="2"/>
        <v/>
      </c>
      <c r="F23" s="44" t="str">
        <f t="shared" si="3"/>
        <v/>
      </c>
      <c r="H23" s="63">
        <v>6</v>
      </c>
      <c r="I23" s="90" t="s">
        <v>117</v>
      </c>
      <c r="J23" s="63" t="s">
        <v>45</v>
      </c>
      <c r="K23" s="35"/>
      <c r="L23" s="44" t="str">
        <f t="shared" si="4"/>
        <v/>
      </c>
      <c r="M23" s="44" t="str">
        <f t="shared" si="5"/>
        <v/>
      </c>
    </row>
    <row r="24" spans="1:13" x14ac:dyDescent="0.25">
      <c r="A24" s="63">
        <v>7</v>
      </c>
      <c r="B24" s="90" t="s">
        <v>117</v>
      </c>
      <c r="C24" s="63" t="s">
        <v>44</v>
      </c>
      <c r="D24" s="35"/>
      <c r="E24" s="44" t="str">
        <f t="shared" si="2"/>
        <v/>
      </c>
      <c r="F24" s="44" t="str">
        <f t="shared" si="3"/>
        <v/>
      </c>
      <c r="H24" s="63">
        <v>7</v>
      </c>
      <c r="I24" s="90" t="s">
        <v>117</v>
      </c>
      <c r="J24" s="63" t="s">
        <v>45</v>
      </c>
      <c r="K24" s="35"/>
      <c r="L24" s="44" t="str">
        <f t="shared" si="4"/>
        <v/>
      </c>
      <c r="M24" s="44" t="str">
        <f t="shared" si="5"/>
        <v/>
      </c>
    </row>
    <row r="25" spans="1:13" x14ac:dyDescent="0.25">
      <c r="A25" s="63">
        <v>8</v>
      </c>
      <c r="B25" s="90" t="s">
        <v>117</v>
      </c>
      <c r="C25" s="63" t="s">
        <v>44</v>
      </c>
      <c r="D25" s="35"/>
      <c r="E25" s="44" t="str">
        <f t="shared" si="2"/>
        <v/>
      </c>
      <c r="F25" s="44" t="str">
        <f t="shared" si="3"/>
        <v/>
      </c>
      <c r="H25" s="63">
        <v>8</v>
      </c>
      <c r="I25" s="90" t="s">
        <v>117</v>
      </c>
      <c r="J25" s="63" t="s">
        <v>45</v>
      </c>
      <c r="K25" s="35"/>
      <c r="L25" s="44" t="str">
        <f t="shared" si="4"/>
        <v/>
      </c>
      <c r="M25" s="44" t="str">
        <f t="shared" si="5"/>
        <v/>
      </c>
    </row>
    <row r="26" spans="1:13" x14ac:dyDescent="0.25">
      <c r="A26" s="63">
        <v>9</v>
      </c>
      <c r="B26" s="90" t="s">
        <v>117</v>
      </c>
      <c r="C26" s="63" t="s">
        <v>44</v>
      </c>
      <c r="D26" s="35"/>
      <c r="E26" s="44" t="str">
        <f t="shared" si="2"/>
        <v/>
      </c>
      <c r="F26" s="44" t="str">
        <f t="shared" si="3"/>
        <v/>
      </c>
      <c r="H26" s="63">
        <v>9</v>
      </c>
      <c r="I26" s="90" t="s">
        <v>117</v>
      </c>
      <c r="J26" s="63" t="s">
        <v>45</v>
      </c>
      <c r="K26" s="35"/>
      <c r="L26" s="44" t="str">
        <f t="shared" si="4"/>
        <v/>
      </c>
      <c r="M26" s="44" t="str">
        <f t="shared" si="5"/>
        <v/>
      </c>
    </row>
    <row r="27" spans="1:13" x14ac:dyDescent="0.25">
      <c r="A27" s="63">
        <v>10</v>
      </c>
      <c r="B27" s="90" t="s">
        <v>117</v>
      </c>
      <c r="C27" s="63" t="s">
        <v>44</v>
      </c>
      <c r="D27" s="35"/>
      <c r="E27" s="44" t="str">
        <f t="shared" si="2"/>
        <v/>
      </c>
      <c r="F27" s="44" t="str">
        <f t="shared" si="3"/>
        <v/>
      </c>
      <c r="H27" s="63">
        <v>10</v>
      </c>
      <c r="I27" s="90" t="s">
        <v>117</v>
      </c>
      <c r="J27" s="63" t="s">
        <v>45</v>
      </c>
      <c r="K27" s="35"/>
      <c r="L27" s="44" t="str">
        <f t="shared" si="4"/>
        <v/>
      </c>
      <c r="M27" s="44" t="str">
        <f t="shared" si="5"/>
        <v/>
      </c>
    </row>
    <row r="28" spans="1:13" x14ac:dyDescent="0.25">
      <c r="A28" s="63">
        <v>11</v>
      </c>
      <c r="B28" s="90" t="s">
        <v>117</v>
      </c>
      <c r="C28" s="63" t="s">
        <v>44</v>
      </c>
      <c r="D28" s="35"/>
      <c r="E28" s="44" t="str">
        <f t="shared" si="2"/>
        <v/>
      </c>
      <c r="F28" s="44" t="str">
        <f t="shared" si="3"/>
        <v/>
      </c>
      <c r="H28" s="63">
        <v>11</v>
      </c>
      <c r="I28" s="90" t="s">
        <v>117</v>
      </c>
      <c r="J28" s="63" t="s">
        <v>45</v>
      </c>
      <c r="K28" s="35"/>
      <c r="L28" s="44" t="str">
        <f t="shared" si="4"/>
        <v/>
      </c>
      <c r="M28" s="44" t="str">
        <f t="shared" si="5"/>
        <v/>
      </c>
    </row>
    <row r="29" spans="1:13" x14ac:dyDescent="0.25">
      <c r="A29" s="63">
        <v>12</v>
      </c>
      <c r="B29" s="90" t="s">
        <v>117</v>
      </c>
      <c r="C29" s="63" t="s">
        <v>44</v>
      </c>
      <c r="D29" s="35"/>
      <c r="E29" s="44" t="str">
        <f t="shared" si="2"/>
        <v/>
      </c>
      <c r="F29" s="44" t="str">
        <f t="shared" si="3"/>
        <v/>
      </c>
      <c r="H29" s="63">
        <v>12</v>
      </c>
      <c r="I29" s="90" t="s">
        <v>117</v>
      </c>
      <c r="J29" s="63" t="s">
        <v>45</v>
      </c>
      <c r="K29" s="35"/>
      <c r="L29" s="44" t="str">
        <f t="shared" si="4"/>
        <v/>
      </c>
      <c r="M29" s="44" t="str">
        <f t="shared" si="5"/>
        <v/>
      </c>
    </row>
    <row r="30" spans="1:13" x14ac:dyDescent="0.25">
      <c r="A30" s="63">
        <v>13</v>
      </c>
      <c r="B30" s="90" t="s">
        <v>117</v>
      </c>
      <c r="C30" s="63" t="s">
        <v>44</v>
      </c>
      <c r="D30" s="35"/>
      <c r="E30" s="44" t="str">
        <f t="shared" si="2"/>
        <v/>
      </c>
      <c r="F30" s="44" t="str">
        <f t="shared" si="3"/>
        <v/>
      </c>
      <c r="H30" s="63">
        <v>13</v>
      </c>
      <c r="I30" s="90" t="s">
        <v>117</v>
      </c>
      <c r="J30" s="63" t="s">
        <v>45</v>
      </c>
      <c r="K30" s="35"/>
      <c r="L30" s="44" t="str">
        <f t="shared" si="4"/>
        <v/>
      </c>
      <c r="M30" s="44" t="str">
        <f t="shared" si="5"/>
        <v/>
      </c>
    </row>
    <row r="31" spans="1:13" x14ac:dyDescent="0.25">
      <c r="A31" s="63">
        <v>14</v>
      </c>
      <c r="B31" s="90" t="s">
        <v>117</v>
      </c>
      <c r="C31" s="63" t="s">
        <v>44</v>
      </c>
      <c r="D31" s="35"/>
      <c r="E31" s="44" t="str">
        <f t="shared" si="2"/>
        <v/>
      </c>
      <c r="F31" s="44" t="str">
        <f t="shared" si="3"/>
        <v/>
      </c>
      <c r="H31" s="63">
        <v>14</v>
      </c>
      <c r="I31" s="90" t="s">
        <v>117</v>
      </c>
      <c r="J31" s="63" t="s">
        <v>45</v>
      </c>
      <c r="K31" s="35"/>
      <c r="L31" s="44" t="str">
        <f t="shared" si="4"/>
        <v/>
      </c>
      <c r="M31" s="44" t="str">
        <f t="shared" si="5"/>
        <v/>
      </c>
    </row>
    <row r="32" spans="1:13" x14ac:dyDescent="0.25">
      <c r="A32" s="63">
        <v>15</v>
      </c>
      <c r="B32" s="90" t="s">
        <v>117</v>
      </c>
      <c r="C32" s="63" t="s">
        <v>44</v>
      </c>
      <c r="D32" s="35"/>
      <c r="E32" s="44" t="str">
        <f t="shared" si="2"/>
        <v/>
      </c>
      <c r="F32" s="44" t="str">
        <f t="shared" si="3"/>
        <v/>
      </c>
      <c r="H32" s="63">
        <v>15</v>
      </c>
      <c r="I32" s="90" t="s">
        <v>117</v>
      </c>
      <c r="J32" s="63" t="s">
        <v>45</v>
      </c>
      <c r="K32" s="35"/>
      <c r="L32" s="44" t="str">
        <f t="shared" si="4"/>
        <v/>
      </c>
      <c r="M32" s="44" t="str">
        <f t="shared" si="5"/>
        <v/>
      </c>
    </row>
    <row r="33" spans="1:13" x14ac:dyDescent="0.25">
      <c r="A33" s="63">
        <v>16</v>
      </c>
      <c r="B33" s="90" t="s">
        <v>117</v>
      </c>
      <c r="C33" s="63" t="s">
        <v>44</v>
      </c>
      <c r="D33" s="35"/>
      <c r="E33" s="44" t="str">
        <f t="shared" si="2"/>
        <v/>
      </c>
      <c r="F33" s="44" t="str">
        <f t="shared" si="3"/>
        <v/>
      </c>
      <c r="H33" s="63">
        <v>16</v>
      </c>
      <c r="I33" s="90" t="s">
        <v>117</v>
      </c>
      <c r="J33" s="63" t="s">
        <v>45</v>
      </c>
      <c r="K33" s="35"/>
      <c r="L33" s="44" t="str">
        <f t="shared" si="4"/>
        <v/>
      </c>
      <c r="M33" s="44" t="str">
        <f t="shared" si="5"/>
        <v/>
      </c>
    </row>
    <row r="34" spans="1:13" x14ac:dyDescent="0.25">
      <c r="A34" s="63">
        <v>17</v>
      </c>
      <c r="B34" s="90" t="s">
        <v>117</v>
      </c>
      <c r="C34" s="63" t="s">
        <v>44</v>
      </c>
      <c r="D34" s="35"/>
      <c r="E34" s="44" t="str">
        <f t="shared" si="2"/>
        <v/>
      </c>
      <c r="F34" s="44" t="str">
        <f t="shared" si="3"/>
        <v/>
      </c>
      <c r="H34" s="63">
        <v>17</v>
      </c>
      <c r="I34" s="90" t="s">
        <v>117</v>
      </c>
      <c r="J34" s="63" t="s">
        <v>45</v>
      </c>
      <c r="K34" s="35"/>
      <c r="L34" s="44" t="str">
        <f t="shared" si="4"/>
        <v/>
      </c>
      <c r="M34" s="44" t="str">
        <f t="shared" si="5"/>
        <v/>
      </c>
    </row>
    <row r="35" spans="1:13" x14ac:dyDescent="0.25">
      <c r="A35" s="63">
        <v>18</v>
      </c>
      <c r="B35" s="90" t="s">
        <v>117</v>
      </c>
      <c r="C35" s="63" t="s">
        <v>44</v>
      </c>
      <c r="D35" s="35"/>
      <c r="E35" s="44" t="str">
        <f t="shared" si="2"/>
        <v/>
      </c>
      <c r="F35" s="44" t="str">
        <f t="shared" si="3"/>
        <v/>
      </c>
      <c r="H35" s="63">
        <v>18</v>
      </c>
      <c r="I35" s="90" t="s">
        <v>117</v>
      </c>
      <c r="J35" s="63" t="s">
        <v>45</v>
      </c>
      <c r="K35" s="35"/>
      <c r="L35" s="44" t="str">
        <f t="shared" si="4"/>
        <v/>
      </c>
      <c r="M35" s="44" t="str">
        <f t="shared" si="5"/>
        <v/>
      </c>
    </row>
    <row r="36" spans="1:13" x14ac:dyDescent="0.25">
      <c r="A36" s="63">
        <v>19</v>
      </c>
      <c r="B36" s="90" t="s">
        <v>117</v>
      </c>
      <c r="C36" s="63" t="s">
        <v>44</v>
      </c>
      <c r="D36" s="35"/>
      <c r="E36" s="44" t="str">
        <f t="shared" si="2"/>
        <v/>
      </c>
      <c r="F36" s="44" t="str">
        <f t="shared" si="3"/>
        <v/>
      </c>
      <c r="H36" s="63">
        <v>19</v>
      </c>
      <c r="I36" s="90" t="s">
        <v>117</v>
      </c>
      <c r="J36" s="63" t="s">
        <v>45</v>
      </c>
      <c r="K36" s="35"/>
      <c r="L36" s="44" t="str">
        <f t="shared" si="4"/>
        <v/>
      </c>
      <c r="M36" s="44" t="str">
        <f t="shared" si="5"/>
        <v/>
      </c>
    </row>
    <row r="37" spans="1:13" x14ac:dyDescent="0.25">
      <c r="A37" s="63">
        <v>20</v>
      </c>
      <c r="B37" s="90" t="s">
        <v>117</v>
      </c>
      <c r="C37" s="63" t="s">
        <v>44</v>
      </c>
      <c r="D37" s="35"/>
      <c r="E37" s="44" t="str">
        <f t="shared" si="2"/>
        <v/>
      </c>
      <c r="F37" s="44" t="str">
        <f t="shared" si="3"/>
        <v/>
      </c>
      <c r="H37" s="63">
        <v>20</v>
      </c>
      <c r="I37" s="90" t="s">
        <v>117</v>
      </c>
      <c r="J37" s="63" t="s">
        <v>45</v>
      </c>
      <c r="K37" s="35"/>
      <c r="L37" s="44" t="str">
        <f t="shared" si="4"/>
        <v/>
      </c>
      <c r="M37" s="44" t="str">
        <f t="shared" si="5"/>
        <v/>
      </c>
    </row>
    <row r="38" spans="1:13" x14ac:dyDescent="0.25">
      <c r="A38" s="38" t="s">
        <v>11</v>
      </c>
      <c r="B38" s="54"/>
      <c r="C38" s="54"/>
      <c r="D38" s="38"/>
      <c r="E38" s="38"/>
      <c r="F38" s="38"/>
      <c r="H38" s="38" t="s">
        <v>217</v>
      </c>
      <c r="I38" s="54"/>
      <c r="J38" s="54"/>
      <c r="K38" s="38"/>
      <c r="L38" s="38"/>
      <c r="M38" s="38"/>
    </row>
    <row r="39" spans="1:13" ht="23.25" x14ac:dyDescent="0.25">
      <c r="A39" s="39" t="s">
        <v>104</v>
      </c>
      <c r="B39" s="39" t="s">
        <v>55</v>
      </c>
      <c r="C39" s="39" t="s">
        <v>56</v>
      </c>
      <c r="D39" s="55" t="s">
        <v>8</v>
      </c>
      <c r="E39" s="39" t="s">
        <v>2</v>
      </c>
      <c r="F39" s="39" t="s">
        <v>1</v>
      </c>
      <c r="H39" s="39" t="s">
        <v>104</v>
      </c>
      <c r="I39" s="39" t="s">
        <v>55</v>
      </c>
      <c r="J39" s="39" t="s">
        <v>56</v>
      </c>
      <c r="K39" s="55" t="s">
        <v>8</v>
      </c>
      <c r="L39" s="39" t="s">
        <v>2</v>
      </c>
      <c r="M39" s="39" t="s">
        <v>1</v>
      </c>
    </row>
    <row r="40" spans="1:13" x14ac:dyDescent="0.25">
      <c r="A40" s="63">
        <v>1</v>
      </c>
      <c r="B40" s="90" t="s">
        <v>117</v>
      </c>
      <c r="C40" s="63" t="s">
        <v>47</v>
      </c>
      <c r="D40" s="35"/>
      <c r="E40" s="44" t="str">
        <f t="shared" ref="E40:E59" si="6">IF(D40&gt;0,VLOOKUP(D40,Jumpers,3),"")</f>
        <v/>
      </c>
      <c r="F40" s="44" t="str">
        <f t="shared" ref="F40:F59" si="7">IF(D40&gt;0,VLOOKUP(D40,Jumpers,2),"")</f>
        <v/>
      </c>
      <c r="H40" s="63">
        <v>1</v>
      </c>
      <c r="I40" s="90" t="s">
        <v>117</v>
      </c>
      <c r="J40" s="90" t="s">
        <v>214</v>
      </c>
      <c r="K40" s="35"/>
      <c r="L40" s="44" t="str">
        <f t="shared" ref="L40:L59" si="8">IF(K40&gt;0,VLOOKUP(K40,Jumpers,3),"")</f>
        <v/>
      </c>
      <c r="M40" s="44" t="str">
        <f t="shared" ref="M40:M59" si="9">IF(K40&gt;0,VLOOKUP(K40,Jumpers,2),"")</f>
        <v/>
      </c>
    </row>
    <row r="41" spans="1:13" x14ac:dyDescent="0.25">
      <c r="A41" s="63">
        <v>2</v>
      </c>
      <c r="B41" s="90" t="s">
        <v>117</v>
      </c>
      <c r="C41" s="63" t="s">
        <v>47</v>
      </c>
      <c r="D41" s="35"/>
      <c r="E41" s="44" t="str">
        <f t="shared" si="6"/>
        <v/>
      </c>
      <c r="F41" s="44" t="str">
        <f t="shared" si="7"/>
        <v/>
      </c>
      <c r="H41" s="63">
        <v>2</v>
      </c>
      <c r="I41" s="90" t="s">
        <v>117</v>
      </c>
      <c r="J41" s="90" t="s">
        <v>214</v>
      </c>
      <c r="K41" s="35"/>
      <c r="L41" s="44" t="str">
        <f t="shared" si="8"/>
        <v/>
      </c>
      <c r="M41" s="44" t="str">
        <f t="shared" si="9"/>
        <v/>
      </c>
    </row>
    <row r="42" spans="1:13" x14ac:dyDescent="0.25">
      <c r="A42" s="63">
        <v>3</v>
      </c>
      <c r="B42" s="90" t="s">
        <v>117</v>
      </c>
      <c r="C42" s="63" t="s">
        <v>47</v>
      </c>
      <c r="D42" s="35"/>
      <c r="E42" s="44" t="str">
        <f t="shared" si="6"/>
        <v/>
      </c>
      <c r="F42" s="44" t="str">
        <f t="shared" si="7"/>
        <v/>
      </c>
      <c r="H42" s="63">
        <v>3</v>
      </c>
      <c r="I42" s="90" t="s">
        <v>117</v>
      </c>
      <c r="J42" s="90" t="s">
        <v>214</v>
      </c>
      <c r="K42" s="35"/>
      <c r="L42" s="44" t="str">
        <f t="shared" si="8"/>
        <v/>
      </c>
      <c r="M42" s="44" t="str">
        <f t="shared" si="9"/>
        <v/>
      </c>
    </row>
    <row r="43" spans="1:13" x14ac:dyDescent="0.25">
      <c r="A43" s="63">
        <v>4</v>
      </c>
      <c r="B43" s="90" t="s">
        <v>117</v>
      </c>
      <c r="C43" s="63" t="s">
        <v>47</v>
      </c>
      <c r="D43" s="35"/>
      <c r="E43" s="44" t="str">
        <f t="shared" si="6"/>
        <v/>
      </c>
      <c r="F43" s="44" t="str">
        <f t="shared" si="7"/>
        <v/>
      </c>
      <c r="H43" s="63">
        <v>4</v>
      </c>
      <c r="I43" s="90" t="s">
        <v>117</v>
      </c>
      <c r="J43" s="90" t="s">
        <v>214</v>
      </c>
      <c r="K43" s="35"/>
      <c r="L43" s="44" t="str">
        <f t="shared" si="8"/>
        <v/>
      </c>
      <c r="M43" s="44" t="str">
        <f t="shared" si="9"/>
        <v/>
      </c>
    </row>
    <row r="44" spans="1:13" x14ac:dyDescent="0.25">
      <c r="A44" s="63">
        <v>5</v>
      </c>
      <c r="B44" s="90" t="s">
        <v>117</v>
      </c>
      <c r="C44" s="63" t="s">
        <v>47</v>
      </c>
      <c r="D44" s="35"/>
      <c r="E44" s="44" t="str">
        <f t="shared" si="6"/>
        <v/>
      </c>
      <c r="F44" s="44" t="str">
        <f t="shared" si="7"/>
        <v/>
      </c>
      <c r="H44" s="63">
        <v>5</v>
      </c>
      <c r="I44" s="90" t="s">
        <v>117</v>
      </c>
      <c r="J44" s="90" t="s">
        <v>214</v>
      </c>
      <c r="K44" s="35"/>
      <c r="L44" s="44" t="str">
        <f t="shared" si="8"/>
        <v/>
      </c>
      <c r="M44" s="44" t="str">
        <f t="shared" si="9"/>
        <v/>
      </c>
    </row>
    <row r="45" spans="1:13" x14ac:dyDescent="0.25">
      <c r="A45" s="63">
        <v>6</v>
      </c>
      <c r="B45" s="90" t="s">
        <v>117</v>
      </c>
      <c r="C45" s="63" t="s">
        <v>47</v>
      </c>
      <c r="D45" s="35"/>
      <c r="E45" s="44" t="str">
        <f t="shared" si="6"/>
        <v/>
      </c>
      <c r="F45" s="44" t="str">
        <f t="shared" si="7"/>
        <v/>
      </c>
      <c r="H45" s="63">
        <v>6</v>
      </c>
      <c r="I45" s="90" t="s">
        <v>117</v>
      </c>
      <c r="J45" s="90" t="s">
        <v>214</v>
      </c>
      <c r="K45" s="35"/>
      <c r="L45" s="44" t="str">
        <f t="shared" si="8"/>
        <v/>
      </c>
      <c r="M45" s="44" t="str">
        <f t="shared" si="9"/>
        <v/>
      </c>
    </row>
    <row r="46" spans="1:13" x14ac:dyDescent="0.25">
      <c r="A46" s="63">
        <v>7</v>
      </c>
      <c r="B46" s="90" t="s">
        <v>117</v>
      </c>
      <c r="C46" s="63" t="s">
        <v>47</v>
      </c>
      <c r="D46" s="35"/>
      <c r="E46" s="44" t="str">
        <f t="shared" si="6"/>
        <v/>
      </c>
      <c r="F46" s="44" t="str">
        <f t="shared" si="7"/>
        <v/>
      </c>
      <c r="H46" s="63">
        <v>7</v>
      </c>
      <c r="I46" s="90" t="s">
        <v>117</v>
      </c>
      <c r="J46" s="90" t="s">
        <v>214</v>
      </c>
      <c r="K46" s="35"/>
      <c r="L46" s="44" t="str">
        <f t="shared" si="8"/>
        <v/>
      </c>
      <c r="M46" s="44" t="str">
        <f t="shared" si="9"/>
        <v/>
      </c>
    </row>
    <row r="47" spans="1:13" x14ac:dyDescent="0.25">
      <c r="A47" s="63">
        <v>8</v>
      </c>
      <c r="B47" s="90" t="s">
        <v>117</v>
      </c>
      <c r="C47" s="63" t="s">
        <v>47</v>
      </c>
      <c r="D47" s="35"/>
      <c r="E47" s="44" t="str">
        <f t="shared" si="6"/>
        <v/>
      </c>
      <c r="F47" s="44" t="str">
        <f t="shared" si="7"/>
        <v/>
      </c>
      <c r="H47" s="63">
        <v>8</v>
      </c>
      <c r="I47" s="90" t="s">
        <v>117</v>
      </c>
      <c r="J47" s="90" t="s">
        <v>214</v>
      </c>
      <c r="K47" s="35"/>
      <c r="L47" s="44" t="str">
        <f t="shared" si="8"/>
        <v/>
      </c>
      <c r="M47" s="44" t="str">
        <f t="shared" si="9"/>
        <v/>
      </c>
    </row>
    <row r="48" spans="1:13" x14ac:dyDescent="0.25">
      <c r="A48" s="63">
        <v>9</v>
      </c>
      <c r="B48" s="90" t="s">
        <v>117</v>
      </c>
      <c r="C48" s="63" t="s">
        <v>47</v>
      </c>
      <c r="D48" s="35"/>
      <c r="E48" s="44" t="str">
        <f t="shared" si="6"/>
        <v/>
      </c>
      <c r="F48" s="44" t="str">
        <f t="shared" si="7"/>
        <v/>
      </c>
      <c r="H48" s="63">
        <v>9</v>
      </c>
      <c r="I48" s="90" t="s">
        <v>117</v>
      </c>
      <c r="J48" s="90" t="s">
        <v>214</v>
      </c>
      <c r="K48" s="35"/>
      <c r="L48" s="44" t="str">
        <f t="shared" si="8"/>
        <v/>
      </c>
      <c r="M48" s="44" t="str">
        <f t="shared" si="9"/>
        <v/>
      </c>
    </row>
    <row r="49" spans="1:13" x14ac:dyDescent="0.25">
      <c r="A49" s="63">
        <v>10</v>
      </c>
      <c r="B49" s="90" t="s">
        <v>117</v>
      </c>
      <c r="C49" s="63" t="s">
        <v>47</v>
      </c>
      <c r="D49" s="35"/>
      <c r="E49" s="44" t="str">
        <f t="shared" si="6"/>
        <v/>
      </c>
      <c r="F49" s="44" t="str">
        <f t="shared" si="7"/>
        <v/>
      </c>
      <c r="H49" s="63">
        <v>10</v>
      </c>
      <c r="I49" s="90" t="s">
        <v>117</v>
      </c>
      <c r="J49" s="90" t="s">
        <v>214</v>
      </c>
      <c r="K49" s="35"/>
      <c r="L49" s="44" t="str">
        <f t="shared" si="8"/>
        <v/>
      </c>
      <c r="M49" s="44" t="str">
        <f t="shared" si="9"/>
        <v/>
      </c>
    </row>
    <row r="50" spans="1:13" x14ac:dyDescent="0.25">
      <c r="A50" s="63">
        <v>11</v>
      </c>
      <c r="B50" s="90" t="s">
        <v>117</v>
      </c>
      <c r="C50" s="63" t="s">
        <v>47</v>
      </c>
      <c r="D50" s="35"/>
      <c r="E50" s="44" t="str">
        <f t="shared" si="6"/>
        <v/>
      </c>
      <c r="F50" s="44" t="str">
        <f t="shared" si="7"/>
        <v/>
      </c>
      <c r="H50" s="63">
        <v>11</v>
      </c>
      <c r="I50" s="90" t="s">
        <v>117</v>
      </c>
      <c r="J50" s="90" t="s">
        <v>214</v>
      </c>
      <c r="K50" s="35"/>
      <c r="L50" s="44" t="str">
        <f t="shared" si="8"/>
        <v/>
      </c>
      <c r="M50" s="44" t="str">
        <f t="shared" si="9"/>
        <v/>
      </c>
    </row>
    <row r="51" spans="1:13" x14ac:dyDescent="0.25">
      <c r="A51" s="63">
        <v>12</v>
      </c>
      <c r="B51" s="90" t="s">
        <v>117</v>
      </c>
      <c r="C51" s="63" t="s">
        <v>47</v>
      </c>
      <c r="D51" s="35"/>
      <c r="E51" s="44" t="str">
        <f t="shared" si="6"/>
        <v/>
      </c>
      <c r="F51" s="44" t="str">
        <f t="shared" si="7"/>
        <v/>
      </c>
      <c r="H51" s="63">
        <v>12</v>
      </c>
      <c r="I51" s="90" t="s">
        <v>117</v>
      </c>
      <c r="J51" s="90" t="s">
        <v>214</v>
      </c>
      <c r="K51" s="35"/>
      <c r="L51" s="44" t="str">
        <f t="shared" si="8"/>
        <v/>
      </c>
      <c r="M51" s="44" t="str">
        <f t="shared" si="9"/>
        <v/>
      </c>
    </row>
    <row r="52" spans="1:13" x14ac:dyDescent="0.25">
      <c r="A52" s="63">
        <v>13</v>
      </c>
      <c r="B52" s="90" t="s">
        <v>117</v>
      </c>
      <c r="C52" s="63" t="s">
        <v>47</v>
      </c>
      <c r="D52" s="35"/>
      <c r="E52" s="44" t="str">
        <f t="shared" si="6"/>
        <v/>
      </c>
      <c r="F52" s="44" t="str">
        <f t="shared" si="7"/>
        <v/>
      </c>
      <c r="H52" s="63">
        <v>13</v>
      </c>
      <c r="I52" s="90" t="s">
        <v>117</v>
      </c>
      <c r="J52" s="90" t="s">
        <v>214</v>
      </c>
      <c r="K52" s="35"/>
      <c r="L52" s="44" t="str">
        <f t="shared" si="8"/>
        <v/>
      </c>
      <c r="M52" s="44" t="str">
        <f t="shared" si="9"/>
        <v/>
      </c>
    </row>
    <row r="53" spans="1:13" x14ac:dyDescent="0.25">
      <c r="A53" s="63">
        <v>14</v>
      </c>
      <c r="B53" s="90" t="s">
        <v>117</v>
      </c>
      <c r="C53" s="63" t="s">
        <v>47</v>
      </c>
      <c r="D53" s="35"/>
      <c r="E53" s="44" t="str">
        <f t="shared" si="6"/>
        <v/>
      </c>
      <c r="F53" s="44" t="str">
        <f t="shared" si="7"/>
        <v/>
      </c>
      <c r="H53" s="63">
        <v>14</v>
      </c>
      <c r="I53" s="90" t="s">
        <v>117</v>
      </c>
      <c r="J53" s="90" t="s">
        <v>214</v>
      </c>
      <c r="K53" s="35"/>
      <c r="L53" s="44" t="str">
        <f t="shared" si="8"/>
        <v/>
      </c>
      <c r="M53" s="44" t="str">
        <f t="shared" si="9"/>
        <v/>
      </c>
    </row>
    <row r="54" spans="1:13" x14ac:dyDescent="0.25">
      <c r="A54" s="63">
        <v>15</v>
      </c>
      <c r="B54" s="90" t="s">
        <v>117</v>
      </c>
      <c r="C54" s="63" t="s">
        <v>47</v>
      </c>
      <c r="D54" s="35"/>
      <c r="E54" s="44" t="str">
        <f t="shared" si="6"/>
        <v/>
      </c>
      <c r="F54" s="44" t="str">
        <f t="shared" si="7"/>
        <v/>
      </c>
      <c r="H54" s="63">
        <v>15</v>
      </c>
      <c r="I54" s="90" t="s">
        <v>117</v>
      </c>
      <c r="J54" s="90" t="s">
        <v>214</v>
      </c>
      <c r="K54" s="35"/>
      <c r="L54" s="44" t="str">
        <f t="shared" si="8"/>
        <v/>
      </c>
      <c r="M54" s="44" t="str">
        <f t="shared" si="9"/>
        <v/>
      </c>
    </row>
    <row r="55" spans="1:13" x14ac:dyDescent="0.25">
      <c r="A55" s="63">
        <v>16</v>
      </c>
      <c r="B55" s="90" t="s">
        <v>117</v>
      </c>
      <c r="C55" s="63" t="s">
        <v>47</v>
      </c>
      <c r="D55" s="35"/>
      <c r="E55" s="44" t="str">
        <f t="shared" si="6"/>
        <v/>
      </c>
      <c r="F55" s="44" t="str">
        <f t="shared" si="7"/>
        <v/>
      </c>
      <c r="H55" s="63">
        <v>16</v>
      </c>
      <c r="I55" s="90" t="s">
        <v>117</v>
      </c>
      <c r="J55" s="90" t="s">
        <v>214</v>
      </c>
      <c r="K55" s="35"/>
      <c r="L55" s="44" t="str">
        <f t="shared" si="8"/>
        <v/>
      </c>
      <c r="M55" s="44" t="str">
        <f t="shared" si="9"/>
        <v/>
      </c>
    </row>
    <row r="56" spans="1:13" x14ac:dyDescent="0.25">
      <c r="A56" s="63">
        <v>17</v>
      </c>
      <c r="B56" s="90" t="s">
        <v>117</v>
      </c>
      <c r="C56" s="63" t="s">
        <v>47</v>
      </c>
      <c r="D56" s="35"/>
      <c r="E56" s="44" t="str">
        <f t="shared" si="6"/>
        <v/>
      </c>
      <c r="F56" s="44" t="str">
        <f t="shared" si="7"/>
        <v/>
      </c>
      <c r="H56" s="63">
        <v>17</v>
      </c>
      <c r="I56" s="90" t="s">
        <v>117</v>
      </c>
      <c r="J56" s="90" t="s">
        <v>214</v>
      </c>
      <c r="K56" s="35"/>
      <c r="L56" s="44" t="str">
        <f t="shared" si="8"/>
        <v/>
      </c>
      <c r="M56" s="44" t="str">
        <f t="shared" si="9"/>
        <v/>
      </c>
    </row>
    <row r="57" spans="1:13" x14ac:dyDescent="0.25">
      <c r="A57" s="63">
        <v>18</v>
      </c>
      <c r="B57" s="90" t="s">
        <v>117</v>
      </c>
      <c r="C57" s="63" t="s">
        <v>47</v>
      </c>
      <c r="D57" s="35"/>
      <c r="E57" s="44" t="str">
        <f t="shared" si="6"/>
        <v/>
      </c>
      <c r="F57" s="44" t="str">
        <f t="shared" si="7"/>
        <v/>
      </c>
      <c r="H57" s="63">
        <v>18</v>
      </c>
      <c r="I57" s="90" t="s">
        <v>117</v>
      </c>
      <c r="J57" s="90" t="s">
        <v>214</v>
      </c>
      <c r="K57" s="35"/>
      <c r="L57" s="44" t="str">
        <f t="shared" si="8"/>
        <v/>
      </c>
      <c r="M57" s="44" t="str">
        <f t="shared" si="9"/>
        <v/>
      </c>
    </row>
    <row r="58" spans="1:13" x14ac:dyDescent="0.25">
      <c r="A58" s="63">
        <v>19</v>
      </c>
      <c r="B58" s="90" t="s">
        <v>117</v>
      </c>
      <c r="C58" s="63" t="s">
        <v>47</v>
      </c>
      <c r="D58" s="35"/>
      <c r="E58" s="44" t="str">
        <f t="shared" si="6"/>
        <v/>
      </c>
      <c r="F58" s="44" t="str">
        <f t="shared" si="7"/>
        <v/>
      </c>
      <c r="H58" s="63">
        <v>19</v>
      </c>
      <c r="I58" s="90" t="s">
        <v>117</v>
      </c>
      <c r="J58" s="90" t="s">
        <v>214</v>
      </c>
      <c r="K58" s="35"/>
      <c r="L58" s="44" t="str">
        <f t="shared" si="8"/>
        <v/>
      </c>
      <c r="M58" s="44" t="str">
        <f t="shared" si="9"/>
        <v/>
      </c>
    </row>
    <row r="59" spans="1:13" x14ac:dyDescent="0.25">
      <c r="A59" s="63">
        <v>20</v>
      </c>
      <c r="B59" s="90" t="s">
        <v>117</v>
      </c>
      <c r="C59" s="63" t="s">
        <v>47</v>
      </c>
      <c r="D59" s="35"/>
      <c r="E59" s="44" t="str">
        <f t="shared" si="6"/>
        <v/>
      </c>
      <c r="F59" s="44" t="str">
        <f t="shared" si="7"/>
        <v/>
      </c>
      <c r="H59" s="63">
        <v>20</v>
      </c>
      <c r="I59" s="90" t="s">
        <v>117</v>
      </c>
      <c r="J59" s="90" t="s">
        <v>214</v>
      </c>
      <c r="K59" s="35"/>
      <c r="L59" s="44" t="str">
        <f t="shared" si="8"/>
        <v/>
      </c>
      <c r="M59" s="44" t="str">
        <f t="shared" si="9"/>
        <v/>
      </c>
    </row>
    <row r="60" spans="1:13" x14ac:dyDescent="0.25">
      <c r="A60" s="38" t="s">
        <v>219</v>
      </c>
      <c r="B60" s="54"/>
      <c r="C60" s="54"/>
      <c r="D60" s="38"/>
      <c r="E60" s="38"/>
      <c r="F60" s="38"/>
      <c r="H60" s="38" t="s">
        <v>218</v>
      </c>
      <c r="I60" s="54"/>
      <c r="J60" s="54"/>
      <c r="K60" s="38"/>
      <c r="L60" s="38"/>
      <c r="M60" s="38"/>
    </row>
    <row r="61" spans="1:13" ht="23.25" x14ac:dyDescent="0.25">
      <c r="A61" s="39" t="s">
        <v>104</v>
      </c>
      <c r="B61" s="39" t="s">
        <v>55</v>
      </c>
      <c r="C61" s="39" t="s">
        <v>56</v>
      </c>
      <c r="D61" s="55" t="s">
        <v>8</v>
      </c>
      <c r="E61" s="39" t="s">
        <v>2</v>
      </c>
      <c r="F61" s="39" t="s">
        <v>1</v>
      </c>
      <c r="H61" s="39" t="s">
        <v>104</v>
      </c>
      <c r="I61" s="39" t="s">
        <v>55</v>
      </c>
      <c r="J61" s="39" t="s">
        <v>56</v>
      </c>
      <c r="K61" s="55" t="s">
        <v>8</v>
      </c>
      <c r="L61" s="39" t="s">
        <v>2</v>
      </c>
      <c r="M61" s="39" t="s">
        <v>1</v>
      </c>
    </row>
    <row r="62" spans="1:13" x14ac:dyDescent="0.25">
      <c r="A62" s="52">
        <v>1</v>
      </c>
      <c r="B62" s="90" t="s">
        <v>117</v>
      </c>
      <c r="C62" s="90" t="s">
        <v>215</v>
      </c>
      <c r="D62" s="35"/>
      <c r="E62" s="44" t="str">
        <f t="shared" ref="E62:E71" si="10">IF(D62&gt;0,VLOOKUP(D62,Jumpers,3),"")</f>
        <v/>
      </c>
      <c r="F62" s="44" t="str">
        <f t="shared" ref="F62:F71" si="11">IF(D62&gt;0,VLOOKUP(D62,Jumpers,2),"")</f>
        <v/>
      </c>
      <c r="H62" s="52">
        <v>1</v>
      </c>
      <c r="I62" s="90" t="s">
        <v>117</v>
      </c>
      <c r="J62" s="90" t="s">
        <v>216</v>
      </c>
      <c r="K62" s="35"/>
      <c r="L62" s="44" t="str">
        <f t="shared" ref="L62:L71" si="12">IF(K62&gt;0,VLOOKUP(K62,Jumpers,3),"")</f>
        <v/>
      </c>
      <c r="M62" s="44" t="str">
        <f t="shared" ref="M62:M71" si="13">IF(K62&gt;0,VLOOKUP(K62,Jumpers,2),"")</f>
        <v/>
      </c>
    </row>
    <row r="63" spans="1:13" x14ac:dyDescent="0.25">
      <c r="A63" s="52">
        <v>2</v>
      </c>
      <c r="B63" s="90" t="s">
        <v>117</v>
      </c>
      <c r="C63" s="90" t="s">
        <v>215</v>
      </c>
      <c r="D63" s="35"/>
      <c r="E63" s="44" t="str">
        <f t="shared" si="10"/>
        <v/>
      </c>
      <c r="F63" s="44" t="str">
        <f t="shared" si="11"/>
        <v/>
      </c>
      <c r="H63" s="52">
        <v>2</v>
      </c>
      <c r="I63" s="90" t="s">
        <v>117</v>
      </c>
      <c r="J63" s="90" t="s">
        <v>216</v>
      </c>
      <c r="K63" s="35"/>
      <c r="L63" s="44" t="str">
        <f t="shared" si="12"/>
        <v/>
      </c>
      <c r="M63" s="44" t="str">
        <f t="shared" si="13"/>
        <v/>
      </c>
    </row>
    <row r="64" spans="1:13" x14ac:dyDescent="0.25">
      <c r="A64" s="52">
        <v>3</v>
      </c>
      <c r="B64" s="90" t="s">
        <v>117</v>
      </c>
      <c r="C64" s="90" t="s">
        <v>215</v>
      </c>
      <c r="D64" s="35"/>
      <c r="E64" s="44" t="str">
        <f t="shared" si="10"/>
        <v/>
      </c>
      <c r="F64" s="44" t="str">
        <f t="shared" si="11"/>
        <v/>
      </c>
      <c r="H64" s="52">
        <v>3</v>
      </c>
      <c r="I64" s="90" t="s">
        <v>117</v>
      </c>
      <c r="J64" s="90" t="s">
        <v>216</v>
      </c>
      <c r="K64" s="35"/>
      <c r="L64" s="44" t="str">
        <f t="shared" si="12"/>
        <v/>
      </c>
      <c r="M64" s="44" t="str">
        <f t="shared" si="13"/>
        <v/>
      </c>
    </row>
    <row r="65" spans="1:13" x14ac:dyDescent="0.25">
      <c r="A65" s="52">
        <v>4</v>
      </c>
      <c r="B65" s="90" t="s">
        <v>117</v>
      </c>
      <c r="C65" s="90" t="s">
        <v>215</v>
      </c>
      <c r="D65" s="35"/>
      <c r="E65" s="44" t="str">
        <f t="shared" si="10"/>
        <v/>
      </c>
      <c r="F65" s="44" t="str">
        <f t="shared" si="11"/>
        <v/>
      </c>
      <c r="H65" s="52">
        <v>4</v>
      </c>
      <c r="I65" s="90" t="s">
        <v>117</v>
      </c>
      <c r="J65" s="90" t="s">
        <v>216</v>
      </c>
      <c r="K65" s="35"/>
      <c r="L65" s="44" t="str">
        <f t="shared" si="12"/>
        <v/>
      </c>
      <c r="M65" s="44" t="str">
        <f t="shared" si="13"/>
        <v/>
      </c>
    </row>
    <row r="66" spans="1:13" x14ac:dyDescent="0.25">
      <c r="A66" s="52">
        <v>5</v>
      </c>
      <c r="B66" s="90" t="s">
        <v>117</v>
      </c>
      <c r="C66" s="90" t="s">
        <v>215</v>
      </c>
      <c r="D66" s="35"/>
      <c r="E66" s="44" t="str">
        <f t="shared" si="10"/>
        <v/>
      </c>
      <c r="F66" s="44" t="str">
        <f t="shared" si="11"/>
        <v/>
      </c>
      <c r="H66" s="52">
        <v>5</v>
      </c>
      <c r="I66" s="90" t="s">
        <v>117</v>
      </c>
      <c r="J66" s="90" t="s">
        <v>216</v>
      </c>
      <c r="K66" s="35"/>
      <c r="L66" s="44" t="str">
        <f t="shared" si="12"/>
        <v/>
      </c>
      <c r="M66" s="44" t="str">
        <f t="shared" si="13"/>
        <v/>
      </c>
    </row>
    <row r="67" spans="1:13" x14ac:dyDescent="0.25">
      <c r="A67" s="52">
        <v>6</v>
      </c>
      <c r="B67" s="90" t="s">
        <v>117</v>
      </c>
      <c r="C67" s="90" t="s">
        <v>215</v>
      </c>
      <c r="D67" s="35"/>
      <c r="E67" s="44" t="str">
        <f t="shared" si="10"/>
        <v/>
      </c>
      <c r="F67" s="44" t="str">
        <f t="shared" si="11"/>
        <v/>
      </c>
      <c r="H67" s="52">
        <v>6</v>
      </c>
      <c r="I67" s="90" t="s">
        <v>117</v>
      </c>
      <c r="J67" s="90" t="s">
        <v>216</v>
      </c>
      <c r="K67" s="35"/>
      <c r="L67" s="44" t="str">
        <f t="shared" si="12"/>
        <v/>
      </c>
      <c r="M67" s="44" t="str">
        <f t="shared" si="13"/>
        <v/>
      </c>
    </row>
    <row r="68" spans="1:13" x14ac:dyDescent="0.25">
      <c r="A68" s="52">
        <v>7</v>
      </c>
      <c r="B68" s="90" t="s">
        <v>117</v>
      </c>
      <c r="C68" s="90" t="s">
        <v>215</v>
      </c>
      <c r="D68" s="35"/>
      <c r="E68" s="44" t="str">
        <f t="shared" si="10"/>
        <v/>
      </c>
      <c r="F68" s="44" t="str">
        <f t="shared" si="11"/>
        <v/>
      </c>
      <c r="H68" s="52">
        <v>7</v>
      </c>
      <c r="I68" s="90" t="s">
        <v>117</v>
      </c>
      <c r="J68" s="90" t="s">
        <v>216</v>
      </c>
      <c r="K68" s="35"/>
      <c r="L68" s="44" t="str">
        <f t="shared" si="12"/>
        <v/>
      </c>
      <c r="M68" s="44" t="str">
        <f t="shared" si="13"/>
        <v/>
      </c>
    </row>
    <row r="69" spans="1:13" x14ac:dyDescent="0.25">
      <c r="A69" s="52">
        <v>8</v>
      </c>
      <c r="B69" s="90" t="s">
        <v>117</v>
      </c>
      <c r="C69" s="90" t="s">
        <v>215</v>
      </c>
      <c r="D69" s="141"/>
      <c r="E69" s="152"/>
      <c r="F69" s="152"/>
      <c r="H69" s="52">
        <v>8</v>
      </c>
      <c r="I69" s="90" t="s">
        <v>117</v>
      </c>
      <c r="J69" s="90" t="s">
        <v>216</v>
      </c>
      <c r="K69" s="141"/>
      <c r="L69" s="152"/>
      <c r="M69" s="152"/>
    </row>
    <row r="70" spans="1:13" x14ac:dyDescent="0.25">
      <c r="A70" s="52">
        <v>9</v>
      </c>
      <c r="B70" s="90" t="s">
        <v>117</v>
      </c>
      <c r="C70" s="90" t="s">
        <v>215</v>
      </c>
      <c r="D70" s="141"/>
      <c r="E70" s="152"/>
      <c r="F70" s="152"/>
      <c r="H70" s="52">
        <v>9</v>
      </c>
      <c r="I70" s="90" t="s">
        <v>117</v>
      </c>
      <c r="J70" s="90" t="s">
        <v>216</v>
      </c>
      <c r="K70" s="141"/>
      <c r="L70" s="152"/>
      <c r="M70" s="152"/>
    </row>
    <row r="71" spans="1:13" x14ac:dyDescent="0.25">
      <c r="A71" s="52">
        <v>10</v>
      </c>
      <c r="B71" s="90" t="s">
        <v>117</v>
      </c>
      <c r="C71" s="90" t="s">
        <v>215</v>
      </c>
      <c r="D71" s="35"/>
      <c r="E71" s="44" t="str">
        <f t="shared" si="10"/>
        <v/>
      </c>
      <c r="F71" s="44" t="str">
        <f t="shared" si="11"/>
        <v/>
      </c>
      <c r="H71" s="52">
        <v>10</v>
      </c>
      <c r="I71" s="90" t="s">
        <v>117</v>
      </c>
      <c r="J71" s="90" t="s">
        <v>216</v>
      </c>
      <c r="K71" s="35"/>
      <c r="L71" s="44" t="str">
        <f t="shared" si="12"/>
        <v/>
      </c>
      <c r="M71" s="44" t="str">
        <f t="shared" si="13"/>
        <v/>
      </c>
    </row>
    <row r="72" spans="1:13" x14ac:dyDescent="0.25">
      <c r="A72" s="38" t="s">
        <v>12</v>
      </c>
      <c r="B72" s="54"/>
      <c r="C72" s="54"/>
      <c r="D72" s="38"/>
      <c r="E72" s="38"/>
      <c r="F72" s="38"/>
      <c r="H72" s="38" t="s">
        <v>58</v>
      </c>
      <c r="I72" s="54"/>
      <c r="J72" s="54"/>
      <c r="K72" s="38"/>
      <c r="L72" s="38"/>
      <c r="M72" s="38"/>
    </row>
    <row r="73" spans="1:13" ht="23.25" x14ac:dyDescent="0.25">
      <c r="A73" s="39" t="s">
        <v>104</v>
      </c>
      <c r="B73" s="39" t="s">
        <v>55</v>
      </c>
      <c r="C73" s="39" t="s">
        <v>56</v>
      </c>
      <c r="D73" s="55" t="s">
        <v>8</v>
      </c>
      <c r="E73" s="39" t="s">
        <v>2</v>
      </c>
      <c r="F73" s="39" t="s">
        <v>1</v>
      </c>
      <c r="H73" s="39" t="s">
        <v>104</v>
      </c>
      <c r="I73" s="39" t="s">
        <v>55</v>
      </c>
      <c r="J73" s="39" t="s">
        <v>56</v>
      </c>
      <c r="K73" s="55" t="s">
        <v>8</v>
      </c>
      <c r="L73" s="39" t="s">
        <v>2</v>
      </c>
      <c r="M73" s="39" t="s">
        <v>1</v>
      </c>
    </row>
    <row r="74" spans="1:13" x14ac:dyDescent="0.25">
      <c r="A74" s="52">
        <v>1</v>
      </c>
      <c r="B74" s="90" t="s">
        <v>117</v>
      </c>
      <c r="C74" s="90" t="s">
        <v>50</v>
      </c>
      <c r="D74" s="35"/>
      <c r="E74" s="44" t="str">
        <f>IF(D74&gt;0,VLOOKUP(D74,Jumpers,3),"")</f>
        <v/>
      </c>
      <c r="F74" s="44" t="str">
        <f>IF(D74&gt;0,VLOOKUP(D74,Jumpers,2),"")</f>
        <v/>
      </c>
      <c r="H74" s="52">
        <v>1</v>
      </c>
      <c r="I74" s="90" t="s">
        <v>117</v>
      </c>
      <c r="J74" s="63" t="s">
        <v>51</v>
      </c>
      <c r="K74" s="35"/>
      <c r="L74" s="44" t="str">
        <f>IF(K74&gt;0,VLOOKUP(K74,Jumpers,3),"")</f>
        <v/>
      </c>
      <c r="M74" s="44" t="str">
        <f>IF(K74&gt;0,VLOOKUP(K74,Jumpers,2),"")</f>
        <v/>
      </c>
    </row>
    <row r="75" spans="1:13" x14ac:dyDescent="0.25">
      <c r="A75" s="52">
        <v>2</v>
      </c>
      <c r="B75" s="90" t="s">
        <v>117</v>
      </c>
      <c r="C75" s="90" t="s">
        <v>50</v>
      </c>
      <c r="D75" s="35"/>
      <c r="E75" s="44" t="str">
        <f>IF(D75&gt;0,VLOOKUP(D75,Jumpers,3),"")</f>
        <v/>
      </c>
      <c r="F75" s="44" t="str">
        <f>IF(D75&gt;0,VLOOKUP(D75,Jumpers,2),"")</f>
        <v/>
      </c>
      <c r="H75" s="52">
        <v>2</v>
      </c>
      <c r="I75" s="90" t="s">
        <v>117</v>
      </c>
      <c r="J75" s="63" t="s">
        <v>51</v>
      </c>
      <c r="K75" s="35"/>
      <c r="L75" s="44" t="str">
        <f>IF(K75&gt;0,VLOOKUP(K75,Jumpers,3),"")</f>
        <v/>
      </c>
      <c r="M75" s="44" t="str">
        <f>IF(K75&gt;0,VLOOKUP(K75,Jumpers,2),"")</f>
        <v/>
      </c>
    </row>
    <row r="76" spans="1:13" x14ac:dyDescent="0.25">
      <c r="A76" s="52">
        <v>3</v>
      </c>
      <c r="B76" s="90" t="s">
        <v>117</v>
      </c>
      <c r="C76" s="90" t="s">
        <v>50</v>
      </c>
      <c r="D76" s="35"/>
      <c r="E76" s="44" t="str">
        <f>IF(D76&gt;0,VLOOKUP(D76,Jumpers,3),"")</f>
        <v/>
      </c>
      <c r="F76" s="44" t="str">
        <f>IF(D76&gt;0,VLOOKUP(D76,Jumpers,2),"")</f>
        <v/>
      </c>
      <c r="H76" s="52">
        <v>3</v>
      </c>
      <c r="I76" s="90" t="s">
        <v>117</v>
      </c>
      <c r="J76" s="63" t="s">
        <v>51</v>
      </c>
      <c r="K76" s="35"/>
      <c r="L76" s="44" t="str">
        <f>IF(K76&gt;0,VLOOKUP(K76,Jumpers,3),"")</f>
        <v/>
      </c>
      <c r="M76" s="44" t="str">
        <f>IF(K76&gt;0,VLOOKUP(K76,Jumpers,2),"")</f>
        <v/>
      </c>
    </row>
    <row r="77" spans="1:13" x14ac:dyDescent="0.25">
      <c r="A77" s="52">
        <v>4</v>
      </c>
      <c r="B77" s="90" t="s">
        <v>117</v>
      </c>
      <c r="C77" s="90" t="s">
        <v>50</v>
      </c>
      <c r="D77" s="35"/>
      <c r="E77" s="44" t="str">
        <f>IF(D77&gt;0,VLOOKUP(D77,Jumpers,3),"")</f>
        <v/>
      </c>
      <c r="F77" s="44" t="str">
        <f>IF(D77&gt;0,VLOOKUP(D77,Jumpers,2),"")</f>
        <v/>
      </c>
      <c r="H77" s="52">
        <v>4</v>
      </c>
      <c r="I77" s="90" t="s">
        <v>117</v>
      </c>
      <c r="J77" s="63" t="s">
        <v>51</v>
      </c>
      <c r="K77" s="35"/>
      <c r="L77" s="44" t="str">
        <f>IF(K77&gt;0,VLOOKUP(K77,Jumpers,3),"")</f>
        <v/>
      </c>
      <c r="M77" s="44" t="str">
        <f>IF(K77&gt;0,VLOOKUP(K77,Jumpers,2),"")</f>
        <v/>
      </c>
    </row>
    <row r="78" spans="1:13" x14ac:dyDescent="0.25">
      <c r="A78" s="52">
        <v>5</v>
      </c>
      <c r="B78" s="90" t="s">
        <v>117</v>
      </c>
      <c r="C78" s="90" t="s">
        <v>50</v>
      </c>
      <c r="D78" s="35"/>
      <c r="E78" s="44" t="str">
        <f>IF(D78&gt;0,VLOOKUP(D78,Jumpers,3),"")</f>
        <v/>
      </c>
      <c r="F78" s="44" t="str">
        <f>IF(D78&gt;0,VLOOKUP(D78,Jumpers,2),"")</f>
        <v/>
      </c>
      <c r="H78" s="52">
        <v>5</v>
      </c>
      <c r="I78" s="90" t="s">
        <v>117</v>
      </c>
      <c r="J78" s="63" t="s">
        <v>51</v>
      </c>
      <c r="K78" s="35"/>
      <c r="L78" s="44" t="str">
        <f>IF(K78&gt;0,VLOOKUP(K78,Jumpers,3),"")</f>
        <v/>
      </c>
      <c r="M78" s="44" t="str">
        <f>IF(K78&gt;0,VLOOKUP(K78,Jumpers,2),"")</f>
        <v/>
      </c>
    </row>
    <row r="79" spans="1:13" x14ac:dyDescent="0.25">
      <c r="A79" s="38" t="s">
        <v>13</v>
      </c>
      <c r="B79" s="54"/>
      <c r="C79" s="54"/>
      <c r="D79" s="38"/>
      <c r="E79" s="38"/>
      <c r="F79" s="38"/>
    </row>
    <row r="80" spans="1:13" ht="23.25" x14ac:dyDescent="0.25">
      <c r="A80" s="39" t="s">
        <v>104</v>
      </c>
      <c r="B80" s="39" t="s">
        <v>55</v>
      </c>
      <c r="C80" s="39" t="s">
        <v>56</v>
      </c>
      <c r="D80" s="55" t="s">
        <v>8</v>
      </c>
      <c r="E80" s="39" t="s">
        <v>2</v>
      </c>
      <c r="F80" s="39" t="s">
        <v>1</v>
      </c>
    </row>
    <row r="81" spans="1:6" x14ac:dyDescent="0.25">
      <c r="A81" s="52">
        <v>1</v>
      </c>
      <c r="B81" s="90" t="s">
        <v>117</v>
      </c>
      <c r="C81" s="63" t="s">
        <v>52</v>
      </c>
      <c r="D81" s="35"/>
      <c r="E81" s="44" t="str">
        <f>IF(D81&gt;0,VLOOKUP(D81,Jumpers,3),"")</f>
        <v/>
      </c>
      <c r="F81" s="44" t="str">
        <f>IF(D81&gt;0,VLOOKUP(D81,Jumpers,2),"")</f>
        <v/>
      </c>
    </row>
    <row r="82" spans="1:6" x14ac:dyDescent="0.25">
      <c r="A82" s="52">
        <v>2</v>
      </c>
      <c r="B82" s="90" t="s">
        <v>117</v>
      </c>
      <c r="C82" s="63" t="s">
        <v>52</v>
      </c>
      <c r="D82" s="35"/>
      <c r="E82" s="44" t="str">
        <f>IF(D82&gt;0,VLOOKUP(D82,Jumpers,3),"")</f>
        <v/>
      </c>
      <c r="F82" s="44" t="str">
        <f>IF(D82&gt;0,VLOOKUP(D82,Jumpers,2),"")</f>
        <v/>
      </c>
    </row>
    <row r="83" spans="1:6" x14ac:dyDescent="0.25">
      <c r="A83" s="52">
        <v>3</v>
      </c>
      <c r="B83" s="90" t="s">
        <v>117</v>
      </c>
      <c r="C83" s="63" t="s">
        <v>52</v>
      </c>
      <c r="D83" s="35"/>
      <c r="E83" s="44" t="str">
        <f>IF(D83&gt;0,VLOOKUP(D83,Jumpers,3),"")</f>
        <v/>
      </c>
      <c r="F83" s="44" t="str">
        <f>IF(D83&gt;0,VLOOKUP(D83,Jumpers,2),"")</f>
        <v/>
      </c>
    </row>
    <row r="84" spans="1:6" x14ac:dyDescent="0.25">
      <c r="A84" s="52">
        <v>4</v>
      </c>
      <c r="B84" s="90" t="s">
        <v>117</v>
      </c>
      <c r="C84" s="63" t="s">
        <v>52</v>
      </c>
      <c r="D84" s="35"/>
      <c r="E84" s="44" t="str">
        <f>IF(D84&gt;0,VLOOKUP(D84,Jumpers,3),"")</f>
        <v/>
      </c>
      <c r="F84" s="44" t="str">
        <f>IF(D84&gt;0,VLOOKUP(D84,Jumpers,2),"")</f>
        <v/>
      </c>
    </row>
    <row r="85" spans="1:6" x14ac:dyDescent="0.25">
      <c r="A85" s="52">
        <v>5</v>
      </c>
      <c r="B85" s="90" t="s">
        <v>117</v>
      </c>
      <c r="C85" s="63" t="s">
        <v>52</v>
      </c>
      <c r="D85" s="35"/>
      <c r="E85" s="44" t="str">
        <f>IF(D85&gt;0,VLOOKUP(D85,Jumpers,3),"")</f>
        <v/>
      </c>
      <c r="F85" s="44" t="str">
        <f>IF(D85&gt;0,VLOOKUP(D85,Jumpers,2),"")</f>
        <v/>
      </c>
    </row>
  </sheetData>
  <sheetProtection password="CE88" sheet="1" objects="1" scenarios="1" selectLockedCells="1"/>
  <mergeCells count="3">
    <mergeCell ref="A2:F2"/>
    <mergeCell ref="A3:F3"/>
    <mergeCell ref="I5:N8"/>
  </mergeCells>
  <phoneticPr fontId="23" type="noConversion"/>
  <conditionalFormatting sqref="K18:K37">
    <cfRule type="expression" dxfId="449" priority="9" stopIfTrue="1">
      <formula>OR(CODE(K18)&lt;48,CODE(K18)&gt;57)</formula>
    </cfRule>
    <cfRule type="expression" dxfId="448" priority="26" stopIfTrue="1">
      <formula>VLOOKUP(K18,Jumpers,5)&lt;&gt;LEFT($A$1,1)</formula>
    </cfRule>
    <cfRule type="expression" dxfId="447" priority="27" stopIfTrue="1">
      <formula>OR(VLOOKUP(K18,Jumpers,7)&lt;11,VLOOKUP(K18,Jumpers,7)&gt;12)</formula>
    </cfRule>
  </conditionalFormatting>
  <conditionalFormatting sqref="D40:D59">
    <cfRule type="expression" dxfId="446" priority="8" stopIfTrue="1">
      <formula>OR(CODE(D40)&lt;48,CODE(D40)&gt;57)</formula>
    </cfRule>
    <cfRule type="expression" dxfId="445" priority="24" stopIfTrue="1">
      <formula>VLOOKUP(D40,Jumpers,5)&lt;&gt;LEFT($A$1,1)</formula>
    </cfRule>
    <cfRule type="expression" dxfId="444" priority="25" stopIfTrue="1">
      <formula>OR(VLOOKUP(D40,Jumpers,7)&lt;13,VLOOKUP(D40,Jumpers,7)&gt;14)</formula>
    </cfRule>
  </conditionalFormatting>
  <conditionalFormatting sqref="K40:K59">
    <cfRule type="expression" dxfId="443" priority="7" stopIfTrue="1">
      <formula>OR(CODE(K40)&lt;48,CODE(K40)&gt;57)</formula>
    </cfRule>
    <cfRule type="expression" dxfId="442" priority="22" stopIfTrue="1">
      <formula>VLOOKUP(K40,Jumpers,5)&lt;&gt;LEFT($A$1,1)</formula>
    </cfRule>
    <cfRule type="expression" dxfId="441" priority="23" stopIfTrue="1">
      <formula>OR(VLOOKUP(K40,Jumpers,7)&lt;15,VLOOKUP(K40,Jumpers,7)&gt;17)</formula>
    </cfRule>
  </conditionalFormatting>
  <conditionalFormatting sqref="D62:D71">
    <cfRule type="expression" dxfId="440" priority="6" stopIfTrue="1">
      <formula>OR(CODE(D62)&lt;48,CODE(D62)&gt;57)</formula>
    </cfRule>
    <cfRule type="expression" dxfId="439" priority="20" stopIfTrue="1">
      <formula>VLOOKUP(D62,Jumpers,5)&lt;&gt;LEFT($A$1,1)</formula>
    </cfRule>
    <cfRule type="expression" dxfId="438" priority="21" stopIfTrue="1">
      <formula>VLOOKUP(D62,Jumpers,8)&lt;&gt;C62</formula>
    </cfRule>
  </conditionalFormatting>
  <conditionalFormatting sqref="K62:K71">
    <cfRule type="expression" dxfId="437" priority="18" stopIfTrue="1">
      <formula>VLOOKUP(K62,Jumpers,5)&lt;&gt;LEFT($A$1,1)</formula>
    </cfRule>
    <cfRule type="expression" dxfId="436" priority="19" stopIfTrue="1">
      <formula>VLOOKUP(K62,Jumpers,8)&lt;&gt;J62</formula>
    </cfRule>
  </conditionalFormatting>
  <conditionalFormatting sqref="K74:K78">
    <cfRule type="expression" dxfId="435" priority="5" stopIfTrue="1">
      <formula>OR(CODE(K74)&lt;48,CODE(K74)&gt;57)</formula>
    </cfRule>
    <cfRule type="expression" dxfId="434" priority="16" stopIfTrue="1">
      <formula>VLOOKUP(K74,Jumpers,5)&lt;&gt;LEFT($A$1,1)</formula>
    </cfRule>
    <cfRule type="expression" dxfId="433" priority="17" stopIfTrue="1">
      <formula>VLOOKUP(K74,Jumpers,8)&lt;&gt;J74</formula>
    </cfRule>
  </conditionalFormatting>
  <conditionalFormatting sqref="D81:D85">
    <cfRule type="expression" dxfId="432" priority="4">
      <formula>OR(CODE(D81)&lt;48,CODE(D81)&gt;57)</formula>
    </cfRule>
    <cfRule type="expression" dxfId="431" priority="14" stopIfTrue="1">
      <formula>VLOOKUP(D81,Jumpers,5)&lt;&gt;LEFT($A$1,1)</formula>
    </cfRule>
    <cfRule type="expression" dxfId="430" priority="15" stopIfTrue="1">
      <formula>VLOOKUP(D81,Jumpers,8)&lt;&gt;C81</formula>
    </cfRule>
  </conditionalFormatting>
  <conditionalFormatting sqref="D6:D15">
    <cfRule type="expression" dxfId="429" priority="10" stopIfTrue="1">
      <formula>OR(CODE(D6)&lt;48,CODE(D6)&gt;57)</formula>
    </cfRule>
    <cfRule type="expression" dxfId="428" priority="28" stopIfTrue="1">
      <formula>VLOOKUP(D6,Jumpers,5)&lt;&gt;LEFT($A$1,1)</formula>
    </cfRule>
    <cfRule type="expression" dxfId="427" priority="29" stopIfTrue="1">
      <formula>VLOOKUP(D6,Jumpers,8)&lt;&gt;"8-Under"</formula>
    </cfRule>
  </conditionalFormatting>
  <conditionalFormatting sqref="D18:D37">
    <cfRule type="expression" dxfId="426" priority="11" stopIfTrue="1">
      <formula>OR(CODE(D18)&lt;48,CODE(D18)&gt;57)</formula>
    </cfRule>
    <cfRule type="expression" dxfId="425" priority="12" stopIfTrue="1">
      <formula>VLOOKUP(D18,Jumpers,5)&lt;&gt;LEFT($A$1,1)</formula>
    </cfRule>
    <cfRule type="expression" dxfId="424" priority="13" stopIfTrue="1">
      <formula>VLOOKUP(D18,Jumpers,7)&gt;10</formula>
    </cfRule>
  </conditionalFormatting>
  <conditionalFormatting sqref="D74:D78">
    <cfRule type="expression" dxfId="423" priority="1" stopIfTrue="1">
      <formula>OR(CODE(D74)&lt;48,CODE(D74)&gt;57)</formula>
    </cfRule>
    <cfRule type="expression" dxfId="422" priority="2" stopIfTrue="1">
      <formula>VLOOKUP(D74,Jumpers,5)&lt;&gt;LEFT($A$1,1)</formula>
    </cfRule>
    <cfRule type="expression" dxfId="421" priority="3" stopIfTrue="1">
      <formula>VLOOKUP(D74,Jumpers,8)&lt;&gt;C74</formula>
    </cfRule>
  </conditionalFormatting>
  <pageMargins left="0.25" right="0.25" top="0.75" bottom="0.75" header="0.3" footer="0.3"/>
  <pageSetup scale="58" orientation="portrait" r:id="rId1"/>
  <headerFooter>
    <oddHeader>&amp;LUSAJR Regional Tournament&amp;R&amp;A</oddHeader>
    <oddFooter>&amp;RPage &amp;P of &amp;N</oddFooter>
  </headerFooter>
  <customProperties>
    <customPr name="DVSECTIONID" r:id="rId2"/>
  </customProperties>
  <extLst>
    <ext xmlns:mx="http://schemas.microsoft.com/office/mac/excel/2008/main" uri="{64002731-A6B0-56B0-2670-7721B7C09600}">
      <mx:PLV Mode="0" OnePage="0" WScale="83"/>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9"/>
  <sheetViews>
    <sheetView workbookViewId="0">
      <selection activeCell="D5" sqref="D5"/>
    </sheetView>
  </sheetViews>
  <sheetFormatPr defaultColWidth="8.85546875" defaultRowHeight="15" x14ac:dyDescent="0.25"/>
  <cols>
    <col min="1" max="1" width="3.7109375" customWidth="1"/>
    <col min="2" max="2" width="4.7109375" style="14" bestFit="1" customWidth="1"/>
    <col min="3" max="3" width="7.140625" style="14" bestFit="1" customWidth="1"/>
    <col min="4" max="4" width="8.28515625" bestFit="1" customWidth="1"/>
    <col min="5" max="6" width="15.7109375" customWidth="1"/>
    <col min="7" max="7" width="1.7109375" customWidth="1"/>
    <col min="8" max="8" width="4.140625" customWidth="1"/>
    <col min="9" max="9" width="4.7109375" style="14" bestFit="1" customWidth="1"/>
    <col min="10" max="10" width="6.28515625" style="14" bestFit="1" customWidth="1"/>
    <col min="11" max="11" width="8.28515625" bestFit="1" customWidth="1"/>
    <col min="12" max="13" width="15.7109375" customWidth="1"/>
    <col min="14" max="14" width="1.7109375" customWidth="1"/>
    <col min="15" max="15" width="2.7109375" customWidth="1"/>
    <col min="16" max="16" width="4.7109375" bestFit="1" customWidth="1"/>
    <col min="17" max="17" width="4.85546875" bestFit="1" customWidth="1"/>
    <col min="19" max="20" width="12.7109375" customWidth="1"/>
    <col min="21" max="21" width="1.7109375" customWidth="1"/>
    <col min="22" max="22" width="2.7109375" customWidth="1"/>
    <col min="23" max="23" width="4.7109375" bestFit="1" customWidth="1"/>
    <col min="24" max="24" width="4.85546875" bestFit="1" customWidth="1"/>
    <col min="26" max="27" width="12.7109375" customWidth="1"/>
  </cols>
  <sheetData>
    <row r="1" spans="1:13" ht="18.75" x14ac:dyDescent="0.25">
      <c r="A1" s="5" t="s">
        <v>165</v>
      </c>
      <c r="B1" s="10"/>
      <c r="C1" s="10"/>
      <c r="M1" s="21" t="str">
        <f>CONCATENATE("Team: ",'Team Info'!$B$3)</f>
        <v xml:space="preserve">Team: </v>
      </c>
    </row>
    <row r="2" spans="1:13" x14ac:dyDescent="0.25">
      <c r="A2" s="6" t="s">
        <v>133</v>
      </c>
      <c r="B2" s="11"/>
      <c r="C2" s="11"/>
    </row>
    <row r="3" spans="1:13" x14ac:dyDescent="0.25">
      <c r="A3" s="4" t="s">
        <v>170</v>
      </c>
      <c r="B3" s="12"/>
      <c r="C3" s="12"/>
      <c r="D3" s="4"/>
      <c r="E3" s="4"/>
      <c r="F3" s="4"/>
      <c r="H3" s="4" t="s">
        <v>171</v>
      </c>
      <c r="I3" s="12"/>
      <c r="J3" s="12"/>
      <c r="K3" s="4"/>
      <c r="L3" s="4"/>
      <c r="M3" s="4"/>
    </row>
    <row r="4" spans="1:13" ht="23.25" x14ac:dyDescent="0.25">
      <c r="A4" s="15" t="s">
        <v>0</v>
      </c>
      <c r="B4" s="15" t="s">
        <v>55</v>
      </c>
      <c r="C4" s="15" t="s">
        <v>56</v>
      </c>
      <c r="D4" s="16" t="s">
        <v>8</v>
      </c>
      <c r="E4" s="15" t="s">
        <v>2</v>
      </c>
      <c r="F4" s="15" t="s">
        <v>1</v>
      </c>
      <c r="H4" s="15" t="s">
        <v>0</v>
      </c>
      <c r="I4" s="15" t="s">
        <v>55</v>
      </c>
      <c r="J4" s="15" t="s">
        <v>56</v>
      </c>
      <c r="K4" s="16" t="s">
        <v>8</v>
      </c>
      <c r="L4" s="15" t="s">
        <v>2</v>
      </c>
      <c r="M4" s="15" t="s">
        <v>1</v>
      </c>
    </row>
    <row r="5" spans="1:13" x14ac:dyDescent="0.25">
      <c r="A5" s="13">
        <v>1</v>
      </c>
      <c r="B5" s="91" t="s">
        <v>167</v>
      </c>
      <c r="C5" s="91" t="s">
        <v>146</v>
      </c>
      <c r="D5" s="35"/>
      <c r="E5" s="17" t="str">
        <f t="shared" ref="E5:E24" si="0">IF(D5&gt;0,VLOOKUP(D5,Jumpers,3),"")</f>
        <v/>
      </c>
      <c r="F5" s="17" t="str">
        <f t="shared" ref="F5:F24" si="1">IF(D5&gt;0,VLOOKUP(D5,Jumpers,2),"")</f>
        <v/>
      </c>
      <c r="H5" s="13">
        <v>1</v>
      </c>
      <c r="I5" s="91" t="s">
        <v>167</v>
      </c>
      <c r="J5" s="13">
        <v>9</v>
      </c>
      <c r="K5" s="35"/>
      <c r="L5" s="17" t="str">
        <f t="shared" ref="L5:L24" si="2">IF(K5&gt;0,VLOOKUP(K5,Jumpers,3),"")</f>
        <v/>
      </c>
      <c r="M5" s="17" t="str">
        <f t="shared" ref="M5:M24" si="3">IF(K5&gt;0,VLOOKUP(K5,Jumpers,2),"")</f>
        <v/>
      </c>
    </row>
    <row r="6" spans="1:13" x14ac:dyDescent="0.25">
      <c r="A6" s="13">
        <v>2</v>
      </c>
      <c r="B6" s="91" t="s">
        <v>167</v>
      </c>
      <c r="C6" s="91" t="s">
        <v>146</v>
      </c>
      <c r="D6" s="35"/>
      <c r="E6" s="17" t="str">
        <f t="shared" si="0"/>
        <v/>
      </c>
      <c r="F6" s="17" t="str">
        <f t="shared" si="1"/>
        <v/>
      </c>
      <c r="H6" s="13">
        <v>2</v>
      </c>
      <c r="I6" s="91" t="s">
        <v>167</v>
      </c>
      <c r="J6" s="13">
        <v>9</v>
      </c>
      <c r="K6" s="35"/>
      <c r="L6" s="17" t="str">
        <f t="shared" si="2"/>
        <v/>
      </c>
      <c r="M6" s="17" t="str">
        <f t="shared" si="3"/>
        <v/>
      </c>
    </row>
    <row r="7" spans="1:13" x14ac:dyDescent="0.25">
      <c r="A7" s="13">
        <v>3</v>
      </c>
      <c r="B7" s="91" t="s">
        <v>167</v>
      </c>
      <c r="C7" s="91" t="s">
        <v>146</v>
      </c>
      <c r="D7" s="35"/>
      <c r="E7" s="17" t="str">
        <f t="shared" si="0"/>
        <v/>
      </c>
      <c r="F7" s="17" t="str">
        <f t="shared" si="1"/>
        <v/>
      </c>
      <c r="H7" s="13">
        <v>3</v>
      </c>
      <c r="I7" s="91" t="s">
        <v>167</v>
      </c>
      <c r="J7" s="13">
        <v>9</v>
      </c>
      <c r="K7" s="35"/>
      <c r="L7" s="17" t="str">
        <f t="shared" si="2"/>
        <v/>
      </c>
      <c r="M7" s="17" t="str">
        <f t="shared" si="3"/>
        <v/>
      </c>
    </row>
    <row r="8" spans="1:13" x14ac:dyDescent="0.25">
      <c r="A8" s="13">
        <v>4</v>
      </c>
      <c r="B8" s="91" t="s">
        <v>167</v>
      </c>
      <c r="C8" s="91" t="s">
        <v>146</v>
      </c>
      <c r="D8" s="35"/>
      <c r="E8" s="17" t="str">
        <f t="shared" si="0"/>
        <v/>
      </c>
      <c r="F8" s="17" t="str">
        <f t="shared" si="1"/>
        <v/>
      </c>
      <c r="H8" s="13">
        <v>4</v>
      </c>
      <c r="I8" s="91" t="s">
        <v>167</v>
      </c>
      <c r="J8" s="13">
        <v>9</v>
      </c>
      <c r="K8" s="35"/>
      <c r="L8" s="17" t="str">
        <f t="shared" si="2"/>
        <v/>
      </c>
      <c r="M8" s="17" t="str">
        <f t="shared" si="3"/>
        <v/>
      </c>
    </row>
    <row r="9" spans="1:13" x14ac:dyDescent="0.25">
      <c r="A9" s="13">
        <v>5</v>
      </c>
      <c r="B9" s="91" t="s">
        <v>167</v>
      </c>
      <c r="C9" s="91" t="s">
        <v>146</v>
      </c>
      <c r="D9" s="35"/>
      <c r="E9" s="17" t="str">
        <f t="shared" si="0"/>
        <v/>
      </c>
      <c r="F9" s="17" t="str">
        <f t="shared" si="1"/>
        <v/>
      </c>
      <c r="H9" s="13">
        <v>5</v>
      </c>
      <c r="I9" s="91" t="s">
        <v>167</v>
      </c>
      <c r="J9" s="13">
        <v>9</v>
      </c>
      <c r="K9" s="35"/>
      <c r="L9" s="17" t="str">
        <f t="shared" si="2"/>
        <v/>
      </c>
      <c r="M9" s="17" t="str">
        <f t="shared" si="3"/>
        <v/>
      </c>
    </row>
    <row r="10" spans="1:13" x14ac:dyDescent="0.25">
      <c r="A10" s="13">
        <v>6</v>
      </c>
      <c r="B10" s="91" t="s">
        <v>167</v>
      </c>
      <c r="C10" s="91" t="s">
        <v>146</v>
      </c>
      <c r="D10" s="35"/>
      <c r="E10" s="17" t="str">
        <f t="shared" si="0"/>
        <v/>
      </c>
      <c r="F10" s="17" t="str">
        <f t="shared" si="1"/>
        <v/>
      </c>
      <c r="H10" s="13">
        <v>6</v>
      </c>
      <c r="I10" s="91" t="s">
        <v>167</v>
      </c>
      <c r="J10" s="13">
        <v>9</v>
      </c>
      <c r="K10" s="35"/>
      <c r="L10" s="17" t="str">
        <f t="shared" si="2"/>
        <v/>
      </c>
      <c r="M10" s="17" t="str">
        <f t="shared" si="3"/>
        <v/>
      </c>
    </row>
    <row r="11" spans="1:13" x14ac:dyDescent="0.25">
      <c r="A11" s="13">
        <v>7</v>
      </c>
      <c r="B11" s="91" t="s">
        <v>167</v>
      </c>
      <c r="C11" s="91" t="s">
        <v>146</v>
      </c>
      <c r="D11" s="35"/>
      <c r="E11" s="17" t="str">
        <f t="shared" si="0"/>
        <v/>
      </c>
      <c r="F11" s="17" t="str">
        <f t="shared" si="1"/>
        <v/>
      </c>
      <c r="H11" s="13">
        <v>7</v>
      </c>
      <c r="I11" s="91" t="s">
        <v>167</v>
      </c>
      <c r="J11" s="13">
        <v>9</v>
      </c>
      <c r="K11" s="35"/>
      <c r="L11" s="17" t="str">
        <f t="shared" si="2"/>
        <v/>
      </c>
      <c r="M11" s="17" t="str">
        <f t="shared" si="3"/>
        <v/>
      </c>
    </row>
    <row r="12" spans="1:13" x14ac:dyDescent="0.25">
      <c r="A12" s="13">
        <v>8</v>
      </c>
      <c r="B12" s="91" t="s">
        <v>167</v>
      </c>
      <c r="C12" s="91" t="s">
        <v>146</v>
      </c>
      <c r="D12" s="35"/>
      <c r="E12" s="17" t="str">
        <f t="shared" si="0"/>
        <v/>
      </c>
      <c r="F12" s="17" t="str">
        <f t="shared" si="1"/>
        <v/>
      </c>
      <c r="H12" s="13">
        <v>8</v>
      </c>
      <c r="I12" s="91" t="s">
        <v>167</v>
      </c>
      <c r="J12" s="13">
        <v>9</v>
      </c>
      <c r="K12" s="35"/>
      <c r="L12" s="17" t="str">
        <f t="shared" si="2"/>
        <v/>
      </c>
      <c r="M12" s="17" t="str">
        <f t="shared" si="3"/>
        <v/>
      </c>
    </row>
    <row r="13" spans="1:13" x14ac:dyDescent="0.25">
      <c r="A13" s="13">
        <v>9</v>
      </c>
      <c r="B13" s="91" t="s">
        <v>167</v>
      </c>
      <c r="C13" s="91" t="s">
        <v>146</v>
      </c>
      <c r="D13" s="35"/>
      <c r="E13" s="17" t="str">
        <f t="shared" si="0"/>
        <v/>
      </c>
      <c r="F13" s="17" t="str">
        <f t="shared" si="1"/>
        <v/>
      </c>
      <c r="H13" s="13">
        <v>9</v>
      </c>
      <c r="I13" s="91" t="s">
        <v>167</v>
      </c>
      <c r="J13" s="13">
        <v>9</v>
      </c>
      <c r="K13" s="35"/>
      <c r="L13" s="17" t="str">
        <f t="shared" si="2"/>
        <v/>
      </c>
      <c r="M13" s="17" t="str">
        <f t="shared" si="3"/>
        <v/>
      </c>
    </row>
    <row r="14" spans="1:13" x14ac:dyDescent="0.25">
      <c r="A14" s="13">
        <v>10</v>
      </c>
      <c r="B14" s="91" t="s">
        <v>167</v>
      </c>
      <c r="C14" s="91" t="s">
        <v>146</v>
      </c>
      <c r="D14" s="35"/>
      <c r="E14" s="17" t="str">
        <f t="shared" si="0"/>
        <v/>
      </c>
      <c r="F14" s="17" t="str">
        <f t="shared" si="1"/>
        <v/>
      </c>
      <c r="H14" s="13">
        <v>10</v>
      </c>
      <c r="I14" s="91" t="s">
        <v>167</v>
      </c>
      <c r="J14" s="13">
        <v>9</v>
      </c>
      <c r="K14" s="35"/>
      <c r="L14" s="17" t="str">
        <f t="shared" si="2"/>
        <v/>
      </c>
      <c r="M14" s="17" t="str">
        <f t="shared" si="3"/>
        <v/>
      </c>
    </row>
    <row r="15" spans="1:13" x14ac:dyDescent="0.25">
      <c r="A15" s="13">
        <v>11</v>
      </c>
      <c r="B15" s="91" t="s">
        <v>167</v>
      </c>
      <c r="C15" s="91" t="s">
        <v>146</v>
      </c>
      <c r="D15" s="35"/>
      <c r="E15" s="17" t="str">
        <f t="shared" si="0"/>
        <v/>
      </c>
      <c r="F15" s="17" t="str">
        <f t="shared" si="1"/>
        <v/>
      </c>
      <c r="H15" s="13">
        <v>11</v>
      </c>
      <c r="I15" s="91" t="s">
        <v>167</v>
      </c>
      <c r="J15" s="13">
        <v>9</v>
      </c>
      <c r="K15" s="35"/>
      <c r="L15" s="17" t="str">
        <f t="shared" si="2"/>
        <v/>
      </c>
      <c r="M15" s="17" t="str">
        <f t="shared" si="3"/>
        <v/>
      </c>
    </row>
    <row r="16" spans="1:13" x14ac:dyDescent="0.25">
      <c r="A16" s="13">
        <v>12</v>
      </c>
      <c r="B16" s="91" t="s">
        <v>167</v>
      </c>
      <c r="C16" s="91" t="s">
        <v>146</v>
      </c>
      <c r="D16" s="35"/>
      <c r="E16" s="17" t="str">
        <f t="shared" si="0"/>
        <v/>
      </c>
      <c r="F16" s="17" t="str">
        <f t="shared" si="1"/>
        <v/>
      </c>
      <c r="H16" s="13">
        <v>12</v>
      </c>
      <c r="I16" s="91" t="s">
        <v>167</v>
      </c>
      <c r="J16" s="13">
        <v>9</v>
      </c>
      <c r="K16" s="35"/>
      <c r="L16" s="17" t="str">
        <f t="shared" si="2"/>
        <v/>
      </c>
      <c r="M16" s="17" t="str">
        <f t="shared" si="3"/>
        <v/>
      </c>
    </row>
    <row r="17" spans="1:13" x14ac:dyDescent="0.25">
      <c r="A17" s="13">
        <v>13</v>
      </c>
      <c r="B17" s="91" t="s">
        <v>167</v>
      </c>
      <c r="C17" s="91" t="s">
        <v>146</v>
      </c>
      <c r="D17" s="35"/>
      <c r="E17" s="17" t="str">
        <f t="shared" si="0"/>
        <v/>
      </c>
      <c r="F17" s="17" t="str">
        <f t="shared" si="1"/>
        <v/>
      </c>
      <c r="H17" s="13">
        <v>13</v>
      </c>
      <c r="I17" s="91" t="s">
        <v>167</v>
      </c>
      <c r="J17" s="13">
        <v>9</v>
      </c>
      <c r="K17" s="35"/>
      <c r="L17" s="17" t="str">
        <f t="shared" si="2"/>
        <v/>
      </c>
      <c r="M17" s="17" t="str">
        <f t="shared" si="3"/>
        <v/>
      </c>
    </row>
    <row r="18" spans="1:13" x14ac:dyDescent="0.25">
      <c r="A18" s="13">
        <v>14</v>
      </c>
      <c r="B18" s="91" t="s">
        <v>167</v>
      </c>
      <c r="C18" s="91" t="s">
        <v>146</v>
      </c>
      <c r="D18" s="35"/>
      <c r="E18" s="17" t="str">
        <f t="shared" si="0"/>
        <v/>
      </c>
      <c r="F18" s="17" t="str">
        <f t="shared" si="1"/>
        <v/>
      </c>
      <c r="H18" s="13">
        <v>14</v>
      </c>
      <c r="I18" s="91" t="s">
        <v>167</v>
      </c>
      <c r="J18" s="13">
        <v>9</v>
      </c>
      <c r="K18" s="35"/>
      <c r="L18" s="17" t="str">
        <f t="shared" si="2"/>
        <v/>
      </c>
      <c r="M18" s="17" t="str">
        <f t="shared" si="3"/>
        <v/>
      </c>
    </row>
    <row r="19" spans="1:13" x14ac:dyDescent="0.25">
      <c r="A19" s="13">
        <v>15</v>
      </c>
      <c r="B19" s="91" t="s">
        <v>167</v>
      </c>
      <c r="C19" s="91" t="s">
        <v>146</v>
      </c>
      <c r="D19" s="35"/>
      <c r="E19" s="17" t="str">
        <f t="shared" si="0"/>
        <v/>
      </c>
      <c r="F19" s="17" t="str">
        <f t="shared" si="1"/>
        <v/>
      </c>
      <c r="H19" s="13">
        <v>15</v>
      </c>
      <c r="I19" s="91" t="s">
        <v>167</v>
      </c>
      <c r="J19" s="13">
        <v>9</v>
      </c>
      <c r="K19" s="35"/>
      <c r="L19" s="17" t="str">
        <f t="shared" si="2"/>
        <v/>
      </c>
      <c r="M19" s="17" t="str">
        <f t="shared" si="3"/>
        <v/>
      </c>
    </row>
    <row r="20" spans="1:13" x14ac:dyDescent="0.25">
      <c r="A20" s="13">
        <v>16</v>
      </c>
      <c r="B20" s="91" t="s">
        <v>167</v>
      </c>
      <c r="C20" s="91" t="s">
        <v>146</v>
      </c>
      <c r="D20" s="35"/>
      <c r="E20" s="17" t="str">
        <f t="shared" si="0"/>
        <v/>
      </c>
      <c r="F20" s="17" t="str">
        <f t="shared" si="1"/>
        <v/>
      </c>
      <c r="H20" s="13">
        <v>16</v>
      </c>
      <c r="I20" s="91" t="s">
        <v>167</v>
      </c>
      <c r="J20" s="13">
        <v>9</v>
      </c>
      <c r="K20" s="35"/>
      <c r="L20" s="17" t="str">
        <f t="shared" si="2"/>
        <v/>
      </c>
      <c r="M20" s="17" t="str">
        <f t="shared" si="3"/>
        <v/>
      </c>
    </row>
    <row r="21" spans="1:13" x14ac:dyDescent="0.25">
      <c r="A21" s="13">
        <v>17</v>
      </c>
      <c r="B21" s="91" t="s">
        <v>167</v>
      </c>
      <c r="C21" s="91" t="s">
        <v>146</v>
      </c>
      <c r="D21" s="35"/>
      <c r="E21" s="17" t="str">
        <f t="shared" si="0"/>
        <v/>
      </c>
      <c r="F21" s="17" t="str">
        <f t="shared" si="1"/>
        <v/>
      </c>
      <c r="H21" s="13">
        <v>17</v>
      </c>
      <c r="I21" s="91" t="s">
        <v>167</v>
      </c>
      <c r="J21" s="13">
        <v>9</v>
      </c>
      <c r="K21" s="35"/>
      <c r="L21" s="17" t="str">
        <f t="shared" si="2"/>
        <v/>
      </c>
      <c r="M21" s="17" t="str">
        <f t="shared" si="3"/>
        <v/>
      </c>
    </row>
    <row r="22" spans="1:13" x14ac:dyDescent="0.25">
      <c r="A22" s="13">
        <v>18</v>
      </c>
      <c r="B22" s="91" t="s">
        <v>167</v>
      </c>
      <c r="C22" s="91" t="s">
        <v>146</v>
      </c>
      <c r="D22" s="35"/>
      <c r="E22" s="17" t="str">
        <f t="shared" si="0"/>
        <v/>
      </c>
      <c r="F22" s="17" t="str">
        <f t="shared" si="1"/>
        <v/>
      </c>
      <c r="H22" s="13">
        <v>18</v>
      </c>
      <c r="I22" s="91" t="s">
        <v>167</v>
      </c>
      <c r="J22" s="13">
        <v>9</v>
      </c>
      <c r="K22" s="35"/>
      <c r="L22" s="17" t="str">
        <f t="shared" si="2"/>
        <v/>
      </c>
      <c r="M22" s="17" t="str">
        <f t="shared" si="3"/>
        <v/>
      </c>
    </row>
    <row r="23" spans="1:13" x14ac:dyDescent="0.25">
      <c r="A23" s="13">
        <v>19</v>
      </c>
      <c r="B23" s="91" t="s">
        <v>167</v>
      </c>
      <c r="C23" s="91" t="s">
        <v>146</v>
      </c>
      <c r="D23" s="35"/>
      <c r="E23" s="17" t="str">
        <f t="shared" si="0"/>
        <v/>
      </c>
      <c r="F23" s="17" t="str">
        <f t="shared" si="1"/>
        <v/>
      </c>
      <c r="H23" s="13">
        <v>19</v>
      </c>
      <c r="I23" s="91" t="s">
        <v>167</v>
      </c>
      <c r="J23" s="13">
        <v>9</v>
      </c>
      <c r="K23" s="35"/>
      <c r="L23" s="17" t="str">
        <f t="shared" si="2"/>
        <v/>
      </c>
      <c r="M23" s="17" t="str">
        <f t="shared" si="3"/>
        <v/>
      </c>
    </row>
    <row r="24" spans="1:13" x14ac:dyDescent="0.25">
      <c r="A24" s="13">
        <v>20</v>
      </c>
      <c r="B24" s="91" t="s">
        <v>167</v>
      </c>
      <c r="C24" s="91" t="s">
        <v>146</v>
      </c>
      <c r="D24" s="35"/>
      <c r="E24" s="17" t="str">
        <f t="shared" si="0"/>
        <v/>
      </c>
      <c r="F24" s="17" t="str">
        <f t="shared" si="1"/>
        <v/>
      </c>
      <c r="H24" s="13">
        <v>20</v>
      </c>
      <c r="I24" s="91" t="s">
        <v>167</v>
      </c>
      <c r="J24" s="13">
        <v>9</v>
      </c>
      <c r="K24" s="35"/>
      <c r="L24" s="17" t="str">
        <f t="shared" si="2"/>
        <v/>
      </c>
      <c r="M24" s="17" t="str">
        <f t="shared" si="3"/>
        <v/>
      </c>
    </row>
    <row r="25" spans="1:13" x14ac:dyDescent="0.25">
      <c r="A25" s="4" t="s">
        <v>172</v>
      </c>
      <c r="B25" s="12"/>
      <c r="C25" s="12"/>
      <c r="D25" s="4"/>
      <c r="E25" s="4"/>
      <c r="F25" s="4"/>
      <c r="H25" s="4" t="s">
        <v>173</v>
      </c>
      <c r="I25" s="12"/>
      <c r="J25" s="12"/>
      <c r="K25" s="4"/>
      <c r="L25" s="4"/>
      <c r="M25" s="4"/>
    </row>
    <row r="26" spans="1:13" ht="23.25" x14ac:dyDescent="0.25">
      <c r="A26" s="15" t="s">
        <v>0</v>
      </c>
      <c r="B26" s="15" t="s">
        <v>55</v>
      </c>
      <c r="C26" s="15" t="s">
        <v>56</v>
      </c>
      <c r="D26" s="16" t="s">
        <v>8</v>
      </c>
      <c r="E26" s="15" t="s">
        <v>2</v>
      </c>
      <c r="F26" s="15" t="s">
        <v>1</v>
      </c>
      <c r="H26" s="15" t="s">
        <v>0</v>
      </c>
      <c r="I26" s="15" t="s">
        <v>55</v>
      </c>
      <c r="J26" s="15" t="s">
        <v>56</v>
      </c>
      <c r="K26" s="16" t="s">
        <v>8</v>
      </c>
      <c r="L26" s="15" t="s">
        <v>2</v>
      </c>
      <c r="M26" s="15" t="s">
        <v>1</v>
      </c>
    </row>
    <row r="27" spans="1:13" x14ac:dyDescent="0.25">
      <c r="A27" s="13">
        <v>1</v>
      </c>
      <c r="B27" s="91" t="s">
        <v>167</v>
      </c>
      <c r="C27" s="13">
        <v>10</v>
      </c>
      <c r="D27" s="35"/>
      <c r="E27" s="17" t="str">
        <f t="shared" ref="E27:E46" si="4">IF(D27&gt;0,VLOOKUP(D27,Jumpers,3),"")</f>
        <v/>
      </c>
      <c r="F27" s="17" t="str">
        <f t="shared" ref="F27:F46" si="5">IF(D27&gt;0,VLOOKUP(D27,Jumpers,2),"")</f>
        <v/>
      </c>
      <c r="H27" s="13">
        <v>1</v>
      </c>
      <c r="I27" s="91" t="s">
        <v>167</v>
      </c>
      <c r="J27" s="13">
        <v>11</v>
      </c>
      <c r="K27" s="35"/>
      <c r="L27" s="17" t="str">
        <f t="shared" ref="L27:L46" si="6">IF(K27&gt;0,VLOOKUP(K27,Jumpers,3),"")</f>
        <v/>
      </c>
      <c r="M27" s="17" t="str">
        <f t="shared" ref="M27:M46" si="7">IF(K27&gt;0,VLOOKUP(K27,Jumpers,2),"")</f>
        <v/>
      </c>
    </row>
    <row r="28" spans="1:13" x14ac:dyDescent="0.25">
      <c r="A28" s="13">
        <v>2</v>
      </c>
      <c r="B28" s="91" t="s">
        <v>167</v>
      </c>
      <c r="C28" s="13">
        <v>10</v>
      </c>
      <c r="D28" s="35"/>
      <c r="E28" s="17" t="str">
        <f t="shared" si="4"/>
        <v/>
      </c>
      <c r="F28" s="17" t="str">
        <f t="shared" si="5"/>
        <v/>
      </c>
      <c r="H28" s="13">
        <v>2</v>
      </c>
      <c r="I28" s="91" t="s">
        <v>167</v>
      </c>
      <c r="J28" s="13">
        <v>11</v>
      </c>
      <c r="K28" s="35"/>
      <c r="L28" s="17" t="str">
        <f t="shared" si="6"/>
        <v/>
      </c>
      <c r="M28" s="17" t="str">
        <f t="shared" si="7"/>
        <v/>
      </c>
    </row>
    <row r="29" spans="1:13" x14ac:dyDescent="0.25">
      <c r="A29" s="13">
        <v>3</v>
      </c>
      <c r="B29" s="91" t="s">
        <v>167</v>
      </c>
      <c r="C29" s="13">
        <v>10</v>
      </c>
      <c r="D29" s="35"/>
      <c r="E29" s="17" t="str">
        <f t="shared" si="4"/>
        <v/>
      </c>
      <c r="F29" s="17" t="str">
        <f t="shared" si="5"/>
        <v/>
      </c>
      <c r="H29" s="13">
        <v>3</v>
      </c>
      <c r="I29" s="91" t="s">
        <v>167</v>
      </c>
      <c r="J29" s="13">
        <v>11</v>
      </c>
      <c r="K29" s="35"/>
      <c r="L29" s="17" t="str">
        <f t="shared" si="6"/>
        <v/>
      </c>
      <c r="M29" s="17" t="str">
        <f t="shared" si="7"/>
        <v/>
      </c>
    </row>
    <row r="30" spans="1:13" x14ac:dyDescent="0.25">
      <c r="A30" s="13">
        <v>4</v>
      </c>
      <c r="B30" s="91" t="s">
        <v>167</v>
      </c>
      <c r="C30" s="13">
        <v>10</v>
      </c>
      <c r="D30" s="35"/>
      <c r="E30" s="17" t="str">
        <f t="shared" si="4"/>
        <v/>
      </c>
      <c r="F30" s="17" t="str">
        <f t="shared" si="5"/>
        <v/>
      </c>
      <c r="H30" s="13">
        <v>4</v>
      </c>
      <c r="I30" s="91" t="s">
        <v>167</v>
      </c>
      <c r="J30" s="13">
        <v>11</v>
      </c>
      <c r="K30" s="35"/>
      <c r="L30" s="17" t="str">
        <f t="shared" si="6"/>
        <v/>
      </c>
      <c r="M30" s="17" t="str">
        <f t="shared" si="7"/>
        <v/>
      </c>
    </row>
    <row r="31" spans="1:13" x14ac:dyDescent="0.25">
      <c r="A31" s="13">
        <v>5</v>
      </c>
      <c r="B31" s="91" t="s">
        <v>167</v>
      </c>
      <c r="C31" s="13">
        <v>10</v>
      </c>
      <c r="D31" s="35"/>
      <c r="E31" s="17" t="str">
        <f t="shared" si="4"/>
        <v/>
      </c>
      <c r="F31" s="17" t="str">
        <f t="shared" si="5"/>
        <v/>
      </c>
      <c r="H31" s="13">
        <v>5</v>
      </c>
      <c r="I31" s="91" t="s">
        <v>167</v>
      </c>
      <c r="J31" s="13">
        <v>11</v>
      </c>
      <c r="K31" s="35"/>
      <c r="L31" s="17" t="str">
        <f t="shared" si="6"/>
        <v/>
      </c>
      <c r="M31" s="17" t="str">
        <f t="shared" si="7"/>
        <v/>
      </c>
    </row>
    <row r="32" spans="1:13" x14ac:dyDescent="0.25">
      <c r="A32" s="13">
        <v>6</v>
      </c>
      <c r="B32" s="91" t="s">
        <v>167</v>
      </c>
      <c r="C32" s="13">
        <v>10</v>
      </c>
      <c r="D32" s="35"/>
      <c r="E32" s="17" t="str">
        <f t="shared" si="4"/>
        <v/>
      </c>
      <c r="F32" s="17" t="str">
        <f t="shared" si="5"/>
        <v/>
      </c>
      <c r="H32" s="13">
        <v>6</v>
      </c>
      <c r="I32" s="91" t="s">
        <v>167</v>
      </c>
      <c r="J32" s="13">
        <v>11</v>
      </c>
      <c r="K32" s="35"/>
      <c r="L32" s="17" t="str">
        <f t="shared" si="6"/>
        <v/>
      </c>
      <c r="M32" s="17" t="str">
        <f t="shared" si="7"/>
        <v/>
      </c>
    </row>
    <row r="33" spans="1:13" x14ac:dyDescent="0.25">
      <c r="A33" s="13">
        <v>7</v>
      </c>
      <c r="B33" s="91" t="s">
        <v>167</v>
      </c>
      <c r="C33" s="13">
        <v>10</v>
      </c>
      <c r="D33" s="35"/>
      <c r="E33" s="17" t="str">
        <f t="shared" si="4"/>
        <v/>
      </c>
      <c r="F33" s="17" t="str">
        <f t="shared" si="5"/>
        <v/>
      </c>
      <c r="H33" s="13">
        <v>7</v>
      </c>
      <c r="I33" s="91" t="s">
        <v>167</v>
      </c>
      <c r="J33" s="13">
        <v>11</v>
      </c>
      <c r="K33" s="35"/>
      <c r="L33" s="17" t="str">
        <f t="shared" si="6"/>
        <v/>
      </c>
      <c r="M33" s="17" t="str">
        <f t="shared" si="7"/>
        <v/>
      </c>
    </row>
    <row r="34" spans="1:13" x14ac:dyDescent="0.25">
      <c r="A34" s="13">
        <v>8</v>
      </c>
      <c r="B34" s="91" t="s">
        <v>167</v>
      </c>
      <c r="C34" s="13">
        <v>10</v>
      </c>
      <c r="D34" s="35"/>
      <c r="E34" s="17" t="str">
        <f t="shared" si="4"/>
        <v/>
      </c>
      <c r="F34" s="17" t="str">
        <f t="shared" si="5"/>
        <v/>
      </c>
      <c r="H34" s="13">
        <v>8</v>
      </c>
      <c r="I34" s="91" t="s">
        <v>167</v>
      </c>
      <c r="J34" s="13">
        <v>11</v>
      </c>
      <c r="K34" s="35"/>
      <c r="L34" s="17" t="str">
        <f t="shared" si="6"/>
        <v/>
      </c>
      <c r="M34" s="17" t="str">
        <f t="shared" si="7"/>
        <v/>
      </c>
    </row>
    <row r="35" spans="1:13" x14ac:dyDescent="0.25">
      <c r="A35" s="13">
        <v>9</v>
      </c>
      <c r="B35" s="91" t="s">
        <v>167</v>
      </c>
      <c r="C35" s="13">
        <v>10</v>
      </c>
      <c r="D35" s="35"/>
      <c r="E35" s="17" t="str">
        <f t="shared" si="4"/>
        <v/>
      </c>
      <c r="F35" s="17" t="str">
        <f t="shared" si="5"/>
        <v/>
      </c>
      <c r="H35" s="13">
        <v>9</v>
      </c>
      <c r="I35" s="91" t="s">
        <v>167</v>
      </c>
      <c r="J35" s="13">
        <v>11</v>
      </c>
      <c r="K35" s="35"/>
      <c r="L35" s="17" t="str">
        <f t="shared" si="6"/>
        <v/>
      </c>
      <c r="M35" s="17" t="str">
        <f t="shared" si="7"/>
        <v/>
      </c>
    </row>
    <row r="36" spans="1:13" x14ac:dyDescent="0.25">
      <c r="A36" s="13">
        <v>10</v>
      </c>
      <c r="B36" s="91" t="s">
        <v>167</v>
      </c>
      <c r="C36" s="13">
        <v>10</v>
      </c>
      <c r="D36" s="35"/>
      <c r="E36" s="17" t="str">
        <f t="shared" si="4"/>
        <v/>
      </c>
      <c r="F36" s="17" t="str">
        <f t="shared" si="5"/>
        <v/>
      </c>
      <c r="H36" s="13">
        <v>10</v>
      </c>
      <c r="I36" s="91" t="s">
        <v>167</v>
      </c>
      <c r="J36" s="13">
        <v>11</v>
      </c>
      <c r="K36" s="35"/>
      <c r="L36" s="17" t="str">
        <f t="shared" si="6"/>
        <v/>
      </c>
      <c r="M36" s="17" t="str">
        <f t="shared" si="7"/>
        <v/>
      </c>
    </row>
    <row r="37" spans="1:13" x14ac:dyDescent="0.25">
      <c r="A37" s="13">
        <v>11</v>
      </c>
      <c r="B37" s="91" t="s">
        <v>167</v>
      </c>
      <c r="C37" s="13">
        <v>10</v>
      </c>
      <c r="D37" s="35"/>
      <c r="E37" s="17" t="str">
        <f t="shared" si="4"/>
        <v/>
      </c>
      <c r="F37" s="17" t="str">
        <f t="shared" si="5"/>
        <v/>
      </c>
      <c r="H37" s="13">
        <v>11</v>
      </c>
      <c r="I37" s="91" t="s">
        <v>167</v>
      </c>
      <c r="J37" s="13">
        <v>11</v>
      </c>
      <c r="K37" s="35"/>
      <c r="L37" s="17" t="str">
        <f t="shared" si="6"/>
        <v/>
      </c>
      <c r="M37" s="17" t="str">
        <f t="shared" si="7"/>
        <v/>
      </c>
    </row>
    <row r="38" spans="1:13" x14ac:dyDescent="0.25">
      <c r="A38" s="13">
        <v>12</v>
      </c>
      <c r="B38" s="91" t="s">
        <v>167</v>
      </c>
      <c r="C38" s="13">
        <v>10</v>
      </c>
      <c r="D38" s="35"/>
      <c r="E38" s="17" t="str">
        <f t="shared" si="4"/>
        <v/>
      </c>
      <c r="F38" s="17" t="str">
        <f t="shared" si="5"/>
        <v/>
      </c>
      <c r="H38" s="13">
        <v>12</v>
      </c>
      <c r="I38" s="91" t="s">
        <v>167</v>
      </c>
      <c r="J38" s="13">
        <v>11</v>
      </c>
      <c r="K38" s="35"/>
      <c r="L38" s="17" t="str">
        <f t="shared" si="6"/>
        <v/>
      </c>
      <c r="M38" s="17" t="str">
        <f t="shared" si="7"/>
        <v/>
      </c>
    </row>
    <row r="39" spans="1:13" x14ac:dyDescent="0.25">
      <c r="A39" s="13">
        <v>13</v>
      </c>
      <c r="B39" s="91" t="s">
        <v>167</v>
      </c>
      <c r="C39" s="13">
        <v>10</v>
      </c>
      <c r="D39" s="35"/>
      <c r="E39" s="17" t="str">
        <f t="shared" si="4"/>
        <v/>
      </c>
      <c r="F39" s="17" t="str">
        <f t="shared" si="5"/>
        <v/>
      </c>
      <c r="H39" s="13">
        <v>13</v>
      </c>
      <c r="I39" s="91" t="s">
        <v>167</v>
      </c>
      <c r="J39" s="13">
        <v>11</v>
      </c>
      <c r="K39" s="35"/>
      <c r="L39" s="17" t="str">
        <f t="shared" si="6"/>
        <v/>
      </c>
      <c r="M39" s="17" t="str">
        <f t="shared" si="7"/>
        <v/>
      </c>
    </row>
    <row r="40" spans="1:13" x14ac:dyDescent="0.25">
      <c r="A40" s="13">
        <v>14</v>
      </c>
      <c r="B40" s="91" t="s">
        <v>167</v>
      </c>
      <c r="C40" s="13">
        <v>10</v>
      </c>
      <c r="D40" s="35"/>
      <c r="E40" s="17" t="str">
        <f t="shared" si="4"/>
        <v/>
      </c>
      <c r="F40" s="17" t="str">
        <f t="shared" si="5"/>
        <v/>
      </c>
      <c r="H40" s="13">
        <v>14</v>
      </c>
      <c r="I40" s="91" t="s">
        <v>167</v>
      </c>
      <c r="J40" s="13">
        <v>11</v>
      </c>
      <c r="K40" s="35"/>
      <c r="L40" s="17" t="str">
        <f t="shared" si="6"/>
        <v/>
      </c>
      <c r="M40" s="17" t="str">
        <f t="shared" si="7"/>
        <v/>
      </c>
    </row>
    <row r="41" spans="1:13" x14ac:dyDescent="0.25">
      <c r="A41" s="13">
        <v>15</v>
      </c>
      <c r="B41" s="91" t="s">
        <v>167</v>
      </c>
      <c r="C41" s="13">
        <v>10</v>
      </c>
      <c r="D41" s="35"/>
      <c r="E41" s="17" t="str">
        <f t="shared" si="4"/>
        <v/>
      </c>
      <c r="F41" s="17" t="str">
        <f t="shared" si="5"/>
        <v/>
      </c>
      <c r="H41" s="13">
        <v>15</v>
      </c>
      <c r="I41" s="91" t="s">
        <v>167</v>
      </c>
      <c r="J41" s="13">
        <v>11</v>
      </c>
      <c r="K41" s="35"/>
      <c r="L41" s="17" t="str">
        <f t="shared" si="6"/>
        <v/>
      </c>
      <c r="M41" s="17" t="str">
        <f t="shared" si="7"/>
        <v/>
      </c>
    </row>
    <row r="42" spans="1:13" x14ac:dyDescent="0.25">
      <c r="A42" s="13">
        <v>16</v>
      </c>
      <c r="B42" s="91" t="s">
        <v>167</v>
      </c>
      <c r="C42" s="13">
        <v>10</v>
      </c>
      <c r="D42" s="35"/>
      <c r="E42" s="17" t="str">
        <f t="shared" si="4"/>
        <v/>
      </c>
      <c r="F42" s="17" t="str">
        <f t="shared" si="5"/>
        <v/>
      </c>
      <c r="H42" s="13">
        <v>16</v>
      </c>
      <c r="I42" s="91" t="s">
        <v>167</v>
      </c>
      <c r="J42" s="13">
        <v>11</v>
      </c>
      <c r="K42" s="35"/>
      <c r="L42" s="17" t="str">
        <f t="shared" si="6"/>
        <v/>
      </c>
      <c r="M42" s="17" t="str">
        <f t="shared" si="7"/>
        <v/>
      </c>
    </row>
    <row r="43" spans="1:13" x14ac:dyDescent="0.25">
      <c r="A43" s="13">
        <v>17</v>
      </c>
      <c r="B43" s="91" t="s">
        <v>167</v>
      </c>
      <c r="C43" s="13">
        <v>10</v>
      </c>
      <c r="D43" s="35"/>
      <c r="E43" s="17" t="str">
        <f t="shared" si="4"/>
        <v/>
      </c>
      <c r="F43" s="17" t="str">
        <f t="shared" si="5"/>
        <v/>
      </c>
      <c r="H43" s="13">
        <v>17</v>
      </c>
      <c r="I43" s="91" t="s">
        <v>167</v>
      </c>
      <c r="J43" s="13">
        <v>11</v>
      </c>
      <c r="K43" s="35"/>
      <c r="L43" s="17" t="str">
        <f t="shared" si="6"/>
        <v/>
      </c>
      <c r="M43" s="17" t="str">
        <f t="shared" si="7"/>
        <v/>
      </c>
    </row>
    <row r="44" spans="1:13" x14ac:dyDescent="0.25">
      <c r="A44" s="13">
        <v>18</v>
      </c>
      <c r="B44" s="91" t="s">
        <v>167</v>
      </c>
      <c r="C44" s="13">
        <v>10</v>
      </c>
      <c r="D44" s="35"/>
      <c r="E44" s="17" t="str">
        <f t="shared" si="4"/>
        <v/>
      </c>
      <c r="F44" s="17" t="str">
        <f t="shared" si="5"/>
        <v/>
      </c>
      <c r="H44" s="13">
        <v>18</v>
      </c>
      <c r="I44" s="91" t="s">
        <v>167</v>
      </c>
      <c r="J44" s="13">
        <v>11</v>
      </c>
      <c r="K44" s="35"/>
      <c r="L44" s="17" t="str">
        <f t="shared" si="6"/>
        <v/>
      </c>
      <c r="M44" s="17" t="str">
        <f t="shared" si="7"/>
        <v/>
      </c>
    </row>
    <row r="45" spans="1:13" x14ac:dyDescent="0.25">
      <c r="A45" s="13">
        <v>19</v>
      </c>
      <c r="B45" s="91" t="s">
        <v>167</v>
      </c>
      <c r="C45" s="13">
        <v>10</v>
      </c>
      <c r="D45" s="35"/>
      <c r="E45" s="17" t="str">
        <f t="shared" si="4"/>
        <v/>
      </c>
      <c r="F45" s="17" t="str">
        <f t="shared" si="5"/>
        <v/>
      </c>
      <c r="H45" s="13">
        <v>19</v>
      </c>
      <c r="I45" s="91" t="s">
        <v>167</v>
      </c>
      <c r="J45" s="13">
        <v>11</v>
      </c>
      <c r="K45" s="35"/>
      <c r="L45" s="17" t="str">
        <f t="shared" si="6"/>
        <v/>
      </c>
      <c r="M45" s="17" t="str">
        <f t="shared" si="7"/>
        <v/>
      </c>
    </row>
    <row r="46" spans="1:13" x14ac:dyDescent="0.25">
      <c r="A46" s="13">
        <v>20</v>
      </c>
      <c r="B46" s="91" t="s">
        <v>167</v>
      </c>
      <c r="C46" s="13">
        <v>10</v>
      </c>
      <c r="D46" s="35"/>
      <c r="E46" s="17" t="str">
        <f t="shared" si="4"/>
        <v/>
      </c>
      <c r="F46" s="17" t="str">
        <f t="shared" si="5"/>
        <v/>
      </c>
      <c r="H46" s="13">
        <v>20</v>
      </c>
      <c r="I46" s="91" t="s">
        <v>167</v>
      </c>
      <c r="J46" s="13">
        <v>11</v>
      </c>
      <c r="K46" s="35"/>
      <c r="L46" s="17" t="str">
        <f t="shared" si="6"/>
        <v/>
      </c>
      <c r="M46" s="17" t="str">
        <f t="shared" si="7"/>
        <v/>
      </c>
    </row>
    <row r="47" spans="1:13" x14ac:dyDescent="0.25">
      <c r="A47" s="4" t="s">
        <v>174</v>
      </c>
      <c r="B47" s="12"/>
      <c r="C47" s="12"/>
      <c r="D47" s="4"/>
      <c r="E47" s="4"/>
      <c r="F47" s="4"/>
      <c r="H47" s="4" t="s">
        <v>175</v>
      </c>
      <c r="I47" s="12"/>
      <c r="J47" s="12"/>
      <c r="K47" s="4"/>
      <c r="L47" s="4"/>
      <c r="M47" s="4"/>
    </row>
    <row r="48" spans="1:13" ht="23.25" x14ac:dyDescent="0.25">
      <c r="A48" s="15" t="s">
        <v>0</v>
      </c>
      <c r="B48" s="15" t="s">
        <v>55</v>
      </c>
      <c r="C48" s="15" t="s">
        <v>56</v>
      </c>
      <c r="D48" s="16" t="s">
        <v>8</v>
      </c>
      <c r="E48" s="15" t="s">
        <v>2</v>
      </c>
      <c r="F48" s="15" t="s">
        <v>1</v>
      </c>
      <c r="H48" s="15" t="s">
        <v>0</v>
      </c>
      <c r="I48" s="15" t="s">
        <v>55</v>
      </c>
      <c r="J48" s="15" t="s">
        <v>56</v>
      </c>
      <c r="K48" s="16" t="s">
        <v>8</v>
      </c>
      <c r="L48" s="15" t="s">
        <v>2</v>
      </c>
      <c r="M48" s="15" t="s">
        <v>1</v>
      </c>
    </row>
    <row r="49" spans="1:13" x14ac:dyDescent="0.25">
      <c r="A49" s="13">
        <v>1</v>
      </c>
      <c r="B49" s="91" t="s">
        <v>167</v>
      </c>
      <c r="C49" s="13">
        <v>12</v>
      </c>
      <c r="D49" s="35"/>
      <c r="E49" s="17" t="str">
        <f t="shared" ref="E49:E68" si="8">IF(D49&gt;0,VLOOKUP(D49,Jumpers,3),"")</f>
        <v/>
      </c>
      <c r="F49" s="17" t="str">
        <f t="shared" ref="F49:F68" si="9">IF(D49&gt;0,VLOOKUP(D49,Jumpers,2),"")</f>
        <v/>
      </c>
      <c r="H49" s="13">
        <v>1</v>
      </c>
      <c r="I49" s="91" t="s">
        <v>167</v>
      </c>
      <c r="J49" s="13">
        <v>13</v>
      </c>
      <c r="K49" s="35"/>
      <c r="L49" s="17" t="str">
        <f t="shared" ref="L49:L68" si="10">IF(K49&gt;0,VLOOKUP(K49,Jumpers,3),"")</f>
        <v/>
      </c>
      <c r="M49" s="17" t="str">
        <f t="shared" ref="M49:M68" si="11">IF(K49&gt;0,VLOOKUP(K49,Jumpers,2),"")</f>
        <v/>
      </c>
    </row>
    <row r="50" spans="1:13" x14ac:dyDescent="0.25">
      <c r="A50" s="13">
        <v>2</v>
      </c>
      <c r="B50" s="91" t="s">
        <v>167</v>
      </c>
      <c r="C50" s="13">
        <v>12</v>
      </c>
      <c r="D50" s="35"/>
      <c r="E50" s="17" t="str">
        <f t="shared" si="8"/>
        <v/>
      </c>
      <c r="F50" s="17" t="str">
        <f t="shared" si="9"/>
        <v/>
      </c>
      <c r="H50" s="13">
        <v>2</v>
      </c>
      <c r="I50" s="91" t="s">
        <v>167</v>
      </c>
      <c r="J50" s="13">
        <v>13</v>
      </c>
      <c r="K50" s="35"/>
      <c r="L50" s="17" t="str">
        <f t="shared" si="10"/>
        <v/>
      </c>
      <c r="M50" s="17" t="str">
        <f t="shared" si="11"/>
        <v/>
      </c>
    </row>
    <row r="51" spans="1:13" x14ac:dyDescent="0.25">
      <c r="A51" s="13">
        <v>3</v>
      </c>
      <c r="B51" s="91" t="s">
        <v>167</v>
      </c>
      <c r="C51" s="13">
        <v>12</v>
      </c>
      <c r="D51" s="35"/>
      <c r="E51" s="17" t="str">
        <f t="shared" si="8"/>
        <v/>
      </c>
      <c r="F51" s="17" t="str">
        <f t="shared" si="9"/>
        <v/>
      </c>
      <c r="H51" s="13">
        <v>3</v>
      </c>
      <c r="I51" s="91" t="s">
        <v>167</v>
      </c>
      <c r="J51" s="13">
        <v>13</v>
      </c>
      <c r="K51" s="35"/>
      <c r="L51" s="17" t="str">
        <f t="shared" si="10"/>
        <v/>
      </c>
      <c r="M51" s="17" t="str">
        <f t="shared" si="11"/>
        <v/>
      </c>
    </row>
    <row r="52" spans="1:13" x14ac:dyDescent="0.25">
      <c r="A52" s="13">
        <v>4</v>
      </c>
      <c r="B52" s="91" t="s">
        <v>167</v>
      </c>
      <c r="C52" s="13">
        <v>12</v>
      </c>
      <c r="D52" s="35"/>
      <c r="E52" s="17" t="str">
        <f t="shared" si="8"/>
        <v/>
      </c>
      <c r="F52" s="17" t="str">
        <f t="shared" si="9"/>
        <v/>
      </c>
      <c r="H52" s="13">
        <v>4</v>
      </c>
      <c r="I52" s="91" t="s">
        <v>167</v>
      </c>
      <c r="J52" s="13">
        <v>13</v>
      </c>
      <c r="K52" s="35"/>
      <c r="L52" s="17" t="str">
        <f t="shared" si="10"/>
        <v/>
      </c>
      <c r="M52" s="17" t="str">
        <f t="shared" si="11"/>
        <v/>
      </c>
    </row>
    <row r="53" spans="1:13" x14ac:dyDescent="0.25">
      <c r="A53" s="13">
        <v>5</v>
      </c>
      <c r="B53" s="91" t="s">
        <v>167</v>
      </c>
      <c r="C53" s="13">
        <v>12</v>
      </c>
      <c r="D53" s="35"/>
      <c r="E53" s="17" t="str">
        <f t="shared" si="8"/>
        <v/>
      </c>
      <c r="F53" s="17" t="str">
        <f t="shared" si="9"/>
        <v/>
      </c>
      <c r="H53" s="13">
        <v>5</v>
      </c>
      <c r="I53" s="91" t="s">
        <v>167</v>
      </c>
      <c r="J53" s="13">
        <v>13</v>
      </c>
      <c r="K53" s="35"/>
      <c r="L53" s="17" t="str">
        <f t="shared" si="10"/>
        <v/>
      </c>
      <c r="M53" s="17" t="str">
        <f t="shared" si="11"/>
        <v/>
      </c>
    </row>
    <row r="54" spans="1:13" x14ac:dyDescent="0.25">
      <c r="A54" s="13">
        <v>6</v>
      </c>
      <c r="B54" s="91" t="s">
        <v>167</v>
      </c>
      <c r="C54" s="13">
        <v>12</v>
      </c>
      <c r="D54" s="35"/>
      <c r="E54" s="17" t="str">
        <f t="shared" si="8"/>
        <v/>
      </c>
      <c r="F54" s="17" t="str">
        <f t="shared" si="9"/>
        <v/>
      </c>
      <c r="H54" s="13">
        <v>6</v>
      </c>
      <c r="I54" s="91" t="s">
        <v>167</v>
      </c>
      <c r="J54" s="13">
        <v>13</v>
      </c>
      <c r="K54" s="35"/>
      <c r="L54" s="17" t="str">
        <f t="shared" si="10"/>
        <v/>
      </c>
      <c r="M54" s="17" t="str">
        <f t="shared" si="11"/>
        <v/>
      </c>
    </row>
    <row r="55" spans="1:13" x14ac:dyDescent="0.25">
      <c r="A55" s="13">
        <v>7</v>
      </c>
      <c r="B55" s="91" t="s">
        <v>167</v>
      </c>
      <c r="C55" s="13">
        <v>12</v>
      </c>
      <c r="D55" s="35"/>
      <c r="E55" s="17" t="str">
        <f t="shared" si="8"/>
        <v/>
      </c>
      <c r="F55" s="17" t="str">
        <f t="shared" si="9"/>
        <v/>
      </c>
      <c r="H55" s="13">
        <v>7</v>
      </c>
      <c r="I55" s="91" t="s">
        <v>167</v>
      </c>
      <c r="J55" s="13">
        <v>13</v>
      </c>
      <c r="K55" s="35"/>
      <c r="L55" s="17" t="str">
        <f t="shared" si="10"/>
        <v/>
      </c>
      <c r="M55" s="17" t="str">
        <f t="shared" si="11"/>
        <v/>
      </c>
    </row>
    <row r="56" spans="1:13" x14ac:dyDescent="0.25">
      <c r="A56" s="13">
        <v>8</v>
      </c>
      <c r="B56" s="91" t="s">
        <v>167</v>
      </c>
      <c r="C56" s="13">
        <v>12</v>
      </c>
      <c r="D56" s="35"/>
      <c r="E56" s="17" t="str">
        <f t="shared" si="8"/>
        <v/>
      </c>
      <c r="F56" s="17" t="str">
        <f t="shared" si="9"/>
        <v/>
      </c>
      <c r="H56" s="13">
        <v>8</v>
      </c>
      <c r="I56" s="91" t="s">
        <v>167</v>
      </c>
      <c r="J56" s="13">
        <v>13</v>
      </c>
      <c r="K56" s="35"/>
      <c r="L56" s="17" t="str">
        <f t="shared" si="10"/>
        <v/>
      </c>
      <c r="M56" s="17" t="str">
        <f t="shared" si="11"/>
        <v/>
      </c>
    </row>
    <row r="57" spans="1:13" x14ac:dyDescent="0.25">
      <c r="A57" s="13">
        <v>9</v>
      </c>
      <c r="B57" s="91" t="s">
        <v>167</v>
      </c>
      <c r="C57" s="13">
        <v>12</v>
      </c>
      <c r="D57" s="35"/>
      <c r="E57" s="17" t="str">
        <f t="shared" si="8"/>
        <v/>
      </c>
      <c r="F57" s="17" t="str">
        <f t="shared" si="9"/>
        <v/>
      </c>
      <c r="H57" s="13">
        <v>9</v>
      </c>
      <c r="I57" s="91" t="s">
        <v>167</v>
      </c>
      <c r="J57" s="13">
        <v>13</v>
      </c>
      <c r="K57" s="35"/>
      <c r="L57" s="17" t="str">
        <f t="shared" si="10"/>
        <v/>
      </c>
      <c r="M57" s="17" t="str">
        <f t="shared" si="11"/>
        <v/>
      </c>
    </row>
    <row r="58" spans="1:13" x14ac:dyDescent="0.25">
      <c r="A58" s="13">
        <v>10</v>
      </c>
      <c r="B58" s="91" t="s">
        <v>167</v>
      </c>
      <c r="C58" s="13">
        <v>12</v>
      </c>
      <c r="D58" s="35"/>
      <c r="E58" s="17" t="str">
        <f t="shared" si="8"/>
        <v/>
      </c>
      <c r="F58" s="17" t="str">
        <f t="shared" si="9"/>
        <v/>
      </c>
      <c r="H58" s="13">
        <v>10</v>
      </c>
      <c r="I58" s="91" t="s">
        <v>167</v>
      </c>
      <c r="J58" s="13">
        <v>13</v>
      </c>
      <c r="K58" s="35"/>
      <c r="L58" s="17" t="str">
        <f t="shared" si="10"/>
        <v/>
      </c>
      <c r="M58" s="17" t="str">
        <f t="shared" si="11"/>
        <v/>
      </c>
    </row>
    <row r="59" spans="1:13" x14ac:dyDescent="0.25">
      <c r="A59" s="13">
        <v>11</v>
      </c>
      <c r="B59" s="91" t="s">
        <v>167</v>
      </c>
      <c r="C59" s="13">
        <v>12</v>
      </c>
      <c r="D59" s="35"/>
      <c r="E59" s="17" t="str">
        <f t="shared" si="8"/>
        <v/>
      </c>
      <c r="F59" s="17" t="str">
        <f t="shared" si="9"/>
        <v/>
      </c>
      <c r="H59" s="13">
        <v>11</v>
      </c>
      <c r="I59" s="91" t="s">
        <v>167</v>
      </c>
      <c r="J59" s="13">
        <v>13</v>
      </c>
      <c r="K59" s="35"/>
      <c r="L59" s="17" t="str">
        <f t="shared" si="10"/>
        <v/>
      </c>
      <c r="M59" s="17" t="str">
        <f t="shared" si="11"/>
        <v/>
      </c>
    </row>
    <row r="60" spans="1:13" x14ac:dyDescent="0.25">
      <c r="A60" s="13">
        <v>12</v>
      </c>
      <c r="B60" s="91" t="s">
        <v>167</v>
      </c>
      <c r="C60" s="13">
        <v>12</v>
      </c>
      <c r="D60" s="35"/>
      <c r="E60" s="17" t="str">
        <f t="shared" si="8"/>
        <v/>
      </c>
      <c r="F60" s="17" t="str">
        <f t="shared" si="9"/>
        <v/>
      </c>
      <c r="H60" s="13">
        <v>12</v>
      </c>
      <c r="I60" s="91" t="s">
        <v>167</v>
      </c>
      <c r="J60" s="13">
        <v>13</v>
      </c>
      <c r="K60" s="35"/>
      <c r="L60" s="17" t="str">
        <f t="shared" si="10"/>
        <v/>
      </c>
      <c r="M60" s="17" t="str">
        <f t="shared" si="11"/>
        <v/>
      </c>
    </row>
    <row r="61" spans="1:13" x14ac:dyDescent="0.25">
      <c r="A61" s="13">
        <v>13</v>
      </c>
      <c r="B61" s="91" t="s">
        <v>167</v>
      </c>
      <c r="C61" s="13">
        <v>12</v>
      </c>
      <c r="D61" s="35"/>
      <c r="E61" s="17" t="str">
        <f t="shared" si="8"/>
        <v/>
      </c>
      <c r="F61" s="17" t="str">
        <f t="shared" si="9"/>
        <v/>
      </c>
      <c r="H61" s="13">
        <v>13</v>
      </c>
      <c r="I61" s="91" t="s">
        <v>167</v>
      </c>
      <c r="J61" s="13">
        <v>13</v>
      </c>
      <c r="K61" s="35"/>
      <c r="L61" s="17" t="str">
        <f t="shared" si="10"/>
        <v/>
      </c>
      <c r="M61" s="17" t="str">
        <f t="shared" si="11"/>
        <v/>
      </c>
    </row>
    <row r="62" spans="1:13" x14ac:dyDescent="0.25">
      <c r="A62" s="13">
        <v>14</v>
      </c>
      <c r="B62" s="91" t="s">
        <v>167</v>
      </c>
      <c r="C62" s="13">
        <v>12</v>
      </c>
      <c r="D62" s="35"/>
      <c r="E62" s="17" t="str">
        <f t="shared" si="8"/>
        <v/>
      </c>
      <c r="F62" s="17" t="str">
        <f t="shared" si="9"/>
        <v/>
      </c>
      <c r="H62" s="13">
        <v>14</v>
      </c>
      <c r="I62" s="91" t="s">
        <v>167</v>
      </c>
      <c r="J62" s="13">
        <v>13</v>
      </c>
      <c r="K62" s="35"/>
      <c r="L62" s="17" t="str">
        <f t="shared" si="10"/>
        <v/>
      </c>
      <c r="M62" s="17" t="str">
        <f t="shared" si="11"/>
        <v/>
      </c>
    </row>
    <row r="63" spans="1:13" x14ac:dyDescent="0.25">
      <c r="A63" s="13">
        <v>15</v>
      </c>
      <c r="B63" s="91" t="s">
        <v>167</v>
      </c>
      <c r="C63" s="13">
        <v>12</v>
      </c>
      <c r="D63" s="35"/>
      <c r="E63" s="17" t="str">
        <f t="shared" si="8"/>
        <v/>
      </c>
      <c r="F63" s="17" t="str">
        <f t="shared" si="9"/>
        <v/>
      </c>
      <c r="H63" s="13">
        <v>15</v>
      </c>
      <c r="I63" s="91" t="s">
        <v>167</v>
      </c>
      <c r="J63" s="13">
        <v>13</v>
      </c>
      <c r="K63" s="35"/>
      <c r="L63" s="17" t="str">
        <f t="shared" si="10"/>
        <v/>
      </c>
      <c r="M63" s="17" t="str">
        <f t="shared" si="11"/>
        <v/>
      </c>
    </row>
    <row r="64" spans="1:13" x14ac:dyDescent="0.25">
      <c r="A64" s="13">
        <v>16</v>
      </c>
      <c r="B64" s="91" t="s">
        <v>167</v>
      </c>
      <c r="C64" s="13">
        <v>12</v>
      </c>
      <c r="D64" s="35"/>
      <c r="E64" s="17" t="str">
        <f t="shared" si="8"/>
        <v/>
      </c>
      <c r="F64" s="17" t="str">
        <f t="shared" si="9"/>
        <v/>
      </c>
      <c r="H64" s="13">
        <v>16</v>
      </c>
      <c r="I64" s="91" t="s">
        <v>167</v>
      </c>
      <c r="J64" s="13">
        <v>13</v>
      </c>
      <c r="K64" s="35"/>
      <c r="L64" s="17" t="str">
        <f t="shared" si="10"/>
        <v/>
      </c>
      <c r="M64" s="17" t="str">
        <f t="shared" si="11"/>
        <v/>
      </c>
    </row>
    <row r="65" spans="1:13" x14ac:dyDescent="0.25">
      <c r="A65" s="13">
        <v>17</v>
      </c>
      <c r="B65" s="91" t="s">
        <v>167</v>
      </c>
      <c r="C65" s="13">
        <v>12</v>
      </c>
      <c r="D65" s="35"/>
      <c r="E65" s="17" t="str">
        <f t="shared" si="8"/>
        <v/>
      </c>
      <c r="F65" s="17" t="str">
        <f t="shared" si="9"/>
        <v/>
      </c>
      <c r="H65" s="13">
        <v>17</v>
      </c>
      <c r="I65" s="91" t="s">
        <v>167</v>
      </c>
      <c r="J65" s="13">
        <v>13</v>
      </c>
      <c r="K65" s="35"/>
      <c r="L65" s="17" t="str">
        <f t="shared" si="10"/>
        <v/>
      </c>
      <c r="M65" s="17" t="str">
        <f t="shared" si="11"/>
        <v/>
      </c>
    </row>
    <row r="66" spans="1:13" x14ac:dyDescent="0.25">
      <c r="A66" s="13">
        <v>18</v>
      </c>
      <c r="B66" s="91" t="s">
        <v>167</v>
      </c>
      <c r="C66" s="13">
        <v>12</v>
      </c>
      <c r="D66" s="35"/>
      <c r="E66" s="17" t="str">
        <f t="shared" si="8"/>
        <v/>
      </c>
      <c r="F66" s="17" t="str">
        <f t="shared" si="9"/>
        <v/>
      </c>
      <c r="H66" s="13">
        <v>18</v>
      </c>
      <c r="I66" s="91" t="s">
        <v>167</v>
      </c>
      <c r="J66" s="13">
        <v>13</v>
      </c>
      <c r="K66" s="35"/>
      <c r="L66" s="17" t="str">
        <f t="shared" si="10"/>
        <v/>
      </c>
      <c r="M66" s="17" t="str">
        <f t="shared" si="11"/>
        <v/>
      </c>
    </row>
    <row r="67" spans="1:13" x14ac:dyDescent="0.25">
      <c r="A67" s="13">
        <v>19</v>
      </c>
      <c r="B67" s="91" t="s">
        <v>167</v>
      </c>
      <c r="C67" s="13">
        <v>12</v>
      </c>
      <c r="D67" s="35"/>
      <c r="E67" s="17" t="str">
        <f t="shared" si="8"/>
        <v/>
      </c>
      <c r="F67" s="17" t="str">
        <f t="shared" si="9"/>
        <v/>
      </c>
      <c r="H67" s="13">
        <v>19</v>
      </c>
      <c r="I67" s="91" t="s">
        <v>167</v>
      </c>
      <c r="J67" s="13">
        <v>13</v>
      </c>
      <c r="K67" s="35"/>
      <c r="L67" s="17" t="str">
        <f t="shared" si="10"/>
        <v/>
      </c>
      <c r="M67" s="17" t="str">
        <f t="shared" si="11"/>
        <v/>
      </c>
    </row>
    <row r="68" spans="1:13" x14ac:dyDescent="0.25">
      <c r="A68" s="13">
        <v>20</v>
      </c>
      <c r="B68" s="91" t="s">
        <v>167</v>
      </c>
      <c r="C68" s="13">
        <v>12</v>
      </c>
      <c r="D68" s="35"/>
      <c r="E68" s="17" t="str">
        <f t="shared" si="8"/>
        <v/>
      </c>
      <c r="F68" s="17" t="str">
        <f t="shared" si="9"/>
        <v/>
      </c>
      <c r="H68" s="13">
        <v>20</v>
      </c>
      <c r="I68" s="91" t="s">
        <v>167</v>
      </c>
      <c r="J68" s="13">
        <v>13</v>
      </c>
      <c r="K68" s="35"/>
      <c r="L68" s="17" t="str">
        <f t="shared" si="10"/>
        <v/>
      </c>
      <c r="M68" s="17" t="str">
        <f t="shared" si="11"/>
        <v/>
      </c>
    </row>
    <row r="69" spans="1:13" x14ac:dyDescent="0.25">
      <c r="A69" s="4" t="s">
        <v>176</v>
      </c>
      <c r="B69" s="12"/>
      <c r="C69" s="12"/>
      <c r="D69" s="4"/>
      <c r="E69" s="4"/>
      <c r="F69" s="4"/>
      <c r="H69" s="4" t="s">
        <v>221</v>
      </c>
      <c r="I69" s="12"/>
      <c r="J69" s="12"/>
      <c r="K69" s="4"/>
      <c r="L69" s="4"/>
      <c r="M69" s="4"/>
    </row>
    <row r="70" spans="1:13" ht="23.25" x14ac:dyDescent="0.25">
      <c r="A70" s="15" t="s">
        <v>0</v>
      </c>
      <c r="B70" s="15" t="s">
        <v>55</v>
      </c>
      <c r="C70" s="15" t="s">
        <v>56</v>
      </c>
      <c r="D70" s="16" t="s">
        <v>8</v>
      </c>
      <c r="E70" s="15" t="s">
        <v>2</v>
      </c>
      <c r="F70" s="15" t="s">
        <v>1</v>
      </c>
      <c r="H70" s="15" t="s">
        <v>0</v>
      </c>
      <c r="I70" s="15" t="s">
        <v>55</v>
      </c>
      <c r="J70" s="15" t="s">
        <v>56</v>
      </c>
      <c r="K70" s="16" t="s">
        <v>8</v>
      </c>
      <c r="L70" s="15" t="s">
        <v>2</v>
      </c>
      <c r="M70" s="15" t="s">
        <v>1</v>
      </c>
    </row>
    <row r="71" spans="1:13" x14ac:dyDescent="0.25">
      <c r="A71" s="13">
        <v>1</v>
      </c>
      <c r="B71" s="91" t="s">
        <v>167</v>
      </c>
      <c r="C71" s="13">
        <v>14</v>
      </c>
      <c r="D71" s="35"/>
      <c r="E71" s="17" t="str">
        <f t="shared" ref="E71:E90" si="12">IF(D71&gt;0,VLOOKUP(D71,Jumpers,3),"")</f>
        <v/>
      </c>
      <c r="F71" s="17" t="str">
        <f t="shared" ref="F71:F90" si="13">IF(D71&gt;0,VLOOKUP(D71,Jumpers,2),"")</f>
        <v/>
      </c>
      <c r="H71" s="13">
        <v>1</v>
      </c>
      <c r="I71" s="91" t="s">
        <v>167</v>
      </c>
      <c r="J71" s="91" t="s">
        <v>214</v>
      </c>
      <c r="K71" s="35"/>
      <c r="L71" s="17" t="str">
        <f t="shared" ref="L71:L90" si="14">IF(K71&gt;0,VLOOKUP(K71,Jumpers,3),"")</f>
        <v/>
      </c>
      <c r="M71" s="17" t="str">
        <f t="shared" ref="M71:M90" si="15">IF(K71&gt;0,VLOOKUP(K71,Jumpers,2),"")</f>
        <v/>
      </c>
    </row>
    <row r="72" spans="1:13" x14ac:dyDescent="0.25">
      <c r="A72" s="13">
        <v>2</v>
      </c>
      <c r="B72" s="91" t="s">
        <v>167</v>
      </c>
      <c r="C72" s="13">
        <v>14</v>
      </c>
      <c r="D72" s="35"/>
      <c r="E72" s="17" t="str">
        <f t="shared" si="12"/>
        <v/>
      </c>
      <c r="F72" s="17" t="str">
        <f t="shared" si="13"/>
        <v/>
      </c>
      <c r="H72" s="13">
        <v>2</v>
      </c>
      <c r="I72" s="91" t="s">
        <v>167</v>
      </c>
      <c r="J72" s="91" t="s">
        <v>214</v>
      </c>
      <c r="K72" s="35"/>
      <c r="L72" s="17" t="str">
        <f t="shared" si="14"/>
        <v/>
      </c>
      <c r="M72" s="17" t="str">
        <f t="shared" si="15"/>
        <v/>
      </c>
    </row>
    <row r="73" spans="1:13" x14ac:dyDescent="0.25">
      <c r="A73" s="13">
        <v>3</v>
      </c>
      <c r="B73" s="91" t="s">
        <v>167</v>
      </c>
      <c r="C73" s="13">
        <v>14</v>
      </c>
      <c r="D73" s="35"/>
      <c r="E73" s="17" t="str">
        <f t="shared" si="12"/>
        <v/>
      </c>
      <c r="F73" s="17" t="str">
        <f t="shared" si="13"/>
        <v/>
      </c>
      <c r="H73" s="13">
        <v>3</v>
      </c>
      <c r="I73" s="91" t="s">
        <v>167</v>
      </c>
      <c r="J73" s="91" t="s">
        <v>214</v>
      </c>
      <c r="K73" s="35"/>
      <c r="L73" s="17" t="str">
        <f t="shared" si="14"/>
        <v/>
      </c>
      <c r="M73" s="17" t="str">
        <f t="shared" si="15"/>
        <v/>
      </c>
    </row>
    <row r="74" spans="1:13" x14ac:dyDescent="0.25">
      <c r="A74" s="13">
        <v>4</v>
      </c>
      <c r="B74" s="91" t="s">
        <v>167</v>
      </c>
      <c r="C74" s="13">
        <v>14</v>
      </c>
      <c r="D74" s="35"/>
      <c r="E74" s="17" t="str">
        <f t="shared" si="12"/>
        <v/>
      </c>
      <c r="F74" s="17" t="str">
        <f t="shared" si="13"/>
        <v/>
      </c>
      <c r="H74" s="13">
        <v>4</v>
      </c>
      <c r="I74" s="91" t="s">
        <v>167</v>
      </c>
      <c r="J74" s="91" t="s">
        <v>214</v>
      </c>
      <c r="K74" s="35"/>
      <c r="L74" s="17" t="str">
        <f t="shared" si="14"/>
        <v/>
      </c>
      <c r="M74" s="17" t="str">
        <f t="shared" si="15"/>
        <v/>
      </c>
    </row>
    <row r="75" spans="1:13" x14ac:dyDescent="0.25">
      <c r="A75" s="13">
        <v>5</v>
      </c>
      <c r="B75" s="91" t="s">
        <v>167</v>
      </c>
      <c r="C75" s="13">
        <v>14</v>
      </c>
      <c r="D75" s="35"/>
      <c r="E75" s="17" t="str">
        <f t="shared" si="12"/>
        <v/>
      </c>
      <c r="F75" s="17" t="str">
        <f t="shared" si="13"/>
        <v/>
      </c>
      <c r="H75" s="13">
        <v>5</v>
      </c>
      <c r="I75" s="91" t="s">
        <v>167</v>
      </c>
      <c r="J75" s="91" t="s">
        <v>214</v>
      </c>
      <c r="K75" s="35"/>
      <c r="L75" s="17" t="str">
        <f t="shared" si="14"/>
        <v/>
      </c>
      <c r="M75" s="17" t="str">
        <f t="shared" si="15"/>
        <v/>
      </c>
    </row>
    <row r="76" spans="1:13" x14ac:dyDescent="0.25">
      <c r="A76" s="13">
        <v>6</v>
      </c>
      <c r="B76" s="91" t="s">
        <v>167</v>
      </c>
      <c r="C76" s="13">
        <v>14</v>
      </c>
      <c r="D76" s="35"/>
      <c r="E76" s="17" t="str">
        <f t="shared" si="12"/>
        <v/>
      </c>
      <c r="F76" s="17" t="str">
        <f t="shared" si="13"/>
        <v/>
      </c>
      <c r="H76" s="13">
        <v>6</v>
      </c>
      <c r="I76" s="91" t="s">
        <v>167</v>
      </c>
      <c r="J76" s="91" t="s">
        <v>214</v>
      </c>
      <c r="K76" s="35"/>
      <c r="L76" s="17" t="str">
        <f t="shared" si="14"/>
        <v/>
      </c>
      <c r="M76" s="17" t="str">
        <f t="shared" si="15"/>
        <v/>
      </c>
    </row>
    <row r="77" spans="1:13" x14ac:dyDescent="0.25">
      <c r="A77" s="13">
        <v>7</v>
      </c>
      <c r="B77" s="91" t="s">
        <v>167</v>
      </c>
      <c r="C77" s="13">
        <v>14</v>
      </c>
      <c r="D77" s="35"/>
      <c r="E77" s="17" t="str">
        <f t="shared" si="12"/>
        <v/>
      </c>
      <c r="F77" s="17" t="str">
        <f t="shared" si="13"/>
        <v/>
      </c>
      <c r="H77" s="13">
        <v>7</v>
      </c>
      <c r="I77" s="91" t="s">
        <v>167</v>
      </c>
      <c r="J77" s="91" t="s">
        <v>214</v>
      </c>
      <c r="K77" s="35"/>
      <c r="L77" s="17" t="str">
        <f t="shared" si="14"/>
        <v/>
      </c>
      <c r="M77" s="17" t="str">
        <f t="shared" si="15"/>
        <v/>
      </c>
    </row>
    <row r="78" spans="1:13" x14ac:dyDescent="0.25">
      <c r="A78" s="13">
        <v>8</v>
      </c>
      <c r="B78" s="91" t="s">
        <v>167</v>
      </c>
      <c r="C78" s="13">
        <v>14</v>
      </c>
      <c r="D78" s="35"/>
      <c r="E78" s="17" t="str">
        <f t="shared" si="12"/>
        <v/>
      </c>
      <c r="F78" s="17" t="str">
        <f t="shared" si="13"/>
        <v/>
      </c>
      <c r="H78" s="13">
        <v>8</v>
      </c>
      <c r="I78" s="91" t="s">
        <v>167</v>
      </c>
      <c r="J78" s="91" t="s">
        <v>214</v>
      </c>
      <c r="K78" s="35"/>
      <c r="L78" s="17" t="str">
        <f t="shared" si="14"/>
        <v/>
      </c>
      <c r="M78" s="17" t="str">
        <f t="shared" si="15"/>
        <v/>
      </c>
    </row>
    <row r="79" spans="1:13" x14ac:dyDescent="0.25">
      <c r="A79" s="13">
        <v>9</v>
      </c>
      <c r="B79" s="91" t="s">
        <v>167</v>
      </c>
      <c r="C79" s="13">
        <v>14</v>
      </c>
      <c r="D79" s="35"/>
      <c r="E79" s="17" t="str">
        <f t="shared" si="12"/>
        <v/>
      </c>
      <c r="F79" s="17" t="str">
        <f t="shared" si="13"/>
        <v/>
      </c>
      <c r="H79" s="13">
        <v>9</v>
      </c>
      <c r="I79" s="91" t="s">
        <v>167</v>
      </c>
      <c r="J79" s="91" t="s">
        <v>214</v>
      </c>
      <c r="K79" s="35"/>
      <c r="L79" s="17" t="str">
        <f t="shared" si="14"/>
        <v/>
      </c>
      <c r="M79" s="17" t="str">
        <f t="shared" si="15"/>
        <v/>
      </c>
    </row>
    <row r="80" spans="1:13" x14ac:dyDescent="0.25">
      <c r="A80" s="13">
        <v>10</v>
      </c>
      <c r="B80" s="91" t="s">
        <v>167</v>
      </c>
      <c r="C80" s="13">
        <v>14</v>
      </c>
      <c r="D80" s="35"/>
      <c r="E80" s="17" t="str">
        <f t="shared" si="12"/>
        <v/>
      </c>
      <c r="F80" s="17" t="str">
        <f t="shared" si="13"/>
        <v/>
      </c>
      <c r="H80" s="13">
        <v>10</v>
      </c>
      <c r="I80" s="91" t="s">
        <v>167</v>
      </c>
      <c r="J80" s="91" t="s">
        <v>214</v>
      </c>
      <c r="K80" s="35"/>
      <c r="L80" s="17" t="str">
        <f t="shared" si="14"/>
        <v/>
      </c>
      <c r="M80" s="17" t="str">
        <f t="shared" si="15"/>
        <v/>
      </c>
    </row>
    <row r="81" spans="1:13" x14ac:dyDescent="0.25">
      <c r="A81" s="13">
        <v>11</v>
      </c>
      <c r="B81" s="91" t="s">
        <v>167</v>
      </c>
      <c r="C81" s="13">
        <v>14</v>
      </c>
      <c r="D81" s="35"/>
      <c r="E81" s="17" t="str">
        <f t="shared" si="12"/>
        <v/>
      </c>
      <c r="F81" s="17" t="str">
        <f t="shared" si="13"/>
        <v/>
      </c>
      <c r="H81" s="13">
        <v>11</v>
      </c>
      <c r="I81" s="91" t="s">
        <v>167</v>
      </c>
      <c r="J81" s="91" t="s">
        <v>214</v>
      </c>
      <c r="K81" s="35"/>
      <c r="L81" s="17" t="str">
        <f t="shared" si="14"/>
        <v/>
      </c>
      <c r="M81" s="17" t="str">
        <f t="shared" si="15"/>
        <v/>
      </c>
    </row>
    <row r="82" spans="1:13" x14ac:dyDescent="0.25">
      <c r="A82" s="13">
        <v>12</v>
      </c>
      <c r="B82" s="91" t="s">
        <v>167</v>
      </c>
      <c r="C82" s="13">
        <v>14</v>
      </c>
      <c r="D82" s="35"/>
      <c r="E82" s="17" t="str">
        <f t="shared" si="12"/>
        <v/>
      </c>
      <c r="F82" s="17" t="str">
        <f t="shared" si="13"/>
        <v/>
      </c>
      <c r="H82" s="13">
        <v>12</v>
      </c>
      <c r="I82" s="91" t="s">
        <v>167</v>
      </c>
      <c r="J82" s="91" t="s">
        <v>214</v>
      </c>
      <c r="K82" s="35"/>
      <c r="L82" s="17" t="str">
        <f t="shared" si="14"/>
        <v/>
      </c>
      <c r="M82" s="17" t="str">
        <f t="shared" si="15"/>
        <v/>
      </c>
    </row>
    <row r="83" spans="1:13" x14ac:dyDescent="0.25">
      <c r="A83" s="13">
        <v>13</v>
      </c>
      <c r="B83" s="91" t="s">
        <v>167</v>
      </c>
      <c r="C83" s="13">
        <v>14</v>
      </c>
      <c r="D83" s="35"/>
      <c r="E83" s="17" t="str">
        <f t="shared" si="12"/>
        <v/>
      </c>
      <c r="F83" s="17" t="str">
        <f t="shared" si="13"/>
        <v/>
      </c>
      <c r="H83" s="13">
        <v>13</v>
      </c>
      <c r="I83" s="91" t="s">
        <v>167</v>
      </c>
      <c r="J83" s="91" t="s">
        <v>214</v>
      </c>
      <c r="K83" s="35"/>
      <c r="L83" s="17" t="str">
        <f t="shared" si="14"/>
        <v/>
      </c>
      <c r="M83" s="17" t="str">
        <f t="shared" si="15"/>
        <v/>
      </c>
    </row>
    <row r="84" spans="1:13" x14ac:dyDescent="0.25">
      <c r="A84" s="13">
        <v>14</v>
      </c>
      <c r="B84" s="91" t="s">
        <v>167</v>
      </c>
      <c r="C84" s="13">
        <v>14</v>
      </c>
      <c r="D84" s="35"/>
      <c r="E84" s="17" t="str">
        <f t="shared" si="12"/>
        <v/>
      </c>
      <c r="F84" s="17" t="str">
        <f t="shared" si="13"/>
        <v/>
      </c>
      <c r="H84" s="13">
        <v>14</v>
      </c>
      <c r="I84" s="91" t="s">
        <v>167</v>
      </c>
      <c r="J84" s="91" t="s">
        <v>214</v>
      </c>
      <c r="K84" s="35"/>
      <c r="L84" s="17" t="str">
        <f t="shared" si="14"/>
        <v/>
      </c>
      <c r="M84" s="17" t="str">
        <f t="shared" si="15"/>
        <v/>
      </c>
    </row>
    <row r="85" spans="1:13" x14ac:dyDescent="0.25">
      <c r="A85" s="13">
        <v>15</v>
      </c>
      <c r="B85" s="91" t="s">
        <v>167</v>
      </c>
      <c r="C85" s="13">
        <v>14</v>
      </c>
      <c r="D85" s="35"/>
      <c r="E85" s="17" t="str">
        <f t="shared" si="12"/>
        <v/>
      </c>
      <c r="F85" s="17" t="str">
        <f t="shared" si="13"/>
        <v/>
      </c>
      <c r="H85" s="13">
        <v>15</v>
      </c>
      <c r="I85" s="91" t="s">
        <v>167</v>
      </c>
      <c r="J85" s="91" t="s">
        <v>214</v>
      </c>
      <c r="K85" s="35"/>
      <c r="L85" s="17" t="str">
        <f t="shared" si="14"/>
        <v/>
      </c>
      <c r="M85" s="17" t="str">
        <f t="shared" si="15"/>
        <v/>
      </c>
    </row>
    <row r="86" spans="1:13" x14ac:dyDescent="0.25">
      <c r="A86" s="13">
        <v>16</v>
      </c>
      <c r="B86" s="91" t="s">
        <v>167</v>
      </c>
      <c r="C86" s="13">
        <v>14</v>
      </c>
      <c r="D86" s="35"/>
      <c r="E86" s="17" t="str">
        <f t="shared" si="12"/>
        <v/>
      </c>
      <c r="F86" s="17" t="str">
        <f t="shared" si="13"/>
        <v/>
      </c>
      <c r="H86" s="13">
        <v>16</v>
      </c>
      <c r="I86" s="91" t="s">
        <v>167</v>
      </c>
      <c r="J86" s="91" t="s">
        <v>214</v>
      </c>
      <c r="K86" s="35"/>
      <c r="L86" s="17" t="str">
        <f t="shared" si="14"/>
        <v/>
      </c>
      <c r="M86" s="17" t="str">
        <f t="shared" si="15"/>
        <v/>
      </c>
    </row>
    <row r="87" spans="1:13" x14ac:dyDescent="0.25">
      <c r="A87" s="13">
        <v>17</v>
      </c>
      <c r="B87" s="91" t="s">
        <v>167</v>
      </c>
      <c r="C87" s="13">
        <v>14</v>
      </c>
      <c r="D87" s="35"/>
      <c r="E87" s="17" t="str">
        <f t="shared" si="12"/>
        <v/>
      </c>
      <c r="F87" s="17" t="str">
        <f t="shared" si="13"/>
        <v/>
      </c>
      <c r="H87" s="13">
        <v>17</v>
      </c>
      <c r="I87" s="91" t="s">
        <v>167</v>
      </c>
      <c r="J87" s="91" t="s">
        <v>214</v>
      </c>
      <c r="K87" s="35"/>
      <c r="L87" s="17" t="str">
        <f t="shared" si="14"/>
        <v/>
      </c>
      <c r="M87" s="17" t="str">
        <f t="shared" si="15"/>
        <v/>
      </c>
    </row>
    <row r="88" spans="1:13" x14ac:dyDescent="0.25">
      <c r="A88" s="13">
        <v>18</v>
      </c>
      <c r="B88" s="91" t="s">
        <v>167</v>
      </c>
      <c r="C88" s="13">
        <v>14</v>
      </c>
      <c r="D88" s="35"/>
      <c r="E88" s="17" t="str">
        <f t="shared" si="12"/>
        <v/>
      </c>
      <c r="F88" s="17" t="str">
        <f t="shared" si="13"/>
        <v/>
      </c>
      <c r="H88" s="13">
        <v>18</v>
      </c>
      <c r="I88" s="91" t="s">
        <v>167</v>
      </c>
      <c r="J88" s="91" t="s">
        <v>214</v>
      </c>
      <c r="K88" s="35"/>
      <c r="L88" s="17" t="str">
        <f t="shared" si="14"/>
        <v/>
      </c>
      <c r="M88" s="17" t="str">
        <f t="shared" si="15"/>
        <v/>
      </c>
    </row>
    <row r="89" spans="1:13" x14ac:dyDescent="0.25">
      <c r="A89" s="13">
        <v>19</v>
      </c>
      <c r="B89" s="91" t="s">
        <v>167</v>
      </c>
      <c r="C89" s="13">
        <v>14</v>
      </c>
      <c r="D89" s="35"/>
      <c r="E89" s="17" t="str">
        <f t="shared" si="12"/>
        <v/>
      </c>
      <c r="F89" s="17" t="str">
        <f t="shared" si="13"/>
        <v/>
      </c>
      <c r="H89" s="13">
        <v>19</v>
      </c>
      <c r="I89" s="91" t="s">
        <v>167</v>
      </c>
      <c r="J89" s="91" t="s">
        <v>214</v>
      </c>
      <c r="K89" s="35"/>
      <c r="L89" s="17" t="str">
        <f t="shared" si="14"/>
        <v/>
      </c>
      <c r="M89" s="17" t="str">
        <f t="shared" si="15"/>
        <v/>
      </c>
    </row>
    <row r="90" spans="1:13" x14ac:dyDescent="0.25">
      <c r="A90" s="13">
        <v>20</v>
      </c>
      <c r="B90" s="91" t="s">
        <v>167</v>
      </c>
      <c r="C90" s="13">
        <v>14</v>
      </c>
      <c r="D90" s="35"/>
      <c r="E90" s="17" t="str">
        <f t="shared" si="12"/>
        <v/>
      </c>
      <c r="F90" s="17" t="str">
        <f t="shared" si="13"/>
        <v/>
      </c>
      <c r="H90" s="13">
        <v>20</v>
      </c>
      <c r="I90" s="91" t="s">
        <v>167</v>
      </c>
      <c r="J90" s="91" t="s">
        <v>214</v>
      </c>
      <c r="K90" s="35"/>
      <c r="L90" s="17" t="str">
        <f t="shared" si="14"/>
        <v/>
      </c>
      <c r="M90" s="17" t="str">
        <f t="shared" si="15"/>
        <v/>
      </c>
    </row>
    <row r="91" spans="1:13" x14ac:dyDescent="0.25">
      <c r="A91" s="4" t="s">
        <v>220</v>
      </c>
      <c r="B91" s="12"/>
      <c r="C91" s="12"/>
      <c r="D91" s="4"/>
      <c r="E91" s="4"/>
      <c r="F91" s="4"/>
      <c r="H91" s="4" t="s">
        <v>222</v>
      </c>
      <c r="I91" s="12"/>
      <c r="J91" s="12"/>
      <c r="K91" s="4"/>
      <c r="L91" s="4"/>
      <c r="M91" s="4"/>
    </row>
    <row r="92" spans="1:13" ht="23.25" x14ac:dyDescent="0.25">
      <c r="A92" s="15" t="s">
        <v>0</v>
      </c>
      <c r="B92" s="15" t="s">
        <v>55</v>
      </c>
      <c r="C92" s="15" t="s">
        <v>56</v>
      </c>
      <c r="D92" s="16" t="s">
        <v>8</v>
      </c>
      <c r="E92" s="15" t="s">
        <v>2</v>
      </c>
      <c r="F92" s="15" t="s">
        <v>1</v>
      </c>
      <c r="H92" s="15" t="s">
        <v>0</v>
      </c>
      <c r="I92" s="15" t="s">
        <v>55</v>
      </c>
      <c r="J92" s="15" t="s">
        <v>56</v>
      </c>
      <c r="K92" s="16" t="s">
        <v>8</v>
      </c>
      <c r="L92" s="15" t="s">
        <v>2</v>
      </c>
      <c r="M92" s="15" t="s">
        <v>1</v>
      </c>
    </row>
    <row r="93" spans="1:13" x14ac:dyDescent="0.25">
      <c r="A93" s="13">
        <v>1</v>
      </c>
      <c r="B93" s="91" t="s">
        <v>167</v>
      </c>
      <c r="C93" s="91" t="s">
        <v>215</v>
      </c>
      <c r="D93" s="35"/>
      <c r="E93" s="17" t="str">
        <f t="shared" ref="E93:E112" si="16">IF(D93&gt;0,VLOOKUP(D93,Jumpers,3),"")</f>
        <v/>
      </c>
      <c r="F93" s="17" t="str">
        <f t="shared" ref="F93:F112" si="17">IF(D93&gt;0,VLOOKUP(D93,Jumpers,2),"")</f>
        <v/>
      </c>
      <c r="H93" s="13">
        <v>1</v>
      </c>
      <c r="I93" s="91" t="s">
        <v>167</v>
      </c>
      <c r="J93" s="91" t="s">
        <v>216</v>
      </c>
      <c r="K93" s="35"/>
      <c r="L93" s="17" t="str">
        <f t="shared" ref="L93:L112" si="18">IF(K93&gt;0,VLOOKUP(K93,Jumpers,3),"")</f>
        <v/>
      </c>
      <c r="M93" s="17" t="str">
        <f t="shared" ref="M93:M112" si="19">IF(K93&gt;0,VLOOKUP(K93,Jumpers,2),"")</f>
        <v/>
      </c>
    </row>
    <row r="94" spans="1:13" x14ac:dyDescent="0.25">
      <c r="A94" s="13">
        <v>2</v>
      </c>
      <c r="B94" s="91" t="s">
        <v>167</v>
      </c>
      <c r="C94" s="91" t="s">
        <v>215</v>
      </c>
      <c r="D94" s="35"/>
      <c r="E94" s="17" t="str">
        <f t="shared" si="16"/>
        <v/>
      </c>
      <c r="F94" s="17" t="str">
        <f t="shared" si="17"/>
        <v/>
      </c>
      <c r="H94" s="13">
        <v>2</v>
      </c>
      <c r="I94" s="91" t="s">
        <v>167</v>
      </c>
      <c r="J94" s="91" t="s">
        <v>216</v>
      </c>
      <c r="K94" s="35"/>
      <c r="L94" s="17" t="str">
        <f t="shared" si="18"/>
        <v/>
      </c>
      <c r="M94" s="17" t="str">
        <f t="shared" si="19"/>
        <v/>
      </c>
    </row>
    <row r="95" spans="1:13" x14ac:dyDescent="0.25">
      <c r="A95" s="13">
        <v>3</v>
      </c>
      <c r="B95" s="91" t="s">
        <v>167</v>
      </c>
      <c r="C95" s="91" t="s">
        <v>215</v>
      </c>
      <c r="D95" s="35"/>
      <c r="E95" s="17" t="str">
        <f t="shared" si="16"/>
        <v/>
      </c>
      <c r="F95" s="17" t="str">
        <f t="shared" si="17"/>
        <v/>
      </c>
      <c r="H95" s="13">
        <v>3</v>
      </c>
      <c r="I95" s="91" t="s">
        <v>167</v>
      </c>
      <c r="J95" s="91" t="s">
        <v>216</v>
      </c>
      <c r="K95" s="35"/>
      <c r="L95" s="17" t="str">
        <f t="shared" si="18"/>
        <v/>
      </c>
      <c r="M95" s="17" t="str">
        <f t="shared" si="19"/>
        <v/>
      </c>
    </row>
    <row r="96" spans="1:13" x14ac:dyDescent="0.25">
      <c r="A96" s="13">
        <v>4</v>
      </c>
      <c r="B96" s="91" t="s">
        <v>167</v>
      </c>
      <c r="C96" s="91" t="s">
        <v>215</v>
      </c>
      <c r="D96" s="35"/>
      <c r="E96" s="17" t="str">
        <f t="shared" si="16"/>
        <v/>
      </c>
      <c r="F96" s="17" t="str">
        <f t="shared" si="17"/>
        <v/>
      </c>
      <c r="H96" s="13">
        <v>4</v>
      </c>
      <c r="I96" s="91" t="s">
        <v>167</v>
      </c>
      <c r="J96" s="91" t="s">
        <v>216</v>
      </c>
      <c r="K96" s="35"/>
      <c r="L96" s="17" t="str">
        <f t="shared" si="18"/>
        <v/>
      </c>
      <c r="M96" s="17" t="str">
        <f t="shared" si="19"/>
        <v/>
      </c>
    </row>
    <row r="97" spans="1:13" x14ac:dyDescent="0.25">
      <c r="A97" s="13">
        <v>5</v>
      </c>
      <c r="B97" s="91" t="s">
        <v>167</v>
      </c>
      <c r="C97" s="91" t="s">
        <v>215</v>
      </c>
      <c r="D97" s="35"/>
      <c r="E97" s="17" t="str">
        <f t="shared" si="16"/>
        <v/>
      </c>
      <c r="F97" s="17" t="str">
        <f t="shared" si="17"/>
        <v/>
      </c>
      <c r="H97" s="13">
        <v>5</v>
      </c>
      <c r="I97" s="91" t="s">
        <v>167</v>
      </c>
      <c r="J97" s="91" t="s">
        <v>216</v>
      </c>
      <c r="K97" s="35"/>
      <c r="L97" s="17" t="str">
        <f t="shared" si="18"/>
        <v/>
      </c>
      <c r="M97" s="17" t="str">
        <f t="shared" si="19"/>
        <v/>
      </c>
    </row>
    <row r="98" spans="1:13" x14ac:dyDescent="0.25">
      <c r="A98" s="13">
        <v>6</v>
      </c>
      <c r="B98" s="91" t="s">
        <v>167</v>
      </c>
      <c r="C98" s="91" t="s">
        <v>215</v>
      </c>
      <c r="D98" s="35"/>
      <c r="E98" s="17" t="str">
        <f t="shared" si="16"/>
        <v/>
      </c>
      <c r="F98" s="17" t="str">
        <f t="shared" si="17"/>
        <v/>
      </c>
      <c r="H98" s="13">
        <v>6</v>
      </c>
      <c r="I98" s="91" t="s">
        <v>167</v>
      </c>
      <c r="J98" s="91" t="s">
        <v>216</v>
      </c>
      <c r="K98" s="35"/>
      <c r="L98" s="17" t="str">
        <f t="shared" si="18"/>
        <v/>
      </c>
      <c r="M98" s="17" t="str">
        <f t="shared" si="19"/>
        <v/>
      </c>
    </row>
    <row r="99" spans="1:13" x14ac:dyDescent="0.25">
      <c r="A99" s="13">
        <v>7</v>
      </c>
      <c r="B99" s="91" t="s">
        <v>167</v>
      </c>
      <c r="C99" s="91" t="s">
        <v>215</v>
      </c>
      <c r="D99" s="35"/>
      <c r="E99" s="17" t="str">
        <f t="shared" si="16"/>
        <v/>
      </c>
      <c r="F99" s="17" t="str">
        <f t="shared" si="17"/>
        <v/>
      </c>
      <c r="H99" s="13">
        <v>7</v>
      </c>
      <c r="I99" s="91" t="s">
        <v>167</v>
      </c>
      <c r="J99" s="91" t="s">
        <v>216</v>
      </c>
      <c r="K99" s="35"/>
      <c r="L99" s="17" t="str">
        <f t="shared" si="18"/>
        <v/>
      </c>
      <c r="M99" s="17" t="str">
        <f t="shared" si="19"/>
        <v/>
      </c>
    </row>
    <row r="100" spans="1:13" x14ac:dyDescent="0.25">
      <c r="A100" s="13">
        <v>8</v>
      </c>
      <c r="B100" s="91" t="s">
        <v>167</v>
      </c>
      <c r="C100" s="91" t="s">
        <v>215</v>
      </c>
      <c r="D100" s="35"/>
      <c r="E100" s="17" t="str">
        <f t="shared" si="16"/>
        <v/>
      </c>
      <c r="F100" s="17" t="str">
        <f t="shared" si="17"/>
        <v/>
      </c>
      <c r="H100" s="13">
        <v>8</v>
      </c>
      <c r="I100" s="91" t="s">
        <v>167</v>
      </c>
      <c r="J100" s="91" t="s">
        <v>216</v>
      </c>
      <c r="K100" s="35"/>
      <c r="L100" s="17" t="str">
        <f t="shared" si="18"/>
        <v/>
      </c>
      <c r="M100" s="17" t="str">
        <f t="shared" si="19"/>
        <v/>
      </c>
    </row>
    <row r="101" spans="1:13" x14ac:dyDescent="0.25">
      <c r="A101" s="13">
        <v>9</v>
      </c>
      <c r="B101" s="91" t="s">
        <v>167</v>
      </c>
      <c r="C101" s="91" t="s">
        <v>215</v>
      </c>
      <c r="D101" s="35"/>
      <c r="E101" s="17" t="str">
        <f t="shared" si="16"/>
        <v/>
      </c>
      <c r="F101" s="17" t="str">
        <f t="shared" si="17"/>
        <v/>
      </c>
      <c r="H101" s="13">
        <v>9</v>
      </c>
      <c r="I101" s="91" t="s">
        <v>167</v>
      </c>
      <c r="J101" s="91" t="s">
        <v>216</v>
      </c>
      <c r="K101" s="35"/>
      <c r="L101" s="17" t="str">
        <f t="shared" si="18"/>
        <v/>
      </c>
      <c r="M101" s="17" t="str">
        <f t="shared" si="19"/>
        <v/>
      </c>
    </row>
    <row r="102" spans="1:13" x14ac:dyDescent="0.25">
      <c r="A102" s="13">
        <v>10</v>
      </c>
      <c r="B102" s="91" t="s">
        <v>167</v>
      </c>
      <c r="C102" s="91" t="s">
        <v>215</v>
      </c>
      <c r="D102" s="35"/>
      <c r="E102" s="17" t="str">
        <f t="shared" si="16"/>
        <v/>
      </c>
      <c r="F102" s="17" t="str">
        <f t="shared" si="17"/>
        <v/>
      </c>
      <c r="H102" s="13">
        <v>10</v>
      </c>
      <c r="I102" s="91" t="s">
        <v>167</v>
      </c>
      <c r="J102" s="91" t="s">
        <v>216</v>
      </c>
      <c r="K102" s="35"/>
      <c r="L102" s="17" t="str">
        <f t="shared" si="18"/>
        <v/>
      </c>
      <c r="M102" s="17" t="str">
        <f t="shared" si="19"/>
        <v/>
      </c>
    </row>
    <row r="103" spans="1:13" x14ac:dyDescent="0.25">
      <c r="A103" s="13">
        <v>11</v>
      </c>
      <c r="B103" s="91" t="s">
        <v>167</v>
      </c>
      <c r="C103" s="91" t="s">
        <v>215</v>
      </c>
      <c r="D103" s="35"/>
      <c r="E103" s="17" t="str">
        <f t="shared" si="16"/>
        <v/>
      </c>
      <c r="F103" s="17" t="str">
        <f t="shared" si="17"/>
        <v/>
      </c>
      <c r="H103" s="13">
        <v>11</v>
      </c>
      <c r="I103" s="91" t="s">
        <v>167</v>
      </c>
      <c r="J103" s="91" t="s">
        <v>216</v>
      </c>
      <c r="K103" s="35"/>
      <c r="L103" s="17" t="str">
        <f t="shared" si="18"/>
        <v/>
      </c>
      <c r="M103" s="17" t="str">
        <f t="shared" si="19"/>
        <v/>
      </c>
    </row>
    <row r="104" spans="1:13" x14ac:dyDescent="0.25">
      <c r="A104" s="13">
        <v>12</v>
      </c>
      <c r="B104" s="91" t="s">
        <v>167</v>
      </c>
      <c r="C104" s="91" t="s">
        <v>215</v>
      </c>
      <c r="D104" s="35"/>
      <c r="E104" s="17" t="str">
        <f t="shared" si="16"/>
        <v/>
      </c>
      <c r="F104" s="17" t="str">
        <f t="shared" si="17"/>
        <v/>
      </c>
      <c r="H104" s="13">
        <v>12</v>
      </c>
      <c r="I104" s="91" t="s">
        <v>167</v>
      </c>
      <c r="J104" s="91" t="s">
        <v>216</v>
      </c>
      <c r="K104" s="35"/>
      <c r="L104" s="17" t="str">
        <f t="shared" si="18"/>
        <v/>
      </c>
      <c r="M104" s="17" t="str">
        <f t="shared" si="19"/>
        <v/>
      </c>
    </row>
    <row r="105" spans="1:13" x14ac:dyDescent="0.25">
      <c r="A105" s="13">
        <v>13</v>
      </c>
      <c r="B105" s="91" t="s">
        <v>167</v>
      </c>
      <c r="C105" s="91" t="s">
        <v>215</v>
      </c>
      <c r="D105" s="35"/>
      <c r="E105" s="17" t="str">
        <f t="shared" si="16"/>
        <v/>
      </c>
      <c r="F105" s="17" t="str">
        <f t="shared" si="17"/>
        <v/>
      </c>
      <c r="H105" s="13">
        <v>13</v>
      </c>
      <c r="I105" s="91" t="s">
        <v>167</v>
      </c>
      <c r="J105" s="91" t="s">
        <v>216</v>
      </c>
      <c r="K105" s="35"/>
      <c r="L105" s="17" t="str">
        <f t="shared" si="18"/>
        <v/>
      </c>
      <c r="M105" s="17" t="str">
        <f t="shared" si="19"/>
        <v/>
      </c>
    </row>
    <row r="106" spans="1:13" x14ac:dyDescent="0.25">
      <c r="A106" s="13">
        <v>14</v>
      </c>
      <c r="B106" s="91" t="s">
        <v>167</v>
      </c>
      <c r="C106" s="91" t="s">
        <v>215</v>
      </c>
      <c r="D106" s="35"/>
      <c r="E106" s="17" t="str">
        <f t="shared" si="16"/>
        <v/>
      </c>
      <c r="F106" s="17" t="str">
        <f t="shared" si="17"/>
        <v/>
      </c>
      <c r="H106" s="13">
        <v>14</v>
      </c>
      <c r="I106" s="91" t="s">
        <v>167</v>
      </c>
      <c r="J106" s="91" t="s">
        <v>216</v>
      </c>
      <c r="K106" s="35"/>
      <c r="L106" s="17" t="str">
        <f t="shared" si="18"/>
        <v/>
      </c>
      <c r="M106" s="17" t="str">
        <f t="shared" si="19"/>
        <v/>
      </c>
    </row>
    <row r="107" spans="1:13" x14ac:dyDescent="0.25">
      <c r="A107" s="13">
        <v>15</v>
      </c>
      <c r="B107" s="91" t="s">
        <v>167</v>
      </c>
      <c r="C107" s="91" t="s">
        <v>215</v>
      </c>
      <c r="D107" s="35"/>
      <c r="E107" s="17" t="str">
        <f t="shared" si="16"/>
        <v/>
      </c>
      <c r="F107" s="17" t="str">
        <f t="shared" si="17"/>
        <v/>
      </c>
      <c r="H107" s="13">
        <v>15</v>
      </c>
      <c r="I107" s="91" t="s">
        <v>167</v>
      </c>
      <c r="J107" s="91" t="s">
        <v>216</v>
      </c>
      <c r="K107" s="35"/>
      <c r="L107" s="17" t="str">
        <f t="shared" si="18"/>
        <v/>
      </c>
      <c r="M107" s="17" t="str">
        <f t="shared" si="19"/>
        <v/>
      </c>
    </row>
    <row r="108" spans="1:13" x14ac:dyDescent="0.25">
      <c r="A108" s="13">
        <v>16</v>
      </c>
      <c r="B108" s="91" t="s">
        <v>167</v>
      </c>
      <c r="C108" s="91" t="s">
        <v>215</v>
      </c>
      <c r="D108" s="35"/>
      <c r="E108" s="17" t="str">
        <f t="shared" si="16"/>
        <v/>
      </c>
      <c r="F108" s="17" t="str">
        <f t="shared" si="17"/>
        <v/>
      </c>
      <c r="H108" s="13">
        <v>16</v>
      </c>
      <c r="I108" s="91" t="s">
        <v>167</v>
      </c>
      <c r="J108" s="91" t="s">
        <v>216</v>
      </c>
      <c r="K108" s="35"/>
      <c r="L108" s="17" t="str">
        <f t="shared" si="18"/>
        <v/>
      </c>
      <c r="M108" s="17" t="str">
        <f t="shared" si="19"/>
        <v/>
      </c>
    </row>
    <row r="109" spans="1:13" x14ac:dyDescent="0.25">
      <c r="A109" s="13">
        <v>17</v>
      </c>
      <c r="B109" s="91" t="s">
        <v>167</v>
      </c>
      <c r="C109" s="91" t="s">
        <v>215</v>
      </c>
      <c r="D109" s="35"/>
      <c r="E109" s="17" t="str">
        <f t="shared" si="16"/>
        <v/>
      </c>
      <c r="F109" s="17" t="str">
        <f t="shared" si="17"/>
        <v/>
      </c>
      <c r="H109" s="13">
        <v>17</v>
      </c>
      <c r="I109" s="91" t="s">
        <v>167</v>
      </c>
      <c r="J109" s="91" t="s">
        <v>216</v>
      </c>
      <c r="K109" s="35"/>
      <c r="L109" s="17" t="str">
        <f t="shared" si="18"/>
        <v/>
      </c>
      <c r="M109" s="17" t="str">
        <f t="shared" si="19"/>
        <v/>
      </c>
    </row>
    <row r="110" spans="1:13" x14ac:dyDescent="0.25">
      <c r="A110" s="13">
        <v>18</v>
      </c>
      <c r="B110" s="91" t="s">
        <v>167</v>
      </c>
      <c r="C110" s="91" t="s">
        <v>215</v>
      </c>
      <c r="D110" s="35"/>
      <c r="E110" s="17" t="str">
        <f t="shared" si="16"/>
        <v/>
      </c>
      <c r="F110" s="17" t="str">
        <f t="shared" si="17"/>
        <v/>
      </c>
      <c r="H110" s="13">
        <v>18</v>
      </c>
      <c r="I110" s="91" t="s">
        <v>167</v>
      </c>
      <c r="J110" s="91" t="s">
        <v>216</v>
      </c>
      <c r="K110" s="35"/>
      <c r="L110" s="17" t="str">
        <f t="shared" si="18"/>
        <v/>
      </c>
      <c r="M110" s="17" t="str">
        <f t="shared" si="19"/>
        <v/>
      </c>
    </row>
    <row r="111" spans="1:13" x14ac:dyDescent="0.25">
      <c r="A111" s="13">
        <v>19</v>
      </c>
      <c r="B111" s="91" t="s">
        <v>167</v>
      </c>
      <c r="C111" s="91" t="s">
        <v>215</v>
      </c>
      <c r="D111" s="35"/>
      <c r="E111" s="17" t="str">
        <f t="shared" si="16"/>
        <v/>
      </c>
      <c r="F111" s="17" t="str">
        <f t="shared" si="17"/>
        <v/>
      </c>
      <c r="H111" s="13">
        <v>19</v>
      </c>
      <c r="I111" s="91" t="s">
        <v>167</v>
      </c>
      <c r="J111" s="91" t="s">
        <v>216</v>
      </c>
      <c r="K111" s="35"/>
      <c r="L111" s="17" t="str">
        <f t="shared" si="18"/>
        <v/>
      </c>
      <c r="M111" s="17" t="str">
        <f t="shared" si="19"/>
        <v/>
      </c>
    </row>
    <row r="112" spans="1:13" x14ac:dyDescent="0.25">
      <c r="A112" s="13">
        <v>20</v>
      </c>
      <c r="B112" s="91" t="s">
        <v>167</v>
      </c>
      <c r="C112" s="91" t="s">
        <v>215</v>
      </c>
      <c r="D112" s="35"/>
      <c r="E112" s="17" t="str">
        <f t="shared" si="16"/>
        <v/>
      </c>
      <c r="F112" s="17" t="str">
        <f t="shared" si="17"/>
        <v/>
      </c>
      <c r="H112" s="13">
        <v>20</v>
      </c>
      <c r="I112" s="91" t="s">
        <v>167</v>
      </c>
      <c r="J112" s="91" t="s">
        <v>216</v>
      </c>
      <c r="K112" s="35"/>
      <c r="L112" s="17" t="str">
        <f t="shared" si="18"/>
        <v/>
      </c>
      <c r="M112" s="17" t="str">
        <f t="shared" si="19"/>
        <v/>
      </c>
    </row>
    <row r="113" spans="1:13" x14ac:dyDescent="0.25">
      <c r="A113" s="4" t="s">
        <v>12</v>
      </c>
      <c r="B113" s="12"/>
      <c r="C113" s="12"/>
      <c r="D113" s="4"/>
      <c r="E113" s="4"/>
      <c r="F113" s="4"/>
      <c r="H113" s="4" t="s">
        <v>58</v>
      </c>
      <c r="I113" s="12"/>
      <c r="J113" s="12"/>
      <c r="K113" s="4"/>
      <c r="L113" s="4"/>
      <c r="M113" s="4"/>
    </row>
    <row r="114" spans="1:13" ht="23.25" x14ac:dyDescent="0.25">
      <c r="A114" s="15" t="s">
        <v>0</v>
      </c>
      <c r="B114" s="15" t="s">
        <v>55</v>
      </c>
      <c r="C114" s="15" t="s">
        <v>56</v>
      </c>
      <c r="D114" s="16" t="s">
        <v>8</v>
      </c>
      <c r="E114" s="15" t="s">
        <v>2</v>
      </c>
      <c r="F114" s="15" t="s">
        <v>1</v>
      </c>
      <c r="H114" s="15" t="s">
        <v>0</v>
      </c>
      <c r="I114" s="15" t="s">
        <v>55</v>
      </c>
      <c r="J114" s="15" t="s">
        <v>56</v>
      </c>
      <c r="K114" s="16" t="s">
        <v>8</v>
      </c>
      <c r="L114" s="15" t="s">
        <v>2</v>
      </c>
      <c r="M114" s="15" t="s">
        <v>1</v>
      </c>
    </row>
    <row r="115" spans="1:13" x14ac:dyDescent="0.25">
      <c r="A115" s="3">
        <v>1</v>
      </c>
      <c r="B115" s="91" t="s">
        <v>167</v>
      </c>
      <c r="C115" s="13" t="s">
        <v>50</v>
      </c>
      <c r="D115" s="35"/>
      <c r="E115" s="17" t="str">
        <f t="shared" ref="E115:E122" si="20">IF(D115&gt;0,VLOOKUP(D115,Jumpers,3),"")</f>
        <v/>
      </c>
      <c r="F115" s="17" t="str">
        <f t="shared" ref="F115:F122" si="21">IF(D115&gt;0,VLOOKUP(D115,Jumpers,2),"")</f>
        <v/>
      </c>
      <c r="H115" s="3">
        <v>1</v>
      </c>
      <c r="I115" s="91" t="s">
        <v>167</v>
      </c>
      <c r="J115" s="13" t="s">
        <v>51</v>
      </c>
      <c r="K115" s="35"/>
      <c r="L115" s="17" t="str">
        <f t="shared" ref="L115:L122" si="22">IF(K115&gt;0,VLOOKUP(K115,Jumpers,3),"")</f>
        <v/>
      </c>
      <c r="M115" s="17" t="str">
        <f t="shared" ref="M115:M122" si="23">IF(K115&gt;0,VLOOKUP(K115,Jumpers,2),"")</f>
        <v/>
      </c>
    </row>
    <row r="116" spans="1:13" x14ac:dyDescent="0.25">
      <c r="A116" s="3">
        <v>2</v>
      </c>
      <c r="B116" s="91" t="s">
        <v>167</v>
      </c>
      <c r="C116" s="13" t="s">
        <v>50</v>
      </c>
      <c r="D116" s="35"/>
      <c r="E116" s="17" t="str">
        <f t="shared" si="20"/>
        <v/>
      </c>
      <c r="F116" s="17" t="str">
        <f t="shared" si="21"/>
        <v/>
      </c>
      <c r="H116" s="3">
        <v>2</v>
      </c>
      <c r="I116" s="91" t="s">
        <v>167</v>
      </c>
      <c r="J116" s="13" t="s">
        <v>51</v>
      </c>
      <c r="K116" s="35"/>
      <c r="L116" s="17" t="str">
        <f t="shared" si="22"/>
        <v/>
      </c>
      <c r="M116" s="17" t="str">
        <f t="shared" si="23"/>
        <v/>
      </c>
    </row>
    <row r="117" spans="1:13" x14ac:dyDescent="0.25">
      <c r="A117" s="3">
        <v>3</v>
      </c>
      <c r="B117" s="91" t="s">
        <v>167</v>
      </c>
      <c r="C117" s="13" t="s">
        <v>50</v>
      </c>
      <c r="D117" s="35"/>
      <c r="E117" s="17" t="str">
        <f t="shared" si="20"/>
        <v/>
      </c>
      <c r="F117" s="17" t="str">
        <f t="shared" si="21"/>
        <v/>
      </c>
      <c r="H117" s="3">
        <v>3</v>
      </c>
      <c r="I117" s="91" t="s">
        <v>167</v>
      </c>
      <c r="J117" s="13" t="s">
        <v>51</v>
      </c>
      <c r="K117" s="35"/>
      <c r="L117" s="17" t="str">
        <f t="shared" si="22"/>
        <v/>
      </c>
      <c r="M117" s="17" t="str">
        <f t="shared" si="23"/>
        <v/>
      </c>
    </row>
    <row r="118" spans="1:13" x14ac:dyDescent="0.25">
      <c r="A118" s="3">
        <v>4</v>
      </c>
      <c r="B118" s="91" t="s">
        <v>167</v>
      </c>
      <c r="C118" s="13" t="s">
        <v>50</v>
      </c>
      <c r="D118" s="35"/>
      <c r="E118" s="17" t="str">
        <f t="shared" si="20"/>
        <v/>
      </c>
      <c r="F118" s="17" t="str">
        <f t="shared" si="21"/>
        <v/>
      </c>
      <c r="H118" s="3">
        <v>4</v>
      </c>
      <c r="I118" s="91" t="s">
        <v>167</v>
      </c>
      <c r="J118" s="13" t="s">
        <v>51</v>
      </c>
      <c r="K118" s="35"/>
      <c r="L118" s="17" t="str">
        <f t="shared" si="22"/>
        <v/>
      </c>
      <c r="M118" s="17" t="str">
        <f t="shared" si="23"/>
        <v/>
      </c>
    </row>
    <row r="119" spans="1:13" x14ac:dyDescent="0.25">
      <c r="A119" s="3">
        <v>5</v>
      </c>
      <c r="B119" s="91" t="s">
        <v>167</v>
      </c>
      <c r="C119" s="13" t="s">
        <v>50</v>
      </c>
      <c r="D119" s="35"/>
      <c r="E119" s="17" t="str">
        <f t="shared" si="20"/>
        <v/>
      </c>
      <c r="F119" s="17" t="str">
        <f t="shared" si="21"/>
        <v/>
      </c>
      <c r="H119" s="3">
        <v>5</v>
      </c>
      <c r="I119" s="91" t="s">
        <v>167</v>
      </c>
      <c r="J119" s="13" t="s">
        <v>51</v>
      </c>
      <c r="K119" s="35"/>
      <c r="L119" s="17" t="str">
        <f t="shared" si="22"/>
        <v/>
      </c>
      <c r="M119" s="17" t="str">
        <f t="shared" si="23"/>
        <v/>
      </c>
    </row>
    <row r="120" spans="1:13" x14ac:dyDescent="0.25">
      <c r="A120" s="3">
        <v>6</v>
      </c>
      <c r="B120" s="91" t="s">
        <v>167</v>
      </c>
      <c r="C120" s="13" t="s">
        <v>50</v>
      </c>
      <c r="D120" s="35"/>
      <c r="E120" s="17" t="str">
        <f t="shared" si="20"/>
        <v/>
      </c>
      <c r="F120" s="17" t="str">
        <f t="shared" si="21"/>
        <v/>
      </c>
      <c r="H120" s="3">
        <v>6</v>
      </c>
      <c r="I120" s="91" t="s">
        <v>167</v>
      </c>
      <c r="J120" s="13" t="s">
        <v>51</v>
      </c>
      <c r="K120" s="35"/>
      <c r="L120" s="17" t="str">
        <f t="shared" si="22"/>
        <v/>
      </c>
      <c r="M120" s="17" t="str">
        <f t="shared" si="23"/>
        <v/>
      </c>
    </row>
    <row r="121" spans="1:13" x14ac:dyDescent="0.25">
      <c r="A121" s="3">
        <v>7</v>
      </c>
      <c r="B121" s="91" t="s">
        <v>167</v>
      </c>
      <c r="C121" s="13" t="s">
        <v>50</v>
      </c>
      <c r="D121" s="35"/>
      <c r="E121" s="17" t="str">
        <f t="shared" si="20"/>
        <v/>
      </c>
      <c r="F121" s="17" t="str">
        <f t="shared" si="21"/>
        <v/>
      </c>
      <c r="H121" s="3">
        <v>7</v>
      </c>
      <c r="I121" s="91" t="s">
        <v>167</v>
      </c>
      <c r="J121" s="13" t="s">
        <v>51</v>
      </c>
      <c r="K121" s="35"/>
      <c r="L121" s="17" t="str">
        <f t="shared" si="22"/>
        <v/>
      </c>
      <c r="M121" s="17" t="str">
        <f t="shared" si="23"/>
        <v/>
      </c>
    </row>
    <row r="122" spans="1:13" x14ac:dyDescent="0.25">
      <c r="A122" s="3">
        <v>8</v>
      </c>
      <c r="B122" s="91" t="s">
        <v>167</v>
      </c>
      <c r="C122" s="13" t="s">
        <v>50</v>
      </c>
      <c r="D122" s="35"/>
      <c r="E122" s="17" t="str">
        <f t="shared" si="20"/>
        <v/>
      </c>
      <c r="F122" s="17" t="str">
        <f t="shared" si="21"/>
        <v/>
      </c>
      <c r="H122" s="3">
        <v>8</v>
      </c>
      <c r="I122" s="91" t="s">
        <v>167</v>
      </c>
      <c r="J122" s="13" t="s">
        <v>51</v>
      </c>
      <c r="K122" s="35"/>
      <c r="L122" s="17" t="str">
        <f t="shared" si="22"/>
        <v/>
      </c>
      <c r="M122" s="17" t="str">
        <f t="shared" si="23"/>
        <v/>
      </c>
    </row>
    <row r="123" spans="1:13" x14ac:dyDescent="0.25">
      <c r="A123" s="4" t="s">
        <v>13</v>
      </c>
      <c r="B123" s="12"/>
      <c r="C123" s="12"/>
      <c r="D123" s="4"/>
      <c r="E123" s="4"/>
      <c r="F123" s="4"/>
    </row>
    <row r="124" spans="1:13" ht="23.25" x14ac:dyDescent="0.25">
      <c r="A124" s="15" t="s">
        <v>0</v>
      </c>
      <c r="B124" s="15" t="s">
        <v>55</v>
      </c>
      <c r="C124" s="15" t="s">
        <v>56</v>
      </c>
      <c r="D124" s="16" t="s">
        <v>8</v>
      </c>
      <c r="E124" s="15" t="s">
        <v>2</v>
      </c>
      <c r="F124" s="15" t="s">
        <v>1</v>
      </c>
    </row>
    <row r="125" spans="1:13" x14ac:dyDescent="0.25">
      <c r="A125" s="3">
        <v>1</v>
      </c>
      <c r="B125" s="91" t="s">
        <v>167</v>
      </c>
      <c r="C125" s="13" t="s">
        <v>52</v>
      </c>
      <c r="D125" s="35"/>
      <c r="E125" s="17" t="str">
        <f>IF(D125&gt;0,VLOOKUP(D125,Jumpers,3),"")</f>
        <v/>
      </c>
      <c r="F125" s="17" t="str">
        <f>IF(D125&gt;0,VLOOKUP(D125,Jumpers,2),"")</f>
        <v/>
      </c>
    </row>
    <row r="126" spans="1:13" x14ac:dyDescent="0.25">
      <c r="A126" s="3">
        <v>2</v>
      </c>
      <c r="B126" s="91" t="s">
        <v>167</v>
      </c>
      <c r="C126" s="13" t="s">
        <v>52</v>
      </c>
      <c r="D126" s="35"/>
      <c r="E126" s="17" t="str">
        <f>IF(D126&gt;0,VLOOKUP(D126,Jumpers,3),"")</f>
        <v/>
      </c>
      <c r="F126" s="17" t="str">
        <f>IF(D126&gt;0,VLOOKUP(D126,Jumpers,2),"")</f>
        <v/>
      </c>
    </row>
    <row r="127" spans="1:13" x14ac:dyDescent="0.25">
      <c r="A127" s="3">
        <v>3</v>
      </c>
      <c r="B127" s="91" t="s">
        <v>167</v>
      </c>
      <c r="C127" s="13" t="s">
        <v>52</v>
      </c>
      <c r="D127" s="35"/>
      <c r="E127" s="17" t="str">
        <f>IF(D127&gt;0,VLOOKUP(D127,Jumpers,3),"")</f>
        <v/>
      </c>
      <c r="F127" s="17" t="str">
        <f>IF(D127&gt;0,VLOOKUP(D127,Jumpers,2),"")</f>
        <v/>
      </c>
    </row>
    <row r="128" spans="1:13" x14ac:dyDescent="0.25">
      <c r="A128" s="3">
        <v>4</v>
      </c>
      <c r="B128" s="91" t="s">
        <v>167</v>
      </c>
      <c r="C128" s="13" t="s">
        <v>52</v>
      </c>
      <c r="D128" s="35"/>
      <c r="E128" s="17" t="str">
        <f>IF(D128&gt;0,VLOOKUP(D128,Jumpers,3),"")</f>
        <v/>
      </c>
      <c r="F128" s="17" t="str">
        <f>IF(D128&gt;0,VLOOKUP(D128,Jumpers,2),"")</f>
        <v/>
      </c>
    </row>
    <row r="129" spans="1:6" x14ac:dyDescent="0.25">
      <c r="A129" s="3">
        <v>5</v>
      </c>
      <c r="B129" s="91" t="s">
        <v>167</v>
      </c>
      <c r="C129" s="13" t="s">
        <v>52</v>
      </c>
      <c r="D129" s="35"/>
      <c r="E129" s="17" t="str">
        <f>IF(D129&gt;0,VLOOKUP(D129,Jumpers,3),"")</f>
        <v/>
      </c>
      <c r="F129" s="17" t="str">
        <f>IF(D129&gt;0,VLOOKUP(D129,Jumpers,2),"")</f>
        <v/>
      </c>
    </row>
  </sheetData>
  <sheetProtection password="CE88" sheet="1" objects="1" scenarios="1" selectLockedCells="1"/>
  <phoneticPr fontId="26" type="noConversion"/>
  <conditionalFormatting sqref="D5:D24">
    <cfRule type="expression" dxfId="420" priority="35" stopIfTrue="1">
      <formula>OR(CODE(D5)&lt;48,CODE(D5)&gt;57)</formula>
    </cfRule>
    <cfRule type="expression" dxfId="419" priority="67" stopIfTrue="1">
      <formula>VLOOKUP(D5,Jumpers,5)&lt;&gt;LEFT($A$1,1)</formula>
    </cfRule>
    <cfRule type="expression" dxfId="418" priority="68" stopIfTrue="1">
      <formula>VLOOKUP(D5,Jumpers,8)&lt;&gt;C5</formula>
    </cfRule>
  </conditionalFormatting>
  <conditionalFormatting sqref="D27:D46">
    <cfRule type="expression" dxfId="417" priority="33" stopIfTrue="1">
      <formula>OR(CODE(D27)&lt;48,CODE(D27)&gt;57)</formula>
    </cfRule>
    <cfRule type="expression" dxfId="416" priority="63" stopIfTrue="1">
      <formula>VLOOKUP(D27,Jumpers,5)&lt;&gt;LEFT($A$1,1)</formula>
    </cfRule>
    <cfRule type="expression" dxfId="415" priority="64" stopIfTrue="1">
      <formula>VLOOKUP(D27,Jumpers,8)&lt;&gt;C27</formula>
    </cfRule>
  </conditionalFormatting>
  <conditionalFormatting sqref="K28:K46">
    <cfRule type="expression" dxfId="414" priority="61" stopIfTrue="1">
      <formula>VLOOKUP(K28,Jumpers,5)&lt;&gt;LEFT($A$1,1)</formula>
    </cfRule>
    <cfRule type="expression" dxfId="413" priority="62" stopIfTrue="1">
      <formula>VLOOKUP(K28,Jumpers,8)&lt;&gt;J28</formula>
    </cfRule>
  </conditionalFormatting>
  <conditionalFormatting sqref="K115:K119">
    <cfRule type="expression" dxfId="412" priority="7" stopIfTrue="1">
      <formula>OR(CODE(K115)&lt;48,CODE(K115)&gt;57)</formula>
    </cfRule>
    <cfRule type="expression" dxfId="411" priority="55" stopIfTrue="1">
      <formula>VLOOKUP(K115,Jumpers,5)&lt;&gt;LEFT($A$1,1)</formula>
    </cfRule>
    <cfRule type="expression" dxfId="410" priority="56" stopIfTrue="1">
      <formula>VLOOKUP(K115,Jumpers,8)&lt;&gt;J115</formula>
    </cfRule>
  </conditionalFormatting>
  <conditionalFormatting sqref="K5:K24">
    <cfRule type="expression" dxfId="409" priority="34" stopIfTrue="1">
      <formula>OR(CODE(K5)&lt;48,CODE(K5)&gt;57)</formula>
    </cfRule>
    <cfRule type="expression" dxfId="408" priority="40" stopIfTrue="1">
      <formula>VLOOKUP(K5,Jumpers,8)="8-Under"</formula>
    </cfRule>
    <cfRule type="expression" dxfId="407" priority="41" stopIfTrue="1">
      <formula>VLOOKUP(K5,Jumpers,5)&lt;&gt;LEFT($A$1,1)</formula>
    </cfRule>
    <cfRule type="expression" dxfId="406" priority="42" stopIfTrue="1">
      <formula>VLOOKUP(K5,Jumpers,7)&gt;9</formula>
    </cfRule>
  </conditionalFormatting>
  <conditionalFormatting sqref="K27:K46">
    <cfRule type="expression" dxfId="405" priority="30" stopIfTrue="1">
      <formula>OR(CODE(K27)&lt;48,CODE(K27)&gt;57)</formula>
    </cfRule>
    <cfRule type="expression" dxfId="404" priority="31" stopIfTrue="1">
      <formula>VLOOKUP(K27,Jumpers,5)&lt;&gt;LEFT($A$1,1)</formula>
    </cfRule>
    <cfRule type="expression" dxfId="403" priority="32" stopIfTrue="1">
      <formula>VLOOKUP(K27,Jumpers,8)&lt;&gt;J27</formula>
    </cfRule>
  </conditionalFormatting>
  <conditionalFormatting sqref="D49:D68">
    <cfRule type="expression" dxfId="402" priority="27" stopIfTrue="1">
      <formula>OR(CODE(D49)&lt;48,CODE(D49)&gt;57)</formula>
    </cfRule>
    <cfRule type="expression" dxfId="401" priority="28" stopIfTrue="1">
      <formula>VLOOKUP(D49,Jumpers,5)&lt;&gt;LEFT($A$1,1)</formula>
    </cfRule>
    <cfRule type="expression" dxfId="400" priority="29" stopIfTrue="1">
      <formula>VLOOKUP(D49,Jumpers,8)&lt;&gt;C49</formula>
    </cfRule>
  </conditionalFormatting>
  <conditionalFormatting sqref="K49:K68">
    <cfRule type="expression" dxfId="399" priority="24" stopIfTrue="1">
      <formula>OR(CODE(K49)&lt;48,CODE(K49)&gt;57)</formula>
    </cfRule>
    <cfRule type="expression" dxfId="398" priority="25" stopIfTrue="1">
      <formula>VLOOKUP(K49,Jumpers,5)&lt;&gt;LEFT($A$1,1)</formula>
    </cfRule>
    <cfRule type="expression" dxfId="397" priority="26" stopIfTrue="1">
      <formula>VLOOKUP(K49,Jumpers,8)&lt;&gt;J49</formula>
    </cfRule>
  </conditionalFormatting>
  <conditionalFormatting sqref="D71:D90">
    <cfRule type="expression" dxfId="396" priority="21" stopIfTrue="1">
      <formula>OR(CODE(D71)&lt;48,CODE(D71)&gt;57)</formula>
    </cfRule>
    <cfRule type="expression" dxfId="395" priority="22" stopIfTrue="1">
      <formula>VLOOKUP(D71,Jumpers,5)&lt;&gt;LEFT($A$1,1)</formula>
    </cfRule>
    <cfRule type="expression" dxfId="394" priority="23" stopIfTrue="1">
      <formula>VLOOKUP(D71,Jumpers,8)&lt;&gt;C71</formula>
    </cfRule>
  </conditionalFormatting>
  <conditionalFormatting sqref="K71:K90">
    <cfRule type="expression" dxfId="393" priority="18" stopIfTrue="1">
      <formula>OR(CODE(K71)&lt;48,CODE(K71)&gt;57)</formula>
    </cfRule>
    <cfRule type="expression" dxfId="392" priority="19" stopIfTrue="1">
      <formula>VLOOKUP(K71,Jumpers,5)&lt;&gt;LEFT($A$1,1)</formula>
    </cfRule>
    <cfRule type="expression" dxfId="391" priority="20" stopIfTrue="1">
      <formula>VLOOKUP(K71,Jumpers,8)&lt;&gt;J71</formula>
    </cfRule>
  </conditionalFormatting>
  <conditionalFormatting sqref="D93:D112">
    <cfRule type="expression" dxfId="390" priority="15" stopIfTrue="1">
      <formula>OR(CODE(D93)&lt;48,CODE(D93)&gt;57)</formula>
    </cfRule>
    <cfRule type="expression" dxfId="389" priority="16" stopIfTrue="1">
      <formula>VLOOKUP(D93,Jumpers,5)&lt;&gt;LEFT($A$1,1)</formula>
    </cfRule>
    <cfRule type="expression" dxfId="388" priority="17" stopIfTrue="1">
      <formula>VLOOKUP(D93,Jumpers,8)&lt;&gt;C93</formula>
    </cfRule>
  </conditionalFormatting>
  <conditionalFormatting sqref="K93:K112">
    <cfRule type="expression" dxfId="387" priority="12" stopIfTrue="1">
      <formula>OR(CODE(K93)&lt;48,CODE(K93)&gt;57)</formula>
    </cfRule>
    <cfRule type="expression" dxfId="386" priority="13" stopIfTrue="1">
      <formula>VLOOKUP(K93,Jumpers,5)&lt;&gt;LEFT($A$1,1)</formula>
    </cfRule>
    <cfRule type="expression" dxfId="385" priority="14" stopIfTrue="1">
      <formula>VLOOKUP(K93,Jumpers,8)&lt;&gt;J93</formula>
    </cfRule>
  </conditionalFormatting>
  <conditionalFormatting sqref="D115:D122">
    <cfRule type="expression" dxfId="384" priority="8" stopIfTrue="1">
      <formula>OR(CODE(D115)&lt;48,CODE(D115)&gt;57)</formula>
    </cfRule>
    <cfRule type="expression" dxfId="383" priority="9" stopIfTrue="1">
      <formula>VLOOKUP(D115,Jumpers,5)&lt;&gt;LEFT($A$1,1)</formula>
    </cfRule>
    <cfRule type="expression" dxfId="382" priority="10" stopIfTrue="1">
      <formula>VLOOKUP(D115,Jumpers,8)&lt;&gt;C115</formula>
    </cfRule>
  </conditionalFormatting>
  <conditionalFormatting sqref="D125:D129">
    <cfRule type="expression" dxfId="381" priority="4" stopIfTrue="1">
      <formula>OR(CODE(D125)&lt;48,CODE(D125)&gt;57)</formula>
    </cfRule>
    <cfRule type="expression" dxfId="380" priority="5" stopIfTrue="1">
      <formula>VLOOKUP(D125,Jumpers,5)&lt;&gt;LEFT($A$1,1)</formula>
    </cfRule>
    <cfRule type="expression" dxfId="379" priority="6" stopIfTrue="1">
      <formula>VLOOKUP(D125,Jumpers,8)&lt;&gt;C125</formula>
    </cfRule>
  </conditionalFormatting>
  <conditionalFormatting sqref="K120:K122">
    <cfRule type="expression" dxfId="378" priority="1" stopIfTrue="1">
      <formula>OR(CODE(K120)&lt;48,CODE(K120)&gt;57)</formula>
    </cfRule>
    <cfRule type="expression" dxfId="377" priority="2" stopIfTrue="1">
      <formula>VLOOKUP(K120,Jumpers,5)&lt;&gt;LEFT($A$1,1)</formula>
    </cfRule>
    <cfRule type="expression" dxfId="376" priority="3" stopIfTrue="1">
      <formula>VLOOKUP(K120,Jumpers,8)&lt;&gt;J120</formula>
    </cfRule>
  </conditionalFormatting>
  <pageMargins left="0.25" right="0.25" top="0.75" bottom="0.75" header="0.3" footer="0.3"/>
  <pageSetup scale="69" fitToHeight="2" orientation="portrait" r:id="rId1"/>
  <headerFooter>
    <oddHeader>&amp;LUSAJR Regional Tournament&amp;R&amp;A</oddHeader>
    <oddFooter>&amp;RPage &amp;P of &amp;N</oddFooter>
  </headerFooter>
  <extLst>
    <ext xmlns:mx="http://schemas.microsoft.com/office/mac/excel/2008/main" uri="{64002731-A6B0-56B0-2670-7721B7C09600}">
      <mx:PLV Mode="0" OnePage="0" WScale="83"/>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129"/>
  <sheetViews>
    <sheetView workbookViewId="0">
      <selection activeCell="D5" sqref="D5"/>
    </sheetView>
  </sheetViews>
  <sheetFormatPr defaultColWidth="8.85546875" defaultRowHeight="15" x14ac:dyDescent="0.25"/>
  <cols>
    <col min="1" max="1" width="3.7109375" customWidth="1"/>
    <col min="2" max="2" width="4.7109375" style="14" bestFit="1" customWidth="1"/>
    <col min="3" max="3" width="7.140625" style="14" bestFit="1" customWidth="1"/>
    <col min="4" max="4" width="8.28515625" bestFit="1" customWidth="1"/>
    <col min="5" max="6" width="15.7109375" customWidth="1"/>
    <col min="7" max="7" width="1.7109375" customWidth="1"/>
    <col min="8" max="8" width="4.140625" customWidth="1"/>
    <col min="9" max="9" width="4.7109375" style="14" bestFit="1" customWidth="1"/>
    <col min="10" max="10" width="6.28515625" style="14" bestFit="1" customWidth="1"/>
    <col min="11" max="11" width="8.28515625" bestFit="1" customWidth="1"/>
    <col min="12" max="13" width="15.7109375" customWidth="1"/>
    <col min="14" max="14" width="1.7109375" customWidth="1"/>
    <col min="15" max="15" width="2.7109375" customWidth="1"/>
    <col min="16" max="16" width="4.7109375" bestFit="1" customWidth="1"/>
    <col min="17" max="17" width="4.85546875" bestFit="1" customWidth="1"/>
    <col min="19" max="20" width="12.7109375" customWidth="1"/>
    <col min="21" max="21" width="1.7109375" customWidth="1"/>
    <col min="22" max="22" width="2.7109375" customWidth="1"/>
    <col min="23" max="23" width="4.7109375" bestFit="1" customWidth="1"/>
    <col min="24" max="24" width="4.85546875" bestFit="1" customWidth="1"/>
    <col min="26" max="27" width="12.7109375" customWidth="1"/>
  </cols>
  <sheetData>
    <row r="1" spans="1:13" ht="18.75" x14ac:dyDescent="0.25">
      <c r="A1" s="5" t="s">
        <v>67</v>
      </c>
      <c r="B1" s="10"/>
      <c r="C1" s="10"/>
      <c r="M1" s="21" t="str">
        <f>CONCATENATE("Team: ",'Team Info'!$B$3)</f>
        <v xml:space="preserve">Team: </v>
      </c>
    </row>
    <row r="2" spans="1:13" x14ac:dyDescent="0.25">
      <c r="A2" s="6" t="s">
        <v>133</v>
      </c>
      <c r="B2" s="11"/>
      <c r="C2" s="11"/>
    </row>
    <row r="3" spans="1:13" x14ac:dyDescent="0.25">
      <c r="A3" s="4" t="s">
        <v>170</v>
      </c>
      <c r="B3" s="12"/>
      <c r="C3" s="12"/>
      <c r="D3" s="4"/>
      <c r="E3" s="4"/>
      <c r="F3" s="4"/>
      <c r="H3" s="4" t="s">
        <v>171</v>
      </c>
      <c r="I3" s="12"/>
      <c r="J3" s="12"/>
      <c r="K3" s="4"/>
      <c r="L3" s="4"/>
      <c r="M3" s="4"/>
    </row>
    <row r="4" spans="1:13" ht="23.25" x14ac:dyDescent="0.25">
      <c r="A4" s="15" t="s">
        <v>0</v>
      </c>
      <c r="B4" s="15" t="s">
        <v>55</v>
      </c>
      <c r="C4" s="15" t="s">
        <v>56</v>
      </c>
      <c r="D4" s="16" t="s">
        <v>8</v>
      </c>
      <c r="E4" s="15" t="s">
        <v>2</v>
      </c>
      <c r="F4" s="15" t="s">
        <v>1</v>
      </c>
      <c r="H4" s="15" t="s">
        <v>0</v>
      </c>
      <c r="I4" s="15" t="s">
        <v>55</v>
      </c>
      <c r="J4" s="15" t="s">
        <v>56</v>
      </c>
      <c r="K4" s="16" t="s">
        <v>8</v>
      </c>
      <c r="L4" s="15" t="s">
        <v>2</v>
      </c>
      <c r="M4" s="15" t="s">
        <v>1</v>
      </c>
    </row>
    <row r="5" spans="1:13" x14ac:dyDescent="0.25">
      <c r="A5" s="13">
        <v>1</v>
      </c>
      <c r="B5" s="91" t="s">
        <v>74</v>
      </c>
      <c r="C5" s="91" t="s">
        <v>146</v>
      </c>
      <c r="D5" s="35"/>
      <c r="E5" s="17" t="str">
        <f t="shared" ref="E5:E24" si="0">IF(D5&gt;0,VLOOKUP(D5,Jumpers,3),"")</f>
        <v/>
      </c>
      <c r="F5" s="17" t="str">
        <f t="shared" ref="F5:F24" si="1">IF(D5&gt;0,VLOOKUP(D5,Jumpers,2),"")</f>
        <v/>
      </c>
      <c r="H5" s="13">
        <v>1</v>
      </c>
      <c r="I5" s="91" t="s">
        <v>74</v>
      </c>
      <c r="J5" s="13">
        <v>9</v>
      </c>
      <c r="K5" s="35"/>
      <c r="L5" s="17" t="str">
        <f t="shared" ref="L5:L24" si="2">IF(K5&gt;0,VLOOKUP(K5,Jumpers,3),"")</f>
        <v/>
      </c>
      <c r="M5" s="17" t="str">
        <f t="shared" ref="M5:M24" si="3">IF(K5&gt;0,VLOOKUP(K5,Jumpers,2),"")</f>
        <v/>
      </c>
    </row>
    <row r="6" spans="1:13" x14ac:dyDescent="0.25">
      <c r="A6" s="13">
        <v>2</v>
      </c>
      <c r="B6" s="91" t="s">
        <v>74</v>
      </c>
      <c r="C6" s="91" t="s">
        <v>146</v>
      </c>
      <c r="D6" s="35"/>
      <c r="E6" s="17" t="str">
        <f t="shared" si="0"/>
        <v/>
      </c>
      <c r="F6" s="17" t="str">
        <f t="shared" si="1"/>
        <v/>
      </c>
      <c r="H6" s="13">
        <v>2</v>
      </c>
      <c r="I6" s="91" t="s">
        <v>74</v>
      </c>
      <c r="J6" s="13">
        <v>9</v>
      </c>
      <c r="K6" s="35"/>
      <c r="L6" s="17" t="str">
        <f t="shared" si="2"/>
        <v/>
      </c>
      <c r="M6" s="17" t="str">
        <f t="shared" si="3"/>
        <v/>
      </c>
    </row>
    <row r="7" spans="1:13" x14ac:dyDescent="0.25">
      <c r="A7" s="13">
        <v>3</v>
      </c>
      <c r="B7" s="91" t="s">
        <v>74</v>
      </c>
      <c r="C7" s="91" t="s">
        <v>146</v>
      </c>
      <c r="D7" s="35"/>
      <c r="E7" s="17" t="str">
        <f t="shared" si="0"/>
        <v/>
      </c>
      <c r="F7" s="17" t="str">
        <f t="shared" si="1"/>
        <v/>
      </c>
      <c r="H7" s="13">
        <v>3</v>
      </c>
      <c r="I7" s="91" t="s">
        <v>74</v>
      </c>
      <c r="J7" s="13">
        <v>9</v>
      </c>
      <c r="K7" s="35"/>
      <c r="L7" s="17" t="str">
        <f t="shared" si="2"/>
        <v/>
      </c>
      <c r="M7" s="17" t="str">
        <f t="shared" si="3"/>
        <v/>
      </c>
    </row>
    <row r="8" spans="1:13" x14ac:dyDescent="0.25">
      <c r="A8" s="13">
        <v>4</v>
      </c>
      <c r="B8" s="91" t="s">
        <v>74</v>
      </c>
      <c r="C8" s="91" t="s">
        <v>146</v>
      </c>
      <c r="D8" s="35"/>
      <c r="E8" s="17" t="str">
        <f t="shared" si="0"/>
        <v/>
      </c>
      <c r="F8" s="17" t="str">
        <f t="shared" si="1"/>
        <v/>
      </c>
      <c r="H8" s="13">
        <v>4</v>
      </c>
      <c r="I8" s="91" t="s">
        <v>74</v>
      </c>
      <c r="J8" s="13">
        <v>9</v>
      </c>
      <c r="K8" s="35"/>
      <c r="L8" s="17" t="str">
        <f t="shared" si="2"/>
        <v/>
      </c>
      <c r="M8" s="17" t="str">
        <f t="shared" si="3"/>
        <v/>
      </c>
    </row>
    <row r="9" spans="1:13" x14ac:dyDescent="0.25">
      <c r="A9" s="13">
        <v>5</v>
      </c>
      <c r="B9" s="91" t="s">
        <v>74</v>
      </c>
      <c r="C9" s="91" t="s">
        <v>146</v>
      </c>
      <c r="D9" s="35"/>
      <c r="E9" s="17" t="str">
        <f t="shared" si="0"/>
        <v/>
      </c>
      <c r="F9" s="17" t="str">
        <f t="shared" si="1"/>
        <v/>
      </c>
      <c r="H9" s="13">
        <v>5</v>
      </c>
      <c r="I9" s="91" t="s">
        <v>74</v>
      </c>
      <c r="J9" s="13">
        <v>9</v>
      </c>
      <c r="K9" s="35"/>
      <c r="L9" s="17" t="str">
        <f t="shared" si="2"/>
        <v/>
      </c>
      <c r="M9" s="17" t="str">
        <f t="shared" si="3"/>
        <v/>
      </c>
    </row>
    <row r="10" spans="1:13" x14ac:dyDescent="0.25">
      <c r="A10" s="13">
        <v>6</v>
      </c>
      <c r="B10" s="91" t="s">
        <v>74</v>
      </c>
      <c r="C10" s="91" t="s">
        <v>146</v>
      </c>
      <c r="D10" s="35"/>
      <c r="E10" s="17" t="str">
        <f t="shared" si="0"/>
        <v/>
      </c>
      <c r="F10" s="17" t="str">
        <f t="shared" si="1"/>
        <v/>
      </c>
      <c r="H10" s="13">
        <v>6</v>
      </c>
      <c r="I10" s="91" t="s">
        <v>74</v>
      </c>
      <c r="J10" s="13">
        <v>9</v>
      </c>
      <c r="K10" s="35"/>
      <c r="L10" s="17" t="str">
        <f t="shared" si="2"/>
        <v/>
      </c>
      <c r="M10" s="17" t="str">
        <f t="shared" si="3"/>
        <v/>
      </c>
    </row>
    <row r="11" spans="1:13" x14ac:dyDescent="0.25">
      <c r="A11" s="13">
        <v>7</v>
      </c>
      <c r="B11" s="91" t="s">
        <v>74</v>
      </c>
      <c r="C11" s="91" t="s">
        <v>146</v>
      </c>
      <c r="D11" s="35"/>
      <c r="E11" s="17" t="str">
        <f t="shared" si="0"/>
        <v/>
      </c>
      <c r="F11" s="17" t="str">
        <f t="shared" si="1"/>
        <v/>
      </c>
      <c r="H11" s="13">
        <v>7</v>
      </c>
      <c r="I11" s="91" t="s">
        <v>74</v>
      </c>
      <c r="J11" s="13">
        <v>9</v>
      </c>
      <c r="K11" s="35"/>
      <c r="L11" s="17" t="str">
        <f t="shared" si="2"/>
        <v/>
      </c>
      <c r="M11" s="17" t="str">
        <f t="shared" si="3"/>
        <v/>
      </c>
    </row>
    <row r="12" spans="1:13" x14ac:dyDescent="0.25">
      <c r="A12" s="13">
        <v>8</v>
      </c>
      <c r="B12" s="91" t="s">
        <v>74</v>
      </c>
      <c r="C12" s="91" t="s">
        <v>146</v>
      </c>
      <c r="D12" s="35"/>
      <c r="E12" s="17" t="str">
        <f t="shared" si="0"/>
        <v/>
      </c>
      <c r="F12" s="17" t="str">
        <f t="shared" si="1"/>
        <v/>
      </c>
      <c r="H12" s="13">
        <v>8</v>
      </c>
      <c r="I12" s="91" t="s">
        <v>74</v>
      </c>
      <c r="J12" s="13">
        <v>9</v>
      </c>
      <c r="K12" s="35"/>
      <c r="L12" s="17" t="str">
        <f t="shared" si="2"/>
        <v/>
      </c>
      <c r="M12" s="17" t="str">
        <f t="shared" si="3"/>
        <v/>
      </c>
    </row>
    <row r="13" spans="1:13" x14ac:dyDescent="0.25">
      <c r="A13" s="13">
        <v>9</v>
      </c>
      <c r="B13" s="91" t="s">
        <v>74</v>
      </c>
      <c r="C13" s="91" t="s">
        <v>146</v>
      </c>
      <c r="D13" s="35"/>
      <c r="E13" s="17" t="str">
        <f t="shared" si="0"/>
        <v/>
      </c>
      <c r="F13" s="17" t="str">
        <f t="shared" si="1"/>
        <v/>
      </c>
      <c r="H13" s="13">
        <v>9</v>
      </c>
      <c r="I13" s="91" t="s">
        <v>74</v>
      </c>
      <c r="J13" s="13">
        <v>9</v>
      </c>
      <c r="K13" s="35"/>
      <c r="L13" s="17" t="str">
        <f t="shared" si="2"/>
        <v/>
      </c>
      <c r="M13" s="17" t="str">
        <f t="shared" si="3"/>
        <v/>
      </c>
    </row>
    <row r="14" spans="1:13" x14ac:dyDescent="0.25">
      <c r="A14" s="13">
        <v>10</v>
      </c>
      <c r="B14" s="91" t="s">
        <v>74</v>
      </c>
      <c r="C14" s="91" t="s">
        <v>146</v>
      </c>
      <c r="D14" s="35"/>
      <c r="E14" s="17" t="str">
        <f t="shared" si="0"/>
        <v/>
      </c>
      <c r="F14" s="17" t="str">
        <f t="shared" si="1"/>
        <v/>
      </c>
      <c r="H14" s="13">
        <v>10</v>
      </c>
      <c r="I14" s="91" t="s">
        <v>74</v>
      </c>
      <c r="J14" s="13">
        <v>9</v>
      </c>
      <c r="K14" s="35"/>
      <c r="L14" s="17" t="str">
        <f t="shared" si="2"/>
        <v/>
      </c>
      <c r="M14" s="17" t="str">
        <f t="shared" si="3"/>
        <v/>
      </c>
    </row>
    <row r="15" spans="1:13" x14ac:dyDescent="0.25">
      <c r="A15" s="13">
        <v>11</v>
      </c>
      <c r="B15" s="91" t="s">
        <v>74</v>
      </c>
      <c r="C15" s="91" t="s">
        <v>146</v>
      </c>
      <c r="D15" s="35"/>
      <c r="E15" s="17" t="str">
        <f t="shared" si="0"/>
        <v/>
      </c>
      <c r="F15" s="17" t="str">
        <f t="shared" si="1"/>
        <v/>
      </c>
      <c r="H15" s="13">
        <v>11</v>
      </c>
      <c r="I15" s="91" t="s">
        <v>74</v>
      </c>
      <c r="J15" s="13">
        <v>9</v>
      </c>
      <c r="K15" s="35"/>
      <c r="L15" s="17" t="str">
        <f t="shared" si="2"/>
        <v/>
      </c>
      <c r="M15" s="17" t="str">
        <f t="shared" si="3"/>
        <v/>
      </c>
    </row>
    <row r="16" spans="1:13" x14ac:dyDescent="0.25">
      <c r="A16" s="13">
        <v>12</v>
      </c>
      <c r="B16" s="91" t="s">
        <v>74</v>
      </c>
      <c r="C16" s="91" t="s">
        <v>146</v>
      </c>
      <c r="D16" s="35"/>
      <c r="E16" s="17" t="str">
        <f t="shared" si="0"/>
        <v/>
      </c>
      <c r="F16" s="17" t="str">
        <f t="shared" si="1"/>
        <v/>
      </c>
      <c r="H16" s="13">
        <v>12</v>
      </c>
      <c r="I16" s="91" t="s">
        <v>74</v>
      </c>
      <c r="J16" s="13">
        <v>9</v>
      </c>
      <c r="K16" s="35"/>
      <c r="L16" s="17" t="str">
        <f t="shared" si="2"/>
        <v/>
      </c>
      <c r="M16" s="17" t="str">
        <f t="shared" si="3"/>
        <v/>
      </c>
    </row>
    <row r="17" spans="1:13" x14ac:dyDescent="0.25">
      <c r="A17" s="13">
        <v>13</v>
      </c>
      <c r="B17" s="91" t="s">
        <v>74</v>
      </c>
      <c r="C17" s="91" t="s">
        <v>146</v>
      </c>
      <c r="D17" s="35"/>
      <c r="E17" s="17" t="str">
        <f t="shared" si="0"/>
        <v/>
      </c>
      <c r="F17" s="17" t="str">
        <f t="shared" si="1"/>
        <v/>
      </c>
      <c r="H17" s="13">
        <v>13</v>
      </c>
      <c r="I17" s="91" t="s">
        <v>74</v>
      </c>
      <c r="J17" s="13">
        <v>9</v>
      </c>
      <c r="K17" s="35"/>
      <c r="L17" s="17" t="str">
        <f t="shared" si="2"/>
        <v/>
      </c>
      <c r="M17" s="17" t="str">
        <f t="shared" si="3"/>
        <v/>
      </c>
    </row>
    <row r="18" spans="1:13" x14ac:dyDescent="0.25">
      <c r="A18" s="13">
        <v>14</v>
      </c>
      <c r="B18" s="91" t="s">
        <v>74</v>
      </c>
      <c r="C18" s="91" t="s">
        <v>146</v>
      </c>
      <c r="D18" s="35"/>
      <c r="E18" s="17" t="str">
        <f t="shared" si="0"/>
        <v/>
      </c>
      <c r="F18" s="17" t="str">
        <f t="shared" si="1"/>
        <v/>
      </c>
      <c r="H18" s="13">
        <v>14</v>
      </c>
      <c r="I18" s="91" t="s">
        <v>74</v>
      </c>
      <c r="J18" s="13">
        <v>9</v>
      </c>
      <c r="K18" s="35"/>
      <c r="L18" s="17" t="str">
        <f t="shared" si="2"/>
        <v/>
      </c>
      <c r="M18" s="17" t="str">
        <f t="shared" si="3"/>
        <v/>
      </c>
    </row>
    <row r="19" spans="1:13" x14ac:dyDescent="0.25">
      <c r="A19" s="13">
        <v>15</v>
      </c>
      <c r="B19" s="91" t="s">
        <v>74</v>
      </c>
      <c r="C19" s="91" t="s">
        <v>146</v>
      </c>
      <c r="D19" s="35"/>
      <c r="E19" s="17" t="str">
        <f t="shared" si="0"/>
        <v/>
      </c>
      <c r="F19" s="17" t="str">
        <f t="shared" si="1"/>
        <v/>
      </c>
      <c r="H19" s="13">
        <v>15</v>
      </c>
      <c r="I19" s="91" t="s">
        <v>74</v>
      </c>
      <c r="J19" s="13">
        <v>9</v>
      </c>
      <c r="K19" s="35"/>
      <c r="L19" s="17" t="str">
        <f t="shared" si="2"/>
        <v/>
      </c>
      <c r="M19" s="17" t="str">
        <f t="shared" si="3"/>
        <v/>
      </c>
    </row>
    <row r="20" spans="1:13" x14ac:dyDescent="0.25">
      <c r="A20" s="13">
        <v>16</v>
      </c>
      <c r="B20" s="91" t="s">
        <v>74</v>
      </c>
      <c r="C20" s="91" t="s">
        <v>146</v>
      </c>
      <c r="D20" s="35"/>
      <c r="E20" s="17" t="str">
        <f t="shared" si="0"/>
        <v/>
      </c>
      <c r="F20" s="17" t="str">
        <f t="shared" si="1"/>
        <v/>
      </c>
      <c r="H20" s="13">
        <v>16</v>
      </c>
      <c r="I20" s="91" t="s">
        <v>74</v>
      </c>
      <c r="J20" s="13">
        <v>9</v>
      </c>
      <c r="K20" s="35"/>
      <c r="L20" s="17" t="str">
        <f t="shared" si="2"/>
        <v/>
      </c>
      <c r="M20" s="17" t="str">
        <f t="shared" si="3"/>
        <v/>
      </c>
    </row>
    <row r="21" spans="1:13" x14ac:dyDescent="0.25">
      <c r="A21" s="13">
        <v>17</v>
      </c>
      <c r="B21" s="91" t="s">
        <v>74</v>
      </c>
      <c r="C21" s="91" t="s">
        <v>146</v>
      </c>
      <c r="D21" s="35"/>
      <c r="E21" s="17" t="str">
        <f t="shared" si="0"/>
        <v/>
      </c>
      <c r="F21" s="17" t="str">
        <f t="shared" si="1"/>
        <v/>
      </c>
      <c r="H21" s="13">
        <v>17</v>
      </c>
      <c r="I21" s="91" t="s">
        <v>74</v>
      </c>
      <c r="J21" s="13">
        <v>9</v>
      </c>
      <c r="K21" s="35"/>
      <c r="L21" s="17" t="str">
        <f t="shared" si="2"/>
        <v/>
      </c>
      <c r="M21" s="17" t="str">
        <f t="shared" si="3"/>
        <v/>
      </c>
    </row>
    <row r="22" spans="1:13" x14ac:dyDescent="0.25">
      <c r="A22" s="13">
        <v>18</v>
      </c>
      <c r="B22" s="91" t="s">
        <v>74</v>
      </c>
      <c r="C22" s="91" t="s">
        <v>146</v>
      </c>
      <c r="D22" s="35"/>
      <c r="E22" s="17" t="str">
        <f t="shared" si="0"/>
        <v/>
      </c>
      <c r="F22" s="17" t="str">
        <f t="shared" si="1"/>
        <v/>
      </c>
      <c r="H22" s="13">
        <v>18</v>
      </c>
      <c r="I22" s="91" t="s">
        <v>74</v>
      </c>
      <c r="J22" s="13">
        <v>9</v>
      </c>
      <c r="K22" s="35"/>
      <c r="L22" s="17" t="str">
        <f t="shared" si="2"/>
        <v/>
      </c>
      <c r="M22" s="17" t="str">
        <f t="shared" si="3"/>
        <v/>
      </c>
    </row>
    <row r="23" spans="1:13" x14ac:dyDescent="0.25">
      <c r="A23" s="13">
        <v>19</v>
      </c>
      <c r="B23" s="91" t="s">
        <v>74</v>
      </c>
      <c r="C23" s="91" t="s">
        <v>146</v>
      </c>
      <c r="D23" s="35"/>
      <c r="E23" s="17" t="str">
        <f t="shared" si="0"/>
        <v/>
      </c>
      <c r="F23" s="17" t="str">
        <f t="shared" si="1"/>
        <v/>
      </c>
      <c r="H23" s="13">
        <v>19</v>
      </c>
      <c r="I23" s="91" t="s">
        <v>74</v>
      </c>
      <c r="J23" s="13">
        <v>9</v>
      </c>
      <c r="K23" s="35"/>
      <c r="L23" s="17" t="str">
        <f t="shared" si="2"/>
        <v/>
      </c>
      <c r="M23" s="17" t="str">
        <f t="shared" si="3"/>
        <v/>
      </c>
    </row>
    <row r="24" spans="1:13" x14ac:dyDescent="0.25">
      <c r="A24" s="13">
        <v>20</v>
      </c>
      <c r="B24" s="91" t="s">
        <v>74</v>
      </c>
      <c r="C24" s="91" t="s">
        <v>146</v>
      </c>
      <c r="D24" s="35"/>
      <c r="E24" s="17" t="str">
        <f t="shared" si="0"/>
        <v/>
      </c>
      <c r="F24" s="17" t="str">
        <f t="shared" si="1"/>
        <v/>
      </c>
      <c r="H24" s="13">
        <v>20</v>
      </c>
      <c r="I24" s="91" t="s">
        <v>74</v>
      </c>
      <c r="J24" s="13">
        <v>9</v>
      </c>
      <c r="K24" s="35"/>
      <c r="L24" s="17" t="str">
        <f t="shared" si="2"/>
        <v/>
      </c>
      <c r="M24" s="17" t="str">
        <f t="shared" si="3"/>
        <v/>
      </c>
    </row>
    <row r="25" spans="1:13" x14ac:dyDescent="0.25">
      <c r="A25" s="4" t="s">
        <v>172</v>
      </c>
      <c r="B25" s="12"/>
      <c r="C25" s="12"/>
      <c r="D25" s="4"/>
      <c r="E25" s="4"/>
      <c r="F25" s="4"/>
      <c r="H25" s="4" t="s">
        <v>173</v>
      </c>
      <c r="I25" s="12"/>
      <c r="J25" s="12"/>
      <c r="K25" s="4"/>
      <c r="L25" s="4"/>
      <c r="M25" s="4"/>
    </row>
    <row r="26" spans="1:13" ht="23.25" x14ac:dyDescent="0.25">
      <c r="A26" s="15" t="s">
        <v>0</v>
      </c>
      <c r="B26" s="15" t="s">
        <v>55</v>
      </c>
      <c r="C26" s="15" t="s">
        <v>56</v>
      </c>
      <c r="D26" s="16" t="s">
        <v>8</v>
      </c>
      <c r="E26" s="15" t="s">
        <v>2</v>
      </c>
      <c r="F26" s="15" t="s">
        <v>1</v>
      </c>
      <c r="H26" s="15" t="s">
        <v>0</v>
      </c>
      <c r="I26" s="15" t="s">
        <v>55</v>
      </c>
      <c r="J26" s="15" t="s">
        <v>56</v>
      </c>
      <c r="K26" s="16" t="s">
        <v>8</v>
      </c>
      <c r="L26" s="15" t="s">
        <v>2</v>
      </c>
      <c r="M26" s="15" t="s">
        <v>1</v>
      </c>
    </row>
    <row r="27" spans="1:13" x14ac:dyDescent="0.25">
      <c r="A27" s="13">
        <v>1</v>
      </c>
      <c r="B27" s="91" t="s">
        <v>74</v>
      </c>
      <c r="C27" s="13">
        <v>10</v>
      </c>
      <c r="D27" s="35"/>
      <c r="E27" s="17" t="str">
        <f t="shared" ref="E27:E46" si="4">IF(D27&gt;0,VLOOKUP(D27,Jumpers,3),"")</f>
        <v/>
      </c>
      <c r="F27" s="17" t="str">
        <f t="shared" ref="F27:F46" si="5">IF(D27&gt;0,VLOOKUP(D27,Jumpers,2),"")</f>
        <v/>
      </c>
      <c r="H27" s="13">
        <v>1</v>
      </c>
      <c r="I27" s="91" t="s">
        <v>74</v>
      </c>
      <c r="J27" s="13">
        <v>11</v>
      </c>
      <c r="K27" s="35"/>
      <c r="L27" s="17" t="str">
        <f t="shared" ref="L27:L46" si="6">IF(K27&gt;0,VLOOKUP(K27,Jumpers,3),"")</f>
        <v/>
      </c>
      <c r="M27" s="17" t="str">
        <f t="shared" ref="M27:M46" si="7">IF(K27&gt;0,VLOOKUP(K27,Jumpers,2),"")</f>
        <v/>
      </c>
    </row>
    <row r="28" spans="1:13" x14ac:dyDescent="0.25">
      <c r="A28" s="13">
        <v>2</v>
      </c>
      <c r="B28" s="91" t="s">
        <v>74</v>
      </c>
      <c r="C28" s="13">
        <v>10</v>
      </c>
      <c r="D28" s="35"/>
      <c r="E28" s="17" t="str">
        <f t="shared" si="4"/>
        <v/>
      </c>
      <c r="F28" s="17" t="str">
        <f t="shared" si="5"/>
        <v/>
      </c>
      <c r="H28" s="13">
        <v>2</v>
      </c>
      <c r="I28" s="91" t="s">
        <v>74</v>
      </c>
      <c r="J28" s="13">
        <v>11</v>
      </c>
      <c r="K28" s="35"/>
      <c r="L28" s="17" t="str">
        <f t="shared" si="6"/>
        <v/>
      </c>
      <c r="M28" s="17" t="str">
        <f t="shared" si="7"/>
        <v/>
      </c>
    </row>
    <row r="29" spans="1:13" x14ac:dyDescent="0.25">
      <c r="A29" s="13">
        <v>3</v>
      </c>
      <c r="B29" s="91" t="s">
        <v>74</v>
      </c>
      <c r="C29" s="13">
        <v>10</v>
      </c>
      <c r="D29" s="35"/>
      <c r="E29" s="17" t="str">
        <f t="shared" si="4"/>
        <v/>
      </c>
      <c r="F29" s="17" t="str">
        <f t="shared" si="5"/>
        <v/>
      </c>
      <c r="H29" s="13">
        <v>3</v>
      </c>
      <c r="I29" s="91" t="s">
        <v>74</v>
      </c>
      <c r="J29" s="13">
        <v>11</v>
      </c>
      <c r="K29" s="35"/>
      <c r="L29" s="17" t="str">
        <f t="shared" si="6"/>
        <v/>
      </c>
      <c r="M29" s="17" t="str">
        <f t="shared" si="7"/>
        <v/>
      </c>
    </row>
    <row r="30" spans="1:13" x14ac:dyDescent="0.25">
      <c r="A30" s="13">
        <v>4</v>
      </c>
      <c r="B30" s="91" t="s">
        <v>74</v>
      </c>
      <c r="C30" s="13">
        <v>10</v>
      </c>
      <c r="D30" s="35"/>
      <c r="E30" s="17" t="str">
        <f t="shared" si="4"/>
        <v/>
      </c>
      <c r="F30" s="17" t="str">
        <f t="shared" si="5"/>
        <v/>
      </c>
      <c r="H30" s="13">
        <v>4</v>
      </c>
      <c r="I30" s="91" t="s">
        <v>74</v>
      </c>
      <c r="J30" s="13">
        <v>11</v>
      </c>
      <c r="K30" s="35"/>
      <c r="L30" s="17" t="str">
        <f t="shared" si="6"/>
        <v/>
      </c>
      <c r="M30" s="17" t="str">
        <f t="shared" si="7"/>
        <v/>
      </c>
    </row>
    <row r="31" spans="1:13" x14ac:dyDescent="0.25">
      <c r="A31" s="13">
        <v>5</v>
      </c>
      <c r="B31" s="91" t="s">
        <v>74</v>
      </c>
      <c r="C31" s="13">
        <v>10</v>
      </c>
      <c r="D31" s="35"/>
      <c r="E31" s="17" t="str">
        <f t="shared" si="4"/>
        <v/>
      </c>
      <c r="F31" s="17" t="str">
        <f t="shared" si="5"/>
        <v/>
      </c>
      <c r="H31" s="13">
        <v>5</v>
      </c>
      <c r="I31" s="91" t="s">
        <v>74</v>
      </c>
      <c r="J31" s="13">
        <v>11</v>
      </c>
      <c r="K31" s="35"/>
      <c r="L31" s="17" t="str">
        <f t="shared" si="6"/>
        <v/>
      </c>
      <c r="M31" s="17" t="str">
        <f t="shared" si="7"/>
        <v/>
      </c>
    </row>
    <row r="32" spans="1:13" x14ac:dyDescent="0.25">
      <c r="A32" s="13">
        <v>6</v>
      </c>
      <c r="B32" s="91" t="s">
        <v>74</v>
      </c>
      <c r="C32" s="13">
        <v>10</v>
      </c>
      <c r="D32" s="35"/>
      <c r="E32" s="17" t="str">
        <f t="shared" si="4"/>
        <v/>
      </c>
      <c r="F32" s="17" t="str">
        <f t="shared" si="5"/>
        <v/>
      </c>
      <c r="H32" s="13">
        <v>6</v>
      </c>
      <c r="I32" s="91" t="s">
        <v>74</v>
      </c>
      <c r="J32" s="13">
        <v>11</v>
      </c>
      <c r="K32" s="35"/>
      <c r="L32" s="17" t="str">
        <f t="shared" si="6"/>
        <v/>
      </c>
      <c r="M32" s="17" t="str">
        <f t="shared" si="7"/>
        <v/>
      </c>
    </row>
    <row r="33" spans="1:13" x14ac:dyDescent="0.25">
      <c r="A33" s="13">
        <v>7</v>
      </c>
      <c r="B33" s="91" t="s">
        <v>74</v>
      </c>
      <c r="C33" s="13">
        <v>10</v>
      </c>
      <c r="D33" s="35"/>
      <c r="E33" s="17" t="str">
        <f t="shared" si="4"/>
        <v/>
      </c>
      <c r="F33" s="17" t="str">
        <f t="shared" si="5"/>
        <v/>
      </c>
      <c r="H33" s="13">
        <v>7</v>
      </c>
      <c r="I33" s="91" t="s">
        <v>74</v>
      </c>
      <c r="J33" s="13">
        <v>11</v>
      </c>
      <c r="K33" s="35"/>
      <c r="L33" s="17" t="str">
        <f t="shared" si="6"/>
        <v/>
      </c>
      <c r="M33" s="17" t="str">
        <f t="shared" si="7"/>
        <v/>
      </c>
    </row>
    <row r="34" spans="1:13" x14ac:dyDescent="0.25">
      <c r="A34" s="13">
        <v>8</v>
      </c>
      <c r="B34" s="91" t="s">
        <v>74</v>
      </c>
      <c r="C34" s="13">
        <v>10</v>
      </c>
      <c r="D34" s="35"/>
      <c r="E34" s="17" t="str">
        <f t="shared" si="4"/>
        <v/>
      </c>
      <c r="F34" s="17" t="str">
        <f t="shared" si="5"/>
        <v/>
      </c>
      <c r="H34" s="13">
        <v>8</v>
      </c>
      <c r="I34" s="91" t="s">
        <v>74</v>
      </c>
      <c r="J34" s="13">
        <v>11</v>
      </c>
      <c r="K34" s="35"/>
      <c r="L34" s="17" t="str">
        <f t="shared" si="6"/>
        <v/>
      </c>
      <c r="M34" s="17" t="str">
        <f t="shared" si="7"/>
        <v/>
      </c>
    </row>
    <row r="35" spans="1:13" x14ac:dyDescent="0.25">
      <c r="A35" s="13">
        <v>9</v>
      </c>
      <c r="B35" s="91" t="s">
        <v>74</v>
      </c>
      <c r="C35" s="13">
        <v>10</v>
      </c>
      <c r="D35" s="35"/>
      <c r="E35" s="17" t="str">
        <f t="shared" si="4"/>
        <v/>
      </c>
      <c r="F35" s="17" t="str">
        <f t="shared" si="5"/>
        <v/>
      </c>
      <c r="H35" s="13">
        <v>9</v>
      </c>
      <c r="I35" s="91" t="s">
        <v>74</v>
      </c>
      <c r="J35" s="13">
        <v>11</v>
      </c>
      <c r="K35" s="35"/>
      <c r="L35" s="17" t="str">
        <f t="shared" si="6"/>
        <v/>
      </c>
      <c r="M35" s="17" t="str">
        <f t="shared" si="7"/>
        <v/>
      </c>
    </row>
    <row r="36" spans="1:13" x14ac:dyDescent="0.25">
      <c r="A36" s="13">
        <v>10</v>
      </c>
      <c r="B36" s="91" t="s">
        <v>74</v>
      </c>
      <c r="C36" s="13">
        <v>10</v>
      </c>
      <c r="D36" s="35"/>
      <c r="E36" s="17" t="str">
        <f t="shared" si="4"/>
        <v/>
      </c>
      <c r="F36" s="17" t="str">
        <f t="shared" si="5"/>
        <v/>
      </c>
      <c r="H36" s="13">
        <v>10</v>
      </c>
      <c r="I36" s="91" t="s">
        <v>74</v>
      </c>
      <c r="J36" s="13">
        <v>11</v>
      </c>
      <c r="K36" s="35"/>
      <c r="L36" s="17" t="str">
        <f t="shared" si="6"/>
        <v/>
      </c>
      <c r="M36" s="17" t="str">
        <f t="shared" si="7"/>
        <v/>
      </c>
    </row>
    <row r="37" spans="1:13" x14ac:dyDescent="0.25">
      <c r="A37" s="13">
        <v>11</v>
      </c>
      <c r="B37" s="91" t="s">
        <v>74</v>
      </c>
      <c r="C37" s="13">
        <v>10</v>
      </c>
      <c r="D37" s="35"/>
      <c r="E37" s="17" t="str">
        <f t="shared" si="4"/>
        <v/>
      </c>
      <c r="F37" s="17" t="str">
        <f t="shared" si="5"/>
        <v/>
      </c>
      <c r="H37" s="13">
        <v>11</v>
      </c>
      <c r="I37" s="91" t="s">
        <v>74</v>
      </c>
      <c r="J37" s="13">
        <v>11</v>
      </c>
      <c r="K37" s="35"/>
      <c r="L37" s="17" t="str">
        <f t="shared" si="6"/>
        <v/>
      </c>
      <c r="M37" s="17" t="str">
        <f t="shared" si="7"/>
        <v/>
      </c>
    </row>
    <row r="38" spans="1:13" x14ac:dyDescent="0.25">
      <c r="A38" s="13">
        <v>12</v>
      </c>
      <c r="B38" s="91" t="s">
        <v>74</v>
      </c>
      <c r="C38" s="13">
        <v>10</v>
      </c>
      <c r="D38" s="35"/>
      <c r="E38" s="17" t="str">
        <f t="shared" si="4"/>
        <v/>
      </c>
      <c r="F38" s="17" t="str">
        <f t="shared" si="5"/>
        <v/>
      </c>
      <c r="H38" s="13">
        <v>12</v>
      </c>
      <c r="I38" s="91" t="s">
        <v>74</v>
      </c>
      <c r="J38" s="13">
        <v>11</v>
      </c>
      <c r="K38" s="35"/>
      <c r="L38" s="17" t="str">
        <f t="shared" si="6"/>
        <v/>
      </c>
      <c r="M38" s="17" t="str">
        <f t="shared" si="7"/>
        <v/>
      </c>
    </row>
    <row r="39" spans="1:13" x14ac:dyDescent="0.25">
      <c r="A39" s="13">
        <v>13</v>
      </c>
      <c r="B39" s="91" t="s">
        <v>74</v>
      </c>
      <c r="C39" s="13">
        <v>10</v>
      </c>
      <c r="D39" s="35"/>
      <c r="E39" s="17" t="str">
        <f t="shared" si="4"/>
        <v/>
      </c>
      <c r="F39" s="17" t="str">
        <f t="shared" si="5"/>
        <v/>
      </c>
      <c r="H39" s="13">
        <v>13</v>
      </c>
      <c r="I39" s="91" t="s">
        <v>74</v>
      </c>
      <c r="J39" s="13">
        <v>11</v>
      </c>
      <c r="K39" s="35"/>
      <c r="L39" s="17" t="str">
        <f t="shared" si="6"/>
        <v/>
      </c>
      <c r="M39" s="17" t="str">
        <f t="shared" si="7"/>
        <v/>
      </c>
    </row>
    <row r="40" spans="1:13" x14ac:dyDescent="0.25">
      <c r="A40" s="13">
        <v>14</v>
      </c>
      <c r="B40" s="91" t="s">
        <v>74</v>
      </c>
      <c r="C40" s="13">
        <v>10</v>
      </c>
      <c r="D40" s="35"/>
      <c r="E40" s="17" t="str">
        <f t="shared" si="4"/>
        <v/>
      </c>
      <c r="F40" s="17" t="str">
        <f t="shared" si="5"/>
        <v/>
      </c>
      <c r="H40" s="13">
        <v>14</v>
      </c>
      <c r="I40" s="91" t="s">
        <v>74</v>
      </c>
      <c r="J40" s="13">
        <v>11</v>
      </c>
      <c r="K40" s="35"/>
      <c r="L40" s="17" t="str">
        <f t="shared" si="6"/>
        <v/>
      </c>
      <c r="M40" s="17" t="str">
        <f t="shared" si="7"/>
        <v/>
      </c>
    </row>
    <row r="41" spans="1:13" x14ac:dyDescent="0.25">
      <c r="A41" s="13">
        <v>15</v>
      </c>
      <c r="B41" s="91" t="s">
        <v>74</v>
      </c>
      <c r="C41" s="13">
        <v>10</v>
      </c>
      <c r="D41" s="35"/>
      <c r="E41" s="17" t="str">
        <f t="shared" si="4"/>
        <v/>
      </c>
      <c r="F41" s="17" t="str">
        <f t="shared" si="5"/>
        <v/>
      </c>
      <c r="H41" s="13">
        <v>15</v>
      </c>
      <c r="I41" s="91" t="s">
        <v>74</v>
      </c>
      <c r="J41" s="13">
        <v>11</v>
      </c>
      <c r="K41" s="35"/>
      <c r="L41" s="17" t="str">
        <f t="shared" si="6"/>
        <v/>
      </c>
      <c r="M41" s="17" t="str">
        <f t="shared" si="7"/>
        <v/>
      </c>
    </row>
    <row r="42" spans="1:13" x14ac:dyDescent="0.25">
      <c r="A42" s="13">
        <v>16</v>
      </c>
      <c r="B42" s="91" t="s">
        <v>74</v>
      </c>
      <c r="C42" s="13">
        <v>10</v>
      </c>
      <c r="D42" s="35"/>
      <c r="E42" s="17" t="str">
        <f t="shared" si="4"/>
        <v/>
      </c>
      <c r="F42" s="17" t="str">
        <f t="shared" si="5"/>
        <v/>
      </c>
      <c r="H42" s="13">
        <v>16</v>
      </c>
      <c r="I42" s="91" t="s">
        <v>74</v>
      </c>
      <c r="J42" s="13">
        <v>11</v>
      </c>
      <c r="K42" s="35"/>
      <c r="L42" s="17" t="str">
        <f t="shared" si="6"/>
        <v/>
      </c>
      <c r="M42" s="17" t="str">
        <f t="shared" si="7"/>
        <v/>
      </c>
    </row>
    <row r="43" spans="1:13" x14ac:dyDescent="0.25">
      <c r="A43" s="13">
        <v>17</v>
      </c>
      <c r="B43" s="91" t="s">
        <v>74</v>
      </c>
      <c r="C43" s="13">
        <v>10</v>
      </c>
      <c r="D43" s="35"/>
      <c r="E43" s="17" t="str">
        <f t="shared" si="4"/>
        <v/>
      </c>
      <c r="F43" s="17" t="str">
        <f t="shared" si="5"/>
        <v/>
      </c>
      <c r="H43" s="13">
        <v>17</v>
      </c>
      <c r="I43" s="91" t="s">
        <v>74</v>
      </c>
      <c r="J43" s="13">
        <v>11</v>
      </c>
      <c r="K43" s="35"/>
      <c r="L43" s="17" t="str">
        <f t="shared" si="6"/>
        <v/>
      </c>
      <c r="M43" s="17" t="str">
        <f t="shared" si="7"/>
        <v/>
      </c>
    </row>
    <row r="44" spans="1:13" x14ac:dyDescent="0.25">
      <c r="A44" s="13">
        <v>18</v>
      </c>
      <c r="B44" s="91" t="s">
        <v>74</v>
      </c>
      <c r="C44" s="13">
        <v>10</v>
      </c>
      <c r="D44" s="35"/>
      <c r="E44" s="17" t="str">
        <f t="shared" si="4"/>
        <v/>
      </c>
      <c r="F44" s="17" t="str">
        <f t="shared" si="5"/>
        <v/>
      </c>
      <c r="H44" s="13">
        <v>18</v>
      </c>
      <c r="I44" s="91" t="s">
        <v>74</v>
      </c>
      <c r="J44" s="13">
        <v>11</v>
      </c>
      <c r="K44" s="35"/>
      <c r="L44" s="17" t="str">
        <f t="shared" si="6"/>
        <v/>
      </c>
      <c r="M44" s="17" t="str">
        <f t="shared" si="7"/>
        <v/>
      </c>
    </row>
    <row r="45" spans="1:13" x14ac:dyDescent="0.25">
      <c r="A45" s="13">
        <v>19</v>
      </c>
      <c r="B45" s="91" t="s">
        <v>74</v>
      </c>
      <c r="C45" s="13">
        <v>10</v>
      </c>
      <c r="D45" s="35"/>
      <c r="E45" s="17" t="str">
        <f t="shared" si="4"/>
        <v/>
      </c>
      <c r="F45" s="17" t="str">
        <f t="shared" si="5"/>
        <v/>
      </c>
      <c r="H45" s="13">
        <v>19</v>
      </c>
      <c r="I45" s="91" t="s">
        <v>74</v>
      </c>
      <c r="J45" s="13">
        <v>11</v>
      </c>
      <c r="K45" s="35"/>
      <c r="L45" s="17" t="str">
        <f t="shared" si="6"/>
        <v/>
      </c>
      <c r="M45" s="17" t="str">
        <f t="shared" si="7"/>
        <v/>
      </c>
    </row>
    <row r="46" spans="1:13" x14ac:dyDescent="0.25">
      <c r="A46" s="13">
        <v>20</v>
      </c>
      <c r="B46" s="91" t="s">
        <v>74</v>
      </c>
      <c r="C46" s="13">
        <v>10</v>
      </c>
      <c r="D46" s="35"/>
      <c r="E46" s="17" t="str">
        <f t="shared" si="4"/>
        <v/>
      </c>
      <c r="F46" s="17" t="str">
        <f t="shared" si="5"/>
        <v/>
      </c>
      <c r="H46" s="13">
        <v>20</v>
      </c>
      <c r="I46" s="91" t="s">
        <v>74</v>
      </c>
      <c r="J46" s="13">
        <v>11</v>
      </c>
      <c r="K46" s="35"/>
      <c r="L46" s="17" t="str">
        <f t="shared" si="6"/>
        <v/>
      </c>
      <c r="M46" s="17" t="str">
        <f t="shared" si="7"/>
        <v/>
      </c>
    </row>
    <row r="47" spans="1:13" x14ac:dyDescent="0.25">
      <c r="A47" s="4" t="s">
        <v>174</v>
      </c>
      <c r="B47" s="12"/>
      <c r="C47" s="12"/>
      <c r="D47" s="4"/>
      <c r="E47" s="4"/>
      <c r="F47" s="4"/>
      <c r="H47" s="4" t="s">
        <v>175</v>
      </c>
      <c r="I47" s="12"/>
      <c r="J47" s="12"/>
      <c r="K47" s="4"/>
      <c r="L47" s="4"/>
      <c r="M47" s="4"/>
    </row>
    <row r="48" spans="1:13" ht="23.25" x14ac:dyDescent="0.25">
      <c r="A48" s="15" t="s">
        <v>0</v>
      </c>
      <c r="B48" s="15" t="s">
        <v>55</v>
      </c>
      <c r="C48" s="15" t="s">
        <v>56</v>
      </c>
      <c r="D48" s="16" t="s">
        <v>8</v>
      </c>
      <c r="E48" s="15" t="s">
        <v>2</v>
      </c>
      <c r="F48" s="15" t="s">
        <v>1</v>
      </c>
      <c r="H48" s="15" t="s">
        <v>0</v>
      </c>
      <c r="I48" s="15" t="s">
        <v>55</v>
      </c>
      <c r="J48" s="15" t="s">
        <v>56</v>
      </c>
      <c r="K48" s="16" t="s">
        <v>8</v>
      </c>
      <c r="L48" s="15" t="s">
        <v>2</v>
      </c>
      <c r="M48" s="15" t="s">
        <v>1</v>
      </c>
    </row>
    <row r="49" spans="1:13" x14ac:dyDescent="0.25">
      <c r="A49" s="13">
        <v>1</v>
      </c>
      <c r="B49" s="91" t="s">
        <v>74</v>
      </c>
      <c r="C49" s="13">
        <v>12</v>
      </c>
      <c r="D49" s="35"/>
      <c r="E49" s="17" t="str">
        <f t="shared" ref="E49:E68" si="8">IF(D49&gt;0,VLOOKUP(D49,Jumpers,3),"")</f>
        <v/>
      </c>
      <c r="F49" s="17" t="str">
        <f t="shared" ref="F49:F68" si="9">IF(D49&gt;0,VLOOKUP(D49,Jumpers,2),"")</f>
        <v/>
      </c>
      <c r="H49" s="13">
        <v>1</v>
      </c>
      <c r="I49" s="91" t="s">
        <v>74</v>
      </c>
      <c r="J49" s="13">
        <v>13</v>
      </c>
      <c r="K49" s="35"/>
      <c r="L49" s="17" t="str">
        <f t="shared" ref="L49:L68" si="10">IF(K49&gt;0,VLOOKUP(K49,Jumpers,3),"")</f>
        <v/>
      </c>
      <c r="M49" s="17" t="str">
        <f t="shared" ref="M49:M68" si="11">IF(K49&gt;0,VLOOKUP(K49,Jumpers,2),"")</f>
        <v/>
      </c>
    </row>
    <row r="50" spans="1:13" x14ac:dyDescent="0.25">
      <c r="A50" s="13">
        <v>2</v>
      </c>
      <c r="B50" s="91" t="s">
        <v>74</v>
      </c>
      <c r="C50" s="13">
        <v>12</v>
      </c>
      <c r="D50" s="35"/>
      <c r="E50" s="17" t="str">
        <f t="shared" si="8"/>
        <v/>
      </c>
      <c r="F50" s="17" t="str">
        <f t="shared" si="9"/>
        <v/>
      </c>
      <c r="H50" s="13">
        <v>2</v>
      </c>
      <c r="I50" s="91" t="s">
        <v>74</v>
      </c>
      <c r="J50" s="13">
        <v>13</v>
      </c>
      <c r="K50" s="35"/>
      <c r="L50" s="17" t="str">
        <f t="shared" si="10"/>
        <v/>
      </c>
      <c r="M50" s="17" t="str">
        <f t="shared" si="11"/>
        <v/>
      </c>
    </row>
    <row r="51" spans="1:13" x14ac:dyDescent="0.25">
      <c r="A51" s="13">
        <v>3</v>
      </c>
      <c r="B51" s="91" t="s">
        <v>74</v>
      </c>
      <c r="C51" s="13">
        <v>12</v>
      </c>
      <c r="D51" s="35"/>
      <c r="E51" s="17" t="str">
        <f t="shared" si="8"/>
        <v/>
      </c>
      <c r="F51" s="17" t="str">
        <f t="shared" si="9"/>
        <v/>
      </c>
      <c r="H51" s="13">
        <v>3</v>
      </c>
      <c r="I51" s="91" t="s">
        <v>74</v>
      </c>
      <c r="J51" s="13">
        <v>13</v>
      </c>
      <c r="K51" s="35"/>
      <c r="L51" s="17" t="str">
        <f t="shared" si="10"/>
        <v/>
      </c>
      <c r="M51" s="17" t="str">
        <f t="shared" si="11"/>
        <v/>
      </c>
    </row>
    <row r="52" spans="1:13" x14ac:dyDescent="0.25">
      <c r="A52" s="13">
        <v>4</v>
      </c>
      <c r="B52" s="91" t="s">
        <v>74</v>
      </c>
      <c r="C52" s="13">
        <v>12</v>
      </c>
      <c r="D52" s="35"/>
      <c r="E52" s="17" t="str">
        <f t="shared" si="8"/>
        <v/>
      </c>
      <c r="F52" s="17" t="str">
        <f t="shared" si="9"/>
        <v/>
      </c>
      <c r="H52" s="13">
        <v>4</v>
      </c>
      <c r="I52" s="91" t="s">
        <v>74</v>
      </c>
      <c r="J52" s="13">
        <v>13</v>
      </c>
      <c r="K52" s="35"/>
      <c r="L52" s="17" t="str">
        <f t="shared" si="10"/>
        <v/>
      </c>
      <c r="M52" s="17" t="str">
        <f t="shared" si="11"/>
        <v/>
      </c>
    </row>
    <row r="53" spans="1:13" x14ac:dyDescent="0.25">
      <c r="A53" s="13">
        <v>5</v>
      </c>
      <c r="B53" s="91" t="s">
        <v>74</v>
      </c>
      <c r="C53" s="13">
        <v>12</v>
      </c>
      <c r="D53" s="35"/>
      <c r="E53" s="17" t="str">
        <f t="shared" si="8"/>
        <v/>
      </c>
      <c r="F53" s="17" t="str">
        <f t="shared" si="9"/>
        <v/>
      </c>
      <c r="H53" s="13">
        <v>5</v>
      </c>
      <c r="I53" s="91" t="s">
        <v>74</v>
      </c>
      <c r="J53" s="13">
        <v>13</v>
      </c>
      <c r="K53" s="35"/>
      <c r="L53" s="17" t="str">
        <f t="shared" si="10"/>
        <v/>
      </c>
      <c r="M53" s="17" t="str">
        <f t="shared" si="11"/>
        <v/>
      </c>
    </row>
    <row r="54" spans="1:13" x14ac:dyDescent="0.25">
      <c r="A54" s="13">
        <v>6</v>
      </c>
      <c r="B54" s="91" t="s">
        <v>74</v>
      </c>
      <c r="C54" s="13">
        <v>12</v>
      </c>
      <c r="D54" s="35"/>
      <c r="E54" s="17" t="str">
        <f t="shared" si="8"/>
        <v/>
      </c>
      <c r="F54" s="17" t="str">
        <f t="shared" si="9"/>
        <v/>
      </c>
      <c r="H54" s="13">
        <v>6</v>
      </c>
      <c r="I54" s="91" t="s">
        <v>74</v>
      </c>
      <c r="J54" s="13">
        <v>13</v>
      </c>
      <c r="K54" s="35"/>
      <c r="L54" s="17" t="str">
        <f t="shared" si="10"/>
        <v/>
      </c>
      <c r="M54" s="17" t="str">
        <f t="shared" si="11"/>
        <v/>
      </c>
    </row>
    <row r="55" spans="1:13" x14ac:dyDescent="0.25">
      <c r="A55" s="13">
        <v>7</v>
      </c>
      <c r="B55" s="91" t="s">
        <v>74</v>
      </c>
      <c r="C55" s="13">
        <v>12</v>
      </c>
      <c r="D55" s="35"/>
      <c r="E55" s="17" t="str">
        <f t="shared" si="8"/>
        <v/>
      </c>
      <c r="F55" s="17" t="str">
        <f t="shared" si="9"/>
        <v/>
      </c>
      <c r="H55" s="13">
        <v>7</v>
      </c>
      <c r="I55" s="91" t="s">
        <v>74</v>
      </c>
      <c r="J55" s="13">
        <v>13</v>
      </c>
      <c r="K55" s="35"/>
      <c r="L55" s="17" t="str">
        <f t="shared" si="10"/>
        <v/>
      </c>
      <c r="M55" s="17" t="str">
        <f t="shared" si="11"/>
        <v/>
      </c>
    </row>
    <row r="56" spans="1:13" x14ac:dyDescent="0.25">
      <c r="A56" s="13">
        <v>8</v>
      </c>
      <c r="B56" s="91" t="s">
        <v>74</v>
      </c>
      <c r="C56" s="13">
        <v>12</v>
      </c>
      <c r="D56" s="35"/>
      <c r="E56" s="17" t="str">
        <f t="shared" si="8"/>
        <v/>
      </c>
      <c r="F56" s="17" t="str">
        <f t="shared" si="9"/>
        <v/>
      </c>
      <c r="H56" s="13">
        <v>8</v>
      </c>
      <c r="I56" s="91" t="s">
        <v>74</v>
      </c>
      <c r="J56" s="13">
        <v>13</v>
      </c>
      <c r="K56" s="35"/>
      <c r="L56" s="17" t="str">
        <f t="shared" si="10"/>
        <v/>
      </c>
      <c r="M56" s="17" t="str">
        <f t="shared" si="11"/>
        <v/>
      </c>
    </row>
    <row r="57" spans="1:13" x14ac:dyDescent="0.25">
      <c r="A57" s="13">
        <v>9</v>
      </c>
      <c r="B57" s="91" t="s">
        <v>74</v>
      </c>
      <c r="C57" s="13">
        <v>12</v>
      </c>
      <c r="D57" s="35"/>
      <c r="E57" s="17" t="str">
        <f t="shared" si="8"/>
        <v/>
      </c>
      <c r="F57" s="17" t="str">
        <f t="shared" si="9"/>
        <v/>
      </c>
      <c r="H57" s="13">
        <v>9</v>
      </c>
      <c r="I57" s="91" t="s">
        <v>74</v>
      </c>
      <c r="J57" s="13">
        <v>13</v>
      </c>
      <c r="K57" s="35"/>
      <c r="L57" s="17" t="str">
        <f t="shared" si="10"/>
        <v/>
      </c>
      <c r="M57" s="17" t="str">
        <f t="shared" si="11"/>
        <v/>
      </c>
    </row>
    <row r="58" spans="1:13" x14ac:dyDescent="0.25">
      <c r="A58" s="13">
        <v>10</v>
      </c>
      <c r="B58" s="91" t="s">
        <v>74</v>
      </c>
      <c r="C58" s="13">
        <v>12</v>
      </c>
      <c r="D58" s="35"/>
      <c r="E58" s="17" t="str">
        <f t="shared" si="8"/>
        <v/>
      </c>
      <c r="F58" s="17" t="str">
        <f t="shared" si="9"/>
        <v/>
      </c>
      <c r="H58" s="13">
        <v>10</v>
      </c>
      <c r="I58" s="91" t="s">
        <v>74</v>
      </c>
      <c r="J58" s="13">
        <v>13</v>
      </c>
      <c r="K58" s="35"/>
      <c r="L58" s="17" t="str">
        <f t="shared" si="10"/>
        <v/>
      </c>
      <c r="M58" s="17" t="str">
        <f t="shared" si="11"/>
        <v/>
      </c>
    </row>
    <row r="59" spans="1:13" x14ac:dyDescent="0.25">
      <c r="A59" s="13">
        <v>11</v>
      </c>
      <c r="B59" s="91" t="s">
        <v>74</v>
      </c>
      <c r="C59" s="13">
        <v>12</v>
      </c>
      <c r="D59" s="35"/>
      <c r="E59" s="17" t="str">
        <f t="shared" si="8"/>
        <v/>
      </c>
      <c r="F59" s="17" t="str">
        <f t="shared" si="9"/>
        <v/>
      </c>
      <c r="H59" s="13">
        <v>11</v>
      </c>
      <c r="I59" s="91" t="s">
        <v>74</v>
      </c>
      <c r="J59" s="13">
        <v>13</v>
      </c>
      <c r="K59" s="35"/>
      <c r="L59" s="17" t="str">
        <f t="shared" si="10"/>
        <v/>
      </c>
      <c r="M59" s="17" t="str">
        <f t="shared" si="11"/>
        <v/>
      </c>
    </row>
    <row r="60" spans="1:13" x14ac:dyDescent="0.25">
      <c r="A60" s="13">
        <v>12</v>
      </c>
      <c r="B60" s="91" t="s">
        <v>74</v>
      </c>
      <c r="C60" s="13">
        <v>12</v>
      </c>
      <c r="D60" s="35"/>
      <c r="E60" s="17" t="str">
        <f t="shared" si="8"/>
        <v/>
      </c>
      <c r="F60" s="17" t="str">
        <f t="shared" si="9"/>
        <v/>
      </c>
      <c r="H60" s="13">
        <v>12</v>
      </c>
      <c r="I60" s="91" t="s">
        <v>74</v>
      </c>
      <c r="J60" s="13">
        <v>13</v>
      </c>
      <c r="K60" s="35"/>
      <c r="L60" s="17" t="str">
        <f t="shared" si="10"/>
        <v/>
      </c>
      <c r="M60" s="17" t="str">
        <f t="shared" si="11"/>
        <v/>
      </c>
    </row>
    <row r="61" spans="1:13" x14ac:dyDescent="0.25">
      <c r="A61" s="13">
        <v>13</v>
      </c>
      <c r="B61" s="91" t="s">
        <v>74</v>
      </c>
      <c r="C61" s="13">
        <v>12</v>
      </c>
      <c r="D61" s="35"/>
      <c r="E61" s="17" t="str">
        <f t="shared" si="8"/>
        <v/>
      </c>
      <c r="F61" s="17" t="str">
        <f t="shared" si="9"/>
        <v/>
      </c>
      <c r="H61" s="13">
        <v>13</v>
      </c>
      <c r="I61" s="91" t="s">
        <v>74</v>
      </c>
      <c r="J61" s="13">
        <v>13</v>
      </c>
      <c r="K61" s="35"/>
      <c r="L61" s="17" t="str">
        <f t="shared" si="10"/>
        <v/>
      </c>
      <c r="M61" s="17" t="str">
        <f t="shared" si="11"/>
        <v/>
      </c>
    </row>
    <row r="62" spans="1:13" x14ac:dyDescent="0.25">
      <c r="A62" s="13">
        <v>14</v>
      </c>
      <c r="B62" s="91" t="s">
        <v>74</v>
      </c>
      <c r="C62" s="13">
        <v>12</v>
      </c>
      <c r="D62" s="35"/>
      <c r="E62" s="17" t="str">
        <f t="shared" si="8"/>
        <v/>
      </c>
      <c r="F62" s="17" t="str">
        <f t="shared" si="9"/>
        <v/>
      </c>
      <c r="H62" s="13">
        <v>14</v>
      </c>
      <c r="I62" s="91" t="s">
        <v>74</v>
      </c>
      <c r="J62" s="13">
        <v>13</v>
      </c>
      <c r="K62" s="35"/>
      <c r="L62" s="17" t="str">
        <f t="shared" si="10"/>
        <v/>
      </c>
      <c r="M62" s="17" t="str">
        <f t="shared" si="11"/>
        <v/>
      </c>
    </row>
    <row r="63" spans="1:13" x14ac:dyDescent="0.25">
      <c r="A63" s="13">
        <v>15</v>
      </c>
      <c r="B63" s="91" t="s">
        <v>74</v>
      </c>
      <c r="C63" s="13">
        <v>12</v>
      </c>
      <c r="D63" s="35"/>
      <c r="E63" s="17" t="str">
        <f t="shared" si="8"/>
        <v/>
      </c>
      <c r="F63" s="17" t="str">
        <f t="shared" si="9"/>
        <v/>
      </c>
      <c r="H63" s="13">
        <v>15</v>
      </c>
      <c r="I63" s="91" t="s">
        <v>74</v>
      </c>
      <c r="J63" s="13">
        <v>13</v>
      </c>
      <c r="K63" s="35"/>
      <c r="L63" s="17" t="str">
        <f t="shared" si="10"/>
        <v/>
      </c>
      <c r="M63" s="17" t="str">
        <f t="shared" si="11"/>
        <v/>
      </c>
    </row>
    <row r="64" spans="1:13" x14ac:dyDescent="0.25">
      <c r="A64" s="13">
        <v>16</v>
      </c>
      <c r="B64" s="91" t="s">
        <v>74</v>
      </c>
      <c r="C64" s="13">
        <v>12</v>
      </c>
      <c r="D64" s="35"/>
      <c r="E64" s="17" t="str">
        <f t="shared" si="8"/>
        <v/>
      </c>
      <c r="F64" s="17" t="str">
        <f t="shared" si="9"/>
        <v/>
      </c>
      <c r="H64" s="13">
        <v>16</v>
      </c>
      <c r="I64" s="91" t="s">
        <v>74</v>
      </c>
      <c r="J64" s="13">
        <v>13</v>
      </c>
      <c r="K64" s="35"/>
      <c r="L64" s="17" t="str">
        <f t="shared" si="10"/>
        <v/>
      </c>
      <c r="M64" s="17" t="str">
        <f t="shared" si="11"/>
        <v/>
      </c>
    </row>
    <row r="65" spans="1:13" x14ac:dyDescent="0.25">
      <c r="A65" s="13">
        <v>17</v>
      </c>
      <c r="B65" s="91" t="s">
        <v>74</v>
      </c>
      <c r="C65" s="13">
        <v>12</v>
      </c>
      <c r="D65" s="35"/>
      <c r="E65" s="17" t="str">
        <f t="shared" si="8"/>
        <v/>
      </c>
      <c r="F65" s="17" t="str">
        <f t="shared" si="9"/>
        <v/>
      </c>
      <c r="H65" s="13">
        <v>17</v>
      </c>
      <c r="I65" s="91" t="s">
        <v>74</v>
      </c>
      <c r="J65" s="13">
        <v>13</v>
      </c>
      <c r="K65" s="35"/>
      <c r="L65" s="17" t="str">
        <f t="shared" si="10"/>
        <v/>
      </c>
      <c r="M65" s="17" t="str">
        <f t="shared" si="11"/>
        <v/>
      </c>
    </row>
    <row r="66" spans="1:13" x14ac:dyDescent="0.25">
      <c r="A66" s="13">
        <v>18</v>
      </c>
      <c r="B66" s="91" t="s">
        <v>74</v>
      </c>
      <c r="C66" s="13">
        <v>12</v>
      </c>
      <c r="D66" s="35"/>
      <c r="E66" s="17" t="str">
        <f t="shared" si="8"/>
        <v/>
      </c>
      <c r="F66" s="17" t="str">
        <f t="shared" si="9"/>
        <v/>
      </c>
      <c r="H66" s="13">
        <v>18</v>
      </c>
      <c r="I66" s="91" t="s">
        <v>74</v>
      </c>
      <c r="J66" s="13">
        <v>13</v>
      </c>
      <c r="K66" s="35"/>
      <c r="L66" s="17" t="str">
        <f t="shared" si="10"/>
        <v/>
      </c>
      <c r="M66" s="17" t="str">
        <f t="shared" si="11"/>
        <v/>
      </c>
    </row>
    <row r="67" spans="1:13" x14ac:dyDescent="0.25">
      <c r="A67" s="13">
        <v>19</v>
      </c>
      <c r="B67" s="91" t="s">
        <v>74</v>
      </c>
      <c r="C67" s="13">
        <v>12</v>
      </c>
      <c r="D67" s="35"/>
      <c r="E67" s="17" t="str">
        <f t="shared" si="8"/>
        <v/>
      </c>
      <c r="F67" s="17" t="str">
        <f t="shared" si="9"/>
        <v/>
      </c>
      <c r="H67" s="13">
        <v>19</v>
      </c>
      <c r="I67" s="91" t="s">
        <v>74</v>
      </c>
      <c r="J67" s="13">
        <v>13</v>
      </c>
      <c r="K67" s="35"/>
      <c r="L67" s="17" t="str">
        <f t="shared" si="10"/>
        <v/>
      </c>
      <c r="M67" s="17" t="str">
        <f t="shared" si="11"/>
        <v/>
      </c>
    </row>
    <row r="68" spans="1:13" x14ac:dyDescent="0.25">
      <c r="A68" s="13">
        <v>20</v>
      </c>
      <c r="B68" s="91" t="s">
        <v>74</v>
      </c>
      <c r="C68" s="13">
        <v>12</v>
      </c>
      <c r="D68" s="35"/>
      <c r="E68" s="17" t="str">
        <f t="shared" si="8"/>
        <v/>
      </c>
      <c r="F68" s="17" t="str">
        <f t="shared" si="9"/>
        <v/>
      </c>
      <c r="H68" s="13">
        <v>20</v>
      </c>
      <c r="I68" s="91" t="s">
        <v>74</v>
      </c>
      <c r="J68" s="13">
        <v>13</v>
      </c>
      <c r="K68" s="35"/>
      <c r="L68" s="17" t="str">
        <f t="shared" si="10"/>
        <v/>
      </c>
      <c r="M68" s="17" t="str">
        <f t="shared" si="11"/>
        <v/>
      </c>
    </row>
    <row r="69" spans="1:13" x14ac:dyDescent="0.25">
      <c r="A69" s="4" t="s">
        <v>176</v>
      </c>
      <c r="B69" s="12"/>
      <c r="C69" s="12"/>
      <c r="D69" s="4"/>
      <c r="E69" s="4"/>
      <c r="F69" s="4"/>
      <c r="H69" s="4" t="s">
        <v>221</v>
      </c>
      <c r="I69" s="12"/>
      <c r="J69" s="12"/>
      <c r="K69" s="4"/>
      <c r="L69" s="4"/>
      <c r="M69" s="4"/>
    </row>
    <row r="70" spans="1:13" ht="23.25" x14ac:dyDescent="0.25">
      <c r="A70" s="15" t="s">
        <v>0</v>
      </c>
      <c r="B70" s="15" t="s">
        <v>55</v>
      </c>
      <c r="C70" s="15" t="s">
        <v>56</v>
      </c>
      <c r="D70" s="16" t="s">
        <v>8</v>
      </c>
      <c r="E70" s="15" t="s">
        <v>2</v>
      </c>
      <c r="F70" s="15" t="s">
        <v>1</v>
      </c>
      <c r="H70" s="15" t="s">
        <v>0</v>
      </c>
      <c r="I70" s="15" t="s">
        <v>55</v>
      </c>
      <c r="J70" s="15" t="s">
        <v>56</v>
      </c>
      <c r="K70" s="16" t="s">
        <v>8</v>
      </c>
      <c r="L70" s="15" t="s">
        <v>2</v>
      </c>
      <c r="M70" s="15" t="s">
        <v>1</v>
      </c>
    </row>
    <row r="71" spans="1:13" x14ac:dyDescent="0.25">
      <c r="A71" s="13">
        <v>1</v>
      </c>
      <c r="B71" s="91" t="s">
        <v>74</v>
      </c>
      <c r="C71" s="13">
        <v>14</v>
      </c>
      <c r="D71" s="35"/>
      <c r="E71" s="17" t="str">
        <f t="shared" ref="E71:E90" si="12">IF(D71&gt;0,VLOOKUP(D71,Jumpers,3),"")</f>
        <v/>
      </c>
      <c r="F71" s="17" t="str">
        <f t="shared" ref="F71:F90" si="13">IF(D71&gt;0,VLOOKUP(D71,Jumpers,2),"")</f>
        <v/>
      </c>
      <c r="H71" s="13">
        <v>1</v>
      </c>
      <c r="I71" s="91" t="s">
        <v>74</v>
      </c>
      <c r="J71" s="91" t="s">
        <v>214</v>
      </c>
      <c r="K71" s="35"/>
      <c r="L71" s="17" t="str">
        <f t="shared" ref="L71:L90" si="14">IF(K71&gt;0,VLOOKUP(K71,Jumpers,3),"")</f>
        <v/>
      </c>
      <c r="M71" s="17" t="str">
        <f t="shared" ref="M71:M90" si="15">IF(K71&gt;0,VLOOKUP(K71,Jumpers,2),"")</f>
        <v/>
      </c>
    </row>
    <row r="72" spans="1:13" x14ac:dyDescent="0.25">
      <c r="A72" s="13">
        <v>2</v>
      </c>
      <c r="B72" s="91" t="s">
        <v>74</v>
      </c>
      <c r="C72" s="13">
        <v>14</v>
      </c>
      <c r="D72" s="35"/>
      <c r="E72" s="17" t="str">
        <f t="shared" si="12"/>
        <v/>
      </c>
      <c r="F72" s="17" t="str">
        <f t="shared" si="13"/>
        <v/>
      </c>
      <c r="H72" s="13">
        <v>2</v>
      </c>
      <c r="I72" s="91" t="s">
        <v>74</v>
      </c>
      <c r="J72" s="91" t="s">
        <v>214</v>
      </c>
      <c r="K72" s="35"/>
      <c r="L72" s="17" t="str">
        <f t="shared" si="14"/>
        <v/>
      </c>
      <c r="M72" s="17" t="str">
        <f t="shared" si="15"/>
        <v/>
      </c>
    </row>
    <row r="73" spans="1:13" x14ac:dyDescent="0.25">
      <c r="A73" s="13">
        <v>3</v>
      </c>
      <c r="B73" s="91" t="s">
        <v>74</v>
      </c>
      <c r="C73" s="13">
        <v>14</v>
      </c>
      <c r="D73" s="35"/>
      <c r="E73" s="17" t="str">
        <f t="shared" si="12"/>
        <v/>
      </c>
      <c r="F73" s="17" t="str">
        <f t="shared" si="13"/>
        <v/>
      </c>
      <c r="H73" s="13">
        <v>3</v>
      </c>
      <c r="I73" s="91" t="s">
        <v>74</v>
      </c>
      <c r="J73" s="91" t="s">
        <v>214</v>
      </c>
      <c r="K73" s="35"/>
      <c r="L73" s="17" t="str">
        <f t="shared" si="14"/>
        <v/>
      </c>
      <c r="M73" s="17" t="str">
        <f t="shared" si="15"/>
        <v/>
      </c>
    </row>
    <row r="74" spans="1:13" x14ac:dyDescent="0.25">
      <c r="A74" s="13">
        <v>4</v>
      </c>
      <c r="B74" s="91" t="s">
        <v>74</v>
      </c>
      <c r="C74" s="13">
        <v>14</v>
      </c>
      <c r="D74" s="35"/>
      <c r="E74" s="17" t="str">
        <f t="shared" si="12"/>
        <v/>
      </c>
      <c r="F74" s="17" t="str">
        <f t="shared" si="13"/>
        <v/>
      </c>
      <c r="H74" s="13">
        <v>4</v>
      </c>
      <c r="I74" s="91" t="s">
        <v>74</v>
      </c>
      <c r="J74" s="91" t="s">
        <v>214</v>
      </c>
      <c r="K74" s="35"/>
      <c r="L74" s="17" t="str">
        <f t="shared" si="14"/>
        <v/>
      </c>
      <c r="M74" s="17" t="str">
        <f t="shared" si="15"/>
        <v/>
      </c>
    </row>
    <row r="75" spans="1:13" x14ac:dyDescent="0.25">
      <c r="A75" s="13">
        <v>5</v>
      </c>
      <c r="B75" s="91" t="s">
        <v>74</v>
      </c>
      <c r="C75" s="13">
        <v>14</v>
      </c>
      <c r="D75" s="35"/>
      <c r="E75" s="17" t="str">
        <f t="shared" si="12"/>
        <v/>
      </c>
      <c r="F75" s="17" t="str">
        <f t="shared" si="13"/>
        <v/>
      </c>
      <c r="H75" s="13">
        <v>5</v>
      </c>
      <c r="I75" s="91" t="s">
        <v>74</v>
      </c>
      <c r="J75" s="91" t="s">
        <v>214</v>
      </c>
      <c r="K75" s="35"/>
      <c r="L75" s="17" t="str">
        <f t="shared" si="14"/>
        <v/>
      </c>
      <c r="M75" s="17" t="str">
        <f t="shared" si="15"/>
        <v/>
      </c>
    </row>
    <row r="76" spans="1:13" x14ac:dyDescent="0.25">
      <c r="A76" s="13">
        <v>6</v>
      </c>
      <c r="B76" s="91" t="s">
        <v>74</v>
      </c>
      <c r="C76" s="13">
        <v>14</v>
      </c>
      <c r="D76" s="35"/>
      <c r="E76" s="17" t="str">
        <f t="shared" si="12"/>
        <v/>
      </c>
      <c r="F76" s="17" t="str">
        <f t="shared" si="13"/>
        <v/>
      </c>
      <c r="H76" s="13">
        <v>6</v>
      </c>
      <c r="I76" s="91" t="s">
        <v>74</v>
      </c>
      <c r="J76" s="91" t="s">
        <v>214</v>
      </c>
      <c r="K76" s="35"/>
      <c r="L76" s="17" t="str">
        <f t="shared" si="14"/>
        <v/>
      </c>
      <c r="M76" s="17" t="str">
        <f t="shared" si="15"/>
        <v/>
      </c>
    </row>
    <row r="77" spans="1:13" x14ac:dyDescent="0.25">
      <c r="A77" s="13">
        <v>7</v>
      </c>
      <c r="B77" s="91" t="s">
        <v>74</v>
      </c>
      <c r="C77" s="13">
        <v>14</v>
      </c>
      <c r="D77" s="35"/>
      <c r="E77" s="17" t="str">
        <f t="shared" si="12"/>
        <v/>
      </c>
      <c r="F77" s="17" t="str">
        <f t="shared" si="13"/>
        <v/>
      </c>
      <c r="H77" s="13">
        <v>7</v>
      </c>
      <c r="I77" s="91" t="s">
        <v>74</v>
      </c>
      <c r="J77" s="91" t="s">
        <v>214</v>
      </c>
      <c r="K77" s="35"/>
      <c r="L77" s="17" t="str">
        <f t="shared" si="14"/>
        <v/>
      </c>
      <c r="M77" s="17" t="str">
        <f t="shared" si="15"/>
        <v/>
      </c>
    </row>
    <row r="78" spans="1:13" x14ac:dyDescent="0.25">
      <c r="A78" s="13">
        <v>8</v>
      </c>
      <c r="B78" s="91" t="s">
        <v>74</v>
      </c>
      <c r="C78" s="13">
        <v>14</v>
      </c>
      <c r="D78" s="35"/>
      <c r="E78" s="17" t="str">
        <f t="shared" si="12"/>
        <v/>
      </c>
      <c r="F78" s="17" t="str">
        <f t="shared" si="13"/>
        <v/>
      </c>
      <c r="H78" s="13">
        <v>8</v>
      </c>
      <c r="I78" s="91" t="s">
        <v>74</v>
      </c>
      <c r="J78" s="91" t="s">
        <v>214</v>
      </c>
      <c r="K78" s="35"/>
      <c r="L78" s="17" t="str">
        <f t="shared" si="14"/>
        <v/>
      </c>
      <c r="M78" s="17" t="str">
        <f t="shared" si="15"/>
        <v/>
      </c>
    </row>
    <row r="79" spans="1:13" x14ac:dyDescent="0.25">
      <c r="A79" s="13">
        <v>9</v>
      </c>
      <c r="B79" s="91" t="s">
        <v>74</v>
      </c>
      <c r="C79" s="13">
        <v>14</v>
      </c>
      <c r="D79" s="35"/>
      <c r="E79" s="17" t="str">
        <f t="shared" si="12"/>
        <v/>
      </c>
      <c r="F79" s="17" t="str">
        <f t="shared" si="13"/>
        <v/>
      </c>
      <c r="H79" s="13">
        <v>9</v>
      </c>
      <c r="I79" s="91" t="s">
        <v>74</v>
      </c>
      <c r="J79" s="91" t="s">
        <v>214</v>
      </c>
      <c r="K79" s="35"/>
      <c r="L79" s="17" t="str">
        <f t="shared" si="14"/>
        <v/>
      </c>
      <c r="M79" s="17" t="str">
        <f t="shared" si="15"/>
        <v/>
      </c>
    </row>
    <row r="80" spans="1:13" x14ac:dyDescent="0.25">
      <c r="A80" s="13">
        <v>10</v>
      </c>
      <c r="B80" s="91" t="s">
        <v>74</v>
      </c>
      <c r="C80" s="13">
        <v>14</v>
      </c>
      <c r="D80" s="35"/>
      <c r="E80" s="17" t="str">
        <f t="shared" si="12"/>
        <v/>
      </c>
      <c r="F80" s="17" t="str">
        <f t="shared" si="13"/>
        <v/>
      </c>
      <c r="H80" s="13">
        <v>10</v>
      </c>
      <c r="I80" s="91" t="s">
        <v>74</v>
      </c>
      <c r="J80" s="91" t="s">
        <v>214</v>
      </c>
      <c r="K80" s="35"/>
      <c r="L80" s="17" t="str">
        <f t="shared" si="14"/>
        <v/>
      </c>
      <c r="M80" s="17" t="str">
        <f t="shared" si="15"/>
        <v/>
      </c>
    </row>
    <row r="81" spans="1:13" x14ac:dyDescent="0.25">
      <c r="A81" s="13">
        <v>11</v>
      </c>
      <c r="B81" s="91" t="s">
        <v>74</v>
      </c>
      <c r="C81" s="13">
        <v>14</v>
      </c>
      <c r="D81" s="35"/>
      <c r="E81" s="17" t="str">
        <f t="shared" si="12"/>
        <v/>
      </c>
      <c r="F81" s="17" t="str">
        <f t="shared" si="13"/>
        <v/>
      </c>
      <c r="H81" s="13">
        <v>11</v>
      </c>
      <c r="I81" s="91" t="s">
        <v>74</v>
      </c>
      <c r="J81" s="91" t="s">
        <v>214</v>
      </c>
      <c r="K81" s="35"/>
      <c r="L81" s="17" t="str">
        <f t="shared" si="14"/>
        <v/>
      </c>
      <c r="M81" s="17" t="str">
        <f t="shared" si="15"/>
        <v/>
      </c>
    </row>
    <row r="82" spans="1:13" x14ac:dyDescent="0.25">
      <c r="A82" s="13">
        <v>12</v>
      </c>
      <c r="B82" s="91" t="s">
        <v>74</v>
      </c>
      <c r="C82" s="13">
        <v>14</v>
      </c>
      <c r="D82" s="35"/>
      <c r="E82" s="17" t="str">
        <f t="shared" si="12"/>
        <v/>
      </c>
      <c r="F82" s="17" t="str">
        <f t="shared" si="13"/>
        <v/>
      </c>
      <c r="H82" s="13">
        <v>12</v>
      </c>
      <c r="I82" s="91" t="s">
        <v>74</v>
      </c>
      <c r="J82" s="91" t="s">
        <v>214</v>
      </c>
      <c r="K82" s="35"/>
      <c r="L82" s="17" t="str">
        <f t="shared" si="14"/>
        <v/>
      </c>
      <c r="M82" s="17" t="str">
        <f t="shared" si="15"/>
        <v/>
      </c>
    </row>
    <row r="83" spans="1:13" x14ac:dyDescent="0.25">
      <c r="A83" s="13">
        <v>13</v>
      </c>
      <c r="B83" s="91" t="s">
        <v>74</v>
      </c>
      <c r="C83" s="13">
        <v>14</v>
      </c>
      <c r="D83" s="35"/>
      <c r="E83" s="17" t="str">
        <f t="shared" si="12"/>
        <v/>
      </c>
      <c r="F83" s="17" t="str">
        <f t="shared" si="13"/>
        <v/>
      </c>
      <c r="H83" s="13">
        <v>13</v>
      </c>
      <c r="I83" s="91" t="s">
        <v>74</v>
      </c>
      <c r="J83" s="91" t="s">
        <v>214</v>
      </c>
      <c r="K83" s="35"/>
      <c r="L83" s="17" t="str">
        <f t="shared" si="14"/>
        <v/>
      </c>
      <c r="M83" s="17" t="str">
        <f t="shared" si="15"/>
        <v/>
      </c>
    </row>
    <row r="84" spans="1:13" x14ac:dyDescent="0.25">
      <c r="A84" s="13">
        <v>14</v>
      </c>
      <c r="B84" s="91" t="s">
        <v>74</v>
      </c>
      <c r="C84" s="13">
        <v>14</v>
      </c>
      <c r="D84" s="35"/>
      <c r="E84" s="17" t="str">
        <f t="shared" si="12"/>
        <v/>
      </c>
      <c r="F84" s="17" t="str">
        <f t="shared" si="13"/>
        <v/>
      </c>
      <c r="H84" s="13">
        <v>14</v>
      </c>
      <c r="I84" s="91" t="s">
        <v>74</v>
      </c>
      <c r="J84" s="91" t="s">
        <v>214</v>
      </c>
      <c r="K84" s="35"/>
      <c r="L84" s="17" t="str">
        <f t="shared" si="14"/>
        <v/>
      </c>
      <c r="M84" s="17" t="str">
        <f t="shared" si="15"/>
        <v/>
      </c>
    </row>
    <row r="85" spans="1:13" x14ac:dyDescent="0.25">
      <c r="A85" s="13">
        <v>15</v>
      </c>
      <c r="B85" s="91" t="s">
        <v>74</v>
      </c>
      <c r="C85" s="13">
        <v>14</v>
      </c>
      <c r="D85" s="35"/>
      <c r="E85" s="17" t="str">
        <f t="shared" si="12"/>
        <v/>
      </c>
      <c r="F85" s="17" t="str">
        <f t="shared" si="13"/>
        <v/>
      </c>
      <c r="H85" s="13">
        <v>15</v>
      </c>
      <c r="I85" s="91" t="s">
        <v>74</v>
      </c>
      <c r="J85" s="91" t="s">
        <v>214</v>
      </c>
      <c r="K85" s="35"/>
      <c r="L85" s="17" t="str">
        <f t="shared" si="14"/>
        <v/>
      </c>
      <c r="M85" s="17" t="str">
        <f t="shared" si="15"/>
        <v/>
      </c>
    </row>
    <row r="86" spans="1:13" x14ac:dyDescent="0.25">
      <c r="A86" s="13">
        <v>16</v>
      </c>
      <c r="B86" s="91" t="s">
        <v>74</v>
      </c>
      <c r="C86" s="13">
        <v>14</v>
      </c>
      <c r="D86" s="35"/>
      <c r="E86" s="17" t="str">
        <f t="shared" si="12"/>
        <v/>
      </c>
      <c r="F86" s="17" t="str">
        <f t="shared" si="13"/>
        <v/>
      </c>
      <c r="H86" s="13">
        <v>16</v>
      </c>
      <c r="I86" s="91" t="s">
        <v>74</v>
      </c>
      <c r="J86" s="91" t="s">
        <v>214</v>
      </c>
      <c r="K86" s="35"/>
      <c r="L86" s="17" t="str">
        <f t="shared" si="14"/>
        <v/>
      </c>
      <c r="M86" s="17" t="str">
        <f t="shared" si="15"/>
        <v/>
      </c>
    </row>
    <row r="87" spans="1:13" x14ac:dyDescent="0.25">
      <c r="A87" s="13">
        <v>17</v>
      </c>
      <c r="B87" s="91" t="s">
        <v>74</v>
      </c>
      <c r="C87" s="13">
        <v>14</v>
      </c>
      <c r="D87" s="35"/>
      <c r="E87" s="17" t="str">
        <f t="shared" si="12"/>
        <v/>
      </c>
      <c r="F87" s="17" t="str">
        <f t="shared" si="13"/>
        <v/>
      </c>
      <c r="H87" s="13">
        <v>17</v>
      </c>
      <c r="I87" s="91" t="s">
        <v>74</v>
      </c>
      <c r="J87" s="91" t="s">
        <v>214</v>
      </c>
      <c r="K87" s="35"/>
      <c r="L87" s="17" t="str">
        <f t="shared" si="14"/>
        <v/>
      </c>
      <c r="M87" s="17" t="str">
        <f t="shared" si="15"/>
        <v/>
      </c>
    </row>
    <row r="88" spans="1:13" x14ac:dyDescent="0.25">
      <c r="A88" s="13">
        <v>18</v>
      </c>
      <c r="B88" s="91" t="s">
        <v>74</v>
      </c>
      <c r="C88" s="13">
        <v>14</v>
      </c>
      <c r="D88" s="35"/>
      <c r="E88" s="17" t="str">
        <f t="shared" si="12"/>
        <v/>
      </c>
      <c r="F88" s="17" t="str">
        <f t="shared" si="13"/>
        <v/>
      </c>
      <c r="H88" s="13">
        <v>18</v>
      </c>
      <c r="I88" s="91" t="s">
        <v>74</v>
      </c>
      <c r="J88" s="91" t="s">
        <v>214</v>
      </c>
      <c r="K88" s="35"/>
      <c r="L88" s="17" t="str">
        <f t="shared" si="14"/>
        <v/>
      </c>
      <c r="M88" s="17" t="str">
        <f t="shared" si="15"/>
        <v/>
      </c>
    </row>
    <row r="89" spans="1:13" x14ac:dyDescent="0.25">
      <c r="A89" s="13">
        <v>19</v>
      </c>
      <c r="B89" s="91" t="s">
        <v>74</v>
      </c>
      <c r="C89" s="13">
        <v>14</v>
      </c>
      <c r="D89" s="35"/>
      <c r="E89" s="17" t="str">
        <f t="shared" si="12"/>
        <v/>
      </c>
      <c r="F89" s="17" t="str">
        <f t="shared" si="13"/>
        <v/>
      </c>
      <c r="H89" s="13">
        <v>19</v>
      </c>
      <c r="I89" s="91" t="s">
        <v>74</v>
      </c>
      <c r="J89" s="91" t="s">
        <v>214</v>
      </c>
      <c r="K89" s="35"/>
      <c r="L89" s="17" t="str">
        <f t="shared" si="14"/>
        <v/>
      </c>
      <c r="M89" s="17" t="str">
        <f t="shared" si="15"/>
        <v/>
      </c>
    </row>
    <row r="90" spans="1:13" x14ac:dyDescent="0.25">
      <c r="A90" s="13">
        <v>20</v>
      </c>
      <c r="B90" s="91" t="s">
        <v>74</v>
      </c>
      <c r="C90" s="13">
        <v>14</v>
      </c>
      <c r="D90" s="35"/>
      <c r="E90" s="17" t="str">
        <f t="shared" si="12"/>
        <v/>
      </c>
      <c r="F90" s="17" t="str">
        <f t="shared" si="13"/>
        <v/>
      </c>
      <c r="H90" s="13">
        <v>20</v>
      </c>
      <c r="I90" s="91" t="s">
        <v>74</v>
      </c>
      <c r="J90" s="91" t="s">
        <v>214</v>
      </c>
      <c r="K90" s="35"/>
      <c r="L90" s="17" t="str">
        <f t="shared" si="14"/>
        <v/>
      </c>
      <c r="M90" s="17" t="str">
        <f t="shared" si="15"/>
        <v/>
      </c>
    </row>
    <row r="91" spans="1:13" x14ac:dyDescent="0.25">
      <c r="A91" s="4" t="s">
        <v>220</v>
      </c>
      <c r="B91" s="12"/>
      <c r="C91" s="12"/>
      <c r="D91" s="4"/>
      <c r="E91" s="4"/>
      <c r="F91" s="4"/>
      <c r="H91" s="4" t="s">
        <v>223</v>
      </c>
      <c r="I91" s="12"/>
      <c r="J91" s="12"/>
      <c r="K91" s="4"/>
      <c r="L91" s="4"/>
      <c r="M91" s="4"/>
    </row>
    <row r="92" spans="1:13" ht="23.25" x14ac:dyDescent="0.25">
      <c r="A92" s="15" t="s">
        <v>0</v>
      </c>
      <c r="B92" s="15" t="s">
        <v>55</v>
      </c>
      <c r="C92" s="15" t="s">
        <v>56</v>
      </c>
      <c r="D92" s="16" t="s">
        <v>8</v>
      </c>
      <c r="E92" s="15" t="s">
        <v>2</v>
      </c>
      <c r="F92" s="15" t="s">
        <v>1</v>
      </c>
      <c r="H92" s="15" t="s">
        <v>0</v>
      </c>
      <c r="I92" s="15" t="s">
        <v>55</v>
      </c>
      <c r="J92" s="15" t="s">
        <v>56</v>
      </c>
      <c r="K92" s="16" t="s">
        <v>8</v>
      </c>
      <c r="L92" s="15" t="s">
        <v>2</v>
      </c>
      <c r="M92" s="15" t="s">
        <v>1</v>
      </c>
    </row>
    <row r="93" spans="1:13" x14ac:dyDescent="0.25">
      <c r="A93" s="13">
        <v>1</v>
      </c>
      <c r="B93" s="91" t="s">
        <v>74</v>
      </c>
      <c r="C93" s="91" t="s">
        <v>215</v>
      </c>
      <c r="D93" s="35"/>
      <c r="E93" s="17" t="str">
        <f t="shared" ref="E93:E112" si="16">IF(D93&gt;0,VLOOKUP(D93,Jumpers,3),"")</f>
        <v/>
      </c>
      <c r="F93" s="17" t="str">
        <f t="shared" ref="F93:F112" si="17">IF(D93&gt;0,VLOOKUP(D93,Jumpers,2),"")</f>
        <v/>
      </c>
      <c r="H93" s="13">
        <v>1</v>
      </c>
      <c r="I93" s="91" t="s">
        <v>74</v>
      </c>
      <c r="J93" s="91" t="s">
        <v>216</v>
      </c>
      <c r="K93" s="35"/>
      <c r="L93" s="17" t="str">
        <f t="shared" ref="L93:L112" si="18">IF(K93&gt;0,VLOOKUP(K93,Jumpers,3),"")</f>
        <v/>
      </c>
      <c r="M93" s="17" t="str">
        <f t="shared" ref="M93:M112" si="19">IF(K93&gt;0,VLOOKUP(K93,Jumpers,2),"")</f>
        <v/>
      </c>
    </row>
    <row r="94" spans="1:13" x14ac:dyDescent="0.25">
      <c r="A94" s="13">
        <v>2</v>
      </c>
      <c r="B94" s="91" t="s">
        <v>74</v>
      </c>
      <c r="C94" s="91" t="s">
        <v>215</v>
      </c>
      <c r="D94" s="35"/>
      <c r="E94" s="17" t="str">
        <f t="shared" si="16"/>
        <v/>
      </c>
      <c r="F94" s="17" t="str">
        <f t="shared" si="17"/>
        <v/>
      </c>
      <c r="H94" s="13">
        <v>2</v>
      </c>
      <c r="I94" s="91" t="s">
        <v>74</v>
      </c>
      <c r="J94" s="91" t="s">
        <v>216</v>
      </c>
      <c r="K94" s="35"/>
      <c r="L94" s="17" t="str">
        <f t="shared" si="18"/>
        <v/>
      </c>
      <c r="M94" s="17" t="str">
        <f t="shared" si="19"/>
        <v/>
      </c>
    </row>
    <row r="95" spans="1:13" x14ac:dyDescent="0.25">
      <c r="A95" s="13">
        <v>3</v>
      </c>
      <c r="B95" s="91" t="s">
        <v>74</v>
      </c>
      <c r="C95" s="91" t="s">
        <v>215</v>
      </c>
      <c r="D95" s="35"/>
      <c r="E95" s="17" t="str">
        <f t="shared" si="16"/>
        <v/>
      </c>
      <c r="F95" s="17" t="str">
        <f t="shared" si="17"/>
        <v/>
      </c>
      <c r="H95" s="13">
        <v>3</v>
      </c>
      <c r="I95" s="91" t="s">
        <v>74</v>
      </c>
      <c r="J95" s="91" t="s">
        <v>216</v>
      </c>
      <c r="K95" s="35"/>
      <c r="L95" s="17" t="str">
        <f t="shared" si="18"/>
        <v/>
      </c>
      <c r="M95" s="17" t="str">
        <f t="shared" si="19"/>
        <v/>
      </c>
    </row>
    <row r="96" spans="1:13" x14ac:dyDescent="0.25">
      <c r="A96" s="13">
        <v>4</v>
      </c>
      <c r="B96" s="91" t="s">
        <v>74</v>
      </c>
      <c r="C96" s="91" t="s">
        <v>215</v>
      </c>
      <c r="D96" s="35"/>
      <c r="E96" s="17" t="str">
        <f t="shared" si="16"/>
        <v/>
      </c>
      <c r="F96" s="17" t="str">
        <f t="shared" si="17"/>
        <v/>
      </c>
      <c r="H96" s="13">
        <v>4</v>
      </c>
      <c r="I96" s="91" t="s">
        <v>74</v>
      </c>
      <c r="J96" s="91" t="s">
        <v>216</v>
      </c>
      <c r="K96" s="35"/>
      <c r="L96" s="17" t="str">
        <f t="shared" si="18"/>
        <v/>
      </c>
      <c r="M96" s="17" t="str">
        <f t="shared" si="19"/>
        <v/>
      </c>
    </row>
    <row r="97" spans="1:13" x14ac:dyDescent="0.25">
      <c r="A97" s="13">
        <v>5</v>
      </c>
      <c r="B97" s="91" t="s">
        <v>74</v>
      </c>
      <c r="C97" s="91" t="s">
        <v>215</v>
      </c>
      <c r="D97" s="35"/>
      <c r="E97" s="17" t="str">
        <f t="shared" si="16"/>
        <v/>
      </c>
      <c r="F97" s="17" t="str">
        <f t="shared" si="17"/>
        <v/>
      </c>
      <c r="H97" s="13">
        <v>5</v>
      </c>
      <c r="I97" s="91" t="s">
        <v>74</v>
      </c>
      <c r="J97" s="91" t="s">
        <v>216</v>
      </c>
      <c r="K97" s="35"/>
      <c r="L97" s="17" t="str">
        <f t="shared" si="18"/>
        <v/>
      </c>
      <c r="M97" s="17" t="str">
        <f t="shared" si="19"/>
        <v/>
      </c>
    </row>
    <row r="98" spans="1:13" x14ac:dyDescent="0.25">
      <c r="A98" s="13">
        <v>6</v>
      </c>
      <c r="B98" s="91" t="s">
        <v>74</v>
      </c>
      <c r="C98" s="91" t="s">
        <v>215</v>
      </c>
      <c r="D98" s="35"/>
      <c r="E98" s="17" t="str">
        <f t="shared" si="16"/>
        <v/>
      </c>
      <c r="F98" s="17" t="str">
        <f t="shared" si="17"/>
        <v/>
      </c>
      <c r="H98" s="13">
        <v>6</v>
      </c>
      <c r="I98" s="91" t="s">
        <v>74</v>
      </c>
      <c r="J98" s="91" t="s">
        <v>216</v>
      </c>
      <c r="K98" s="35"/>
      <c r="L98" s="17" t="str">
        <f t="shared" si="18"/>
        <v/>
      </c>
      <c r="M98" s="17" t="str">
        <f t="shared" si="19"/>
        <v/>
      </c>
    </row>
    <row r="99" spans="1:13" x14ac:dyDescent="0.25">
      <c r="A99" s="13">
        <v>7</v>
      </c>
      <c r="B99" s="91" t="s">
        <v>74</v>
      </c>
      <c r="C99" s="91" t="s">
        <v>215</v>
      </c>
      <c r="D99" s="35"/>
      <c r="E99" s="17" t="str">
        <f t="shared" si="16"/>
        <v/>
      </c>
      <c r="F99" s="17" t="str">
        <f t="shared" si="17"/>
        <v/>
      </c>
      <c r="H99" s="13">
        <v>7</v>
      </c>
      <c r="I99" s="91" t="s">
        <v>74</v>
      </c>
      <c r="J99" s="91" t="s">
        <v>216</v>
      </c>
      <c r="K99" s="35"/>
      <c r="L99" s="17" t="str">
        <f t="shared" si="18"/>
        <v/>
      </c>
      <c r="M99" s="17" t="str">
        <f t="shared" si="19"/>
        <v/>
      </c>
    </row>
    <row r="100" spans="1:13" x14ac:dyDescent="0.25">
      <c r="A100" s="13">
        <v>8</v>
      </c>
      <c r="B100" s="91" t="s">
        <v>74</v>
      </c>
      <c r="C100" s="91" t="s">
        <v>215</v>
      </c>
      <c r="D100" s="35"/>
      <c r="E100" s="17" t="str">
        <f t="shared" si="16"/>
        <v/>
      </c>
      <c r="F100" s="17" t="str">
        <f t="shared" si="17"/>
        <v/>
      </c>
      <c r="H100" s="13">
        <v>8</v>
      </c>
      <c r="I100" s="91" t="s">
        <v>74</v>
      </c>
      <c r="J100" s="91" t="s">
        <v>216</v>
      </c>
      <c r="K100" s="35"/>
      <c r="L100" s="17" t="str">
        <f t="shared" si="18"/>
        <v/>
      </c>
      <c r="M100" s="17" t="str">
        <f t="shared" si="19"/>
        <v/>
      </c>
    </row>
    <row r="101" spans="1:13" x14ac:dyDescent="0.25">
      <c r="A101" s="13">
        <v>9</v>
      </c>
      <c r="B101" s="91" t="s">
        <v>74</v>
      </c>
      <c r="C101" s="91" t="s">
        <v>215</v>
      </c>
      <c r="D101" s="35"/>
      <c r="E101" s="17" t="str">
        <f t="shared" si="16"/>
        <v/>
      </c>
      <c r="F101" s="17" t="str">
        <f t="shared" si="17"/>
        <v/>
      </c>
      <c r="H101" s="13">
        <v>9</v>
      </c>
      <c r="I101" s="91" t="s">
        <v>74</v>
      </c>
      <c r="J101" s="91" t="s">
        <v>216</v>
      </c>
      <c r="K101" s="35"/>
      <c r="L101" s="17" t="str">
        <f t="shared" si="18"/>
        <v/>
      </c>
      <c r="M101" s="17" t="str">
        <f t="shared" si="19"/>
        <v/>
      </c>
    </row>
    <row r="102" spans="1:13" x14ac:dyDescent="0.25">
      <c r="A102" s="13">
        <v>10</v>
      </c>
      <c r="B102" s="91" t="s">
        <v>74</v>
      </c>
      <c r="C102" s="91" t="s">
        <v>215</v>
      </c>
      <c r="D102" s="35"/>
      <c r="E102" s="17" t="str">
        <f t="shared" si="16"/>
        <v/>
      </c>
      <c r="F102" s="17" t="str">
        <f t="shared" si="17"/>
        <v/>
      </c>
      <c r="H102" s="13">
        <v>10</v>
      </c>
      <c r="I102" s="91" t="s">
        <v>74</v>
      </c>
      <c r="J102" s="91" t="s">
        <v>216</v>
      </c>
      <c r="K102" s="35"/>
      <c r="L102" s="17" t="str">
        <f t="shared" si="18"/>
        <v/>
      </c>
      <c r="M102" s="17" t="str">
        <f t="shared" si="19"/>
        <v/>
      </c>
    </row>
    <row r="103" spans="1:13" x14ac:dyDescent="0.25">
      <c r="A103" s="13">
        <v>11</v>
      </c>
      <c r="B103" s="91" t="s">
        <v>74</v>
      </c>
      <c r="C103" s="91" t="s">
        <v>215</v>
      </c>
      <c r="D103" s="35"/>
      <c r="E103" s="17" t="str">
        <f t="shared" si="16"/>
        <v/>
      </c>
      <c r="F103" s="17" t="str">
        <f t="shared" si="17"/>
        <v/>
      </c>
      <c r="H103" s="13">
        <v>11</v>
      </c>
      <c r="I103" s="91" t="s">
        <v>74</v>
      </c>
      <c r="J103" s="91" t="s">
        <v>216</v>
      </c>
      <c r="K103" s="35"/>
      <c r="L103" s="17" t="str">
        <f t="shared" si="18"/>
        <v/>
      </c>
      <c r="M103" s="17" t="str">
        <f t="shared" si="19"/>
        <v/>
      </c>
    </row>
    <row r="104" spans="1:13" x14ac:dyDescent="0.25">
      <c r="A104" s="13">
        <v>12</v>
      </c>
      <c r="B104" s="91" t="s">
        <v>74</v>
      </c>
      <c r="C104" s="91" t="s">
        <v>215</v>
      </c>
      <c r="D104" s="35"/>
      <c r="E104" s="17" t="str">
        <f t="shared" si="16"/>
        <v/>
      </c>
      <c r="F104" s="17" t="str">
        <f t="shared" si="17"/>
        <v/>
      </c>
      <c r="H104" s="13">
        <v>12</v>
      </c>
      <c r="I104" s="91" t="s">
        <v>74</v>
      </c>
      <c r="J104" s="91" t="s">
        <v>216</v>
      </c>
      <c r="K104" s="35"/>
      <c r="L104" s="17" t="str">
        <f t="shared" si="18"/>
        <v/>
      </c>
      <c r="M104" s="17" t="str">
        <f t="shared" si="19"/>
        <v/>
      </c>
    </row>
    <row r="105" spans="1:13" x14ac:dyDescent="0.25">
      <c r="A105" s="13">
        <v>13</v>
      </c>
      <c r="B105" s="91" t="s">
        <v>74</v>
      </c>
      <c r="C105" s="91" t="s">
        <v>215</v>
      </c>
      <c r="D105" s="35"/>
      <c r="E105" s="17" t="str">
        <f t="shared" si="16"/>
        <v/>
      </c>
      <c r="F105" s="17" t="str">
        <f t="shared" si="17"/>
        <v/>
      </c>
      <c r="H105" s="13">
        <v>13</v>
      </c>
      <c r="I105" s="91" t="s">
        <v>74</v>
      </c>
      <c r="J105" s="91" t="s">
        <v>216</v>
      </c>
      <c r="K105" s="35"/>
      <c r="L105" s="17" t="str">
        <f t="shared" si="18"/>
        <v/>
      </c>
      <c r="M105" s="17" t="str">
        <f t="shared" si="19"/>
        <v/>
      </c>
    </row>
    <row r="106" spans="1:13" x14ac:dyDescent="0.25">
      <c r="A106" s="13">
        <v>14</v>
      </c>
      <c r="B106" s="91" t="s">
        <v>74</v>
      </c>
      <c r="C106" s="91" t="s">
        <v>215</v>
      </c>
      <c r="D106" s="35"/>
      <c r="E106" s="17" t="str">
        <f t="shared" si="16"/>
        <v/>
      </c>
      <c r="F106" s="17" t="str">
        <f t="shared" si="17"/>
        <v/>
      </c>
      <c r="H106" s="13">
        <v>14</v>
      </c>
      <c r="I106" s="91" t="s">
        <v>74</v>
      </c>
      <c r="J106" s="91" t="s">
        <v>216</v>
      </c>
      <c r="K106" s="35"/>
      <c r="L106" s="17" t="str">
        <f t="shared" si="18"/>
        <v/>
      </c>
      <c r="M106" s="17" t="str">
        <f t="shared" si="19"/>
        <v/>
      </c>
    </row>
    <row r="107" spans="1:13" x14ac:dyDescent="0.25">
      <c r="A107" s="13">
        <v>15</v>
      </c>
      <c r="B107" s="91" t="s">
        <v>74</v>
      </c>
      <c r="C107" s="91" t="s">
        <v>215</v>
      </c>
      <c r="D107" s="35"/>
      <c r="E107" s="17" t="str">
        <f t="shared" si="16"/>
        <v/>
      </c>
      <c r="F107" s="17" t="str">
        <f t="shared" si="17"/>
        <v/>
      </c>
      <c r="H107" s="13">
        <v>15</v>
      </c>
      <c r="I107" s="91" t="s">
        <v>74</v>
      </c>
      <c r="J107" s="91" t="s">
        <v>216</v>
      </c>
      <c r="K107" s="35"/>
      <c r="L107" s="17" t="str">
        <f t="shared" si="18"/>
        <v/>
      </c>
      <c r="M107" s="17" t="str">
        <f t="shared" si="19"/>
        <v/>
      </c>
    </row>
    <row r="108" spans="1:13" x14ac:dyDescent="0.25">
      <c r="A108" s="13">
        <v>16</v>
      </c>
      <c r="B108" s="91" t="s">
        <v>74</v>
      </c>
      <c r="C108" s="91" t="s">
        <v>215</v>
      </c>
      <c r="D108" s="35"/>
      <c r="E108" s="17" t="str">
        <f t="shared" si="16"/>
        <v/>
      </c>
      <c r="F108" s="17" t="str">
        <f t="shared" si="17"/>
        <v/>
      </c>
      <c r="H108" s="13">
        <v>16</v>
      </c>
      <c r="I108" s="91" t="s">
        <v>74</v>
      </c>
      <c r="J108" s="91" t="s">
        <v>216</v>
      </c>
      <c r="K108" s="35"/>
      <c r="L108" s="17" t="str">
        <f t="shared" si="18"/>
        <v/>
      </c>
      <c r="M108" s="17" t="str">
        <f t="shared" si="19"/>
        <v/>
      </c>
    </row>
    <row r="109" spans="1:13" x14ac:dyDescent="0.25">
      <c r="A109" s="13">
        <v>17</v>
      </c>
      <c r="B109" s="91" t="s">
        <v>74</v>
      </c>
      <c r="C109" s="91" t="s">
        <v>215</v>
      </c>
      <c r="D109" s="35"/>
      <c r="E109" s="17" t="str">
        <f t="shared" si="16"/>
        <v/>
      </c>
      <c r="F109" s="17" t="str">
        <f t="shared" si="17"/>
        <v/>
      </c>
      <c r="H109" s="13">
        <v>17</v>
      </c>
      <c r="I109" s="91" t="s">
        <v>74</v>
      </c>
      <c r="J109" s="91" t="s">
        <v>216</v>
      </c>
      <c r="K109" s="35"/>
      <c r="L109" s="17" t="str">
        <f t="shared" si="18"/>
        <v/>
      </c>
      <c r="M109" s="17" t="str">
        <f t="shared" si="19"/>
        <v/>
      </c>
    </row>
    <row r="110" spans="1:13" x14ac:dyDescent="0.25">
      <c r="A110" s="13">
        <v>18</v>
      </c>
      <c r="B110" s="91" t="s">
        <v>74</v>
      </c>
      <c r="C110" s="91" t="s">
        <v>215</v>
      </c>
      <c r="D110" s="35"/>
      <c r="E110" s="17" t="str">
        <f t="shared" si="16"/>
        <v/>
      </c>
      <c r="F110" s="17" t="str">
        <f t="shared" si="17"/>
        <v/>
      </c>
      <c r="H110" s="13">
        <v>18</v>
      </c>
      <c r="I110" s="91" t="s">
        <v>74</v>
      </c>
      <c r="J110" s="91" t="s">
        <v>216</v>
      </c>
      <c r="K110" s="35"/>
      <c r="L110" s="17" t="str">
        <f t="shared" si="18"/>
        <v/>
      </c>
      <c r="M110" s="17" t="str">
        <f t="shared" si="19"/>
        <v/>
      </c>
    </row>
    <row r="111" spans="1:13" x14ac:dyDescent="0.25">
      <c r="A111" s="13">
        <v>19</v>
      </c>
      <c r="B111" s="91" t="s">
        <v>74</v>
      </c>
      <c r="C111" s="91" t="s">
        <v>215</v>
      </c>
      <c r="D111" s="35"/>
      <c r="E111" s="17" t="str">
        <f t="shared" si="16"/>
        <v/>
      </c>
      <c r="F111" s="17" t="str">
        <f t="shared" si="17"/>
        <v/>
      </c>
      <c r="H111" s="13">
        <v>19</v>
      </c>
      <c r="I111" s="91" t="s">
        <v>74</v>
      </c>
      <c r="J111" s="91" t="s">
        <v>216</v>
      </c>
      <c r="K111" s="35"/>
      <c r="L111" s="17" t="str">
        <f t="shared" si="18"/>
        <v/>
      </c>
      <c r="M111" s="17" t="str">
        <f t="shared" si="19"/>
        <v/>
      </c>
    </row>
    <row r="112" spans="1:13" x14ac:dyDescent="0.25">
      <c r="A112" s="13">
        <v>20</v>
      </c>
      <c r="B112" s="91" t="s">
        <v>74</v>
      </c>
      <c r="C112" s="91" t="s">
        <v>215</v>
      </c>
      <c r="D112" s="35"/>
      <c r="E112" s="17" t="str">
        <f t="shared" si="16"/>
        <v/>
      </c>
      <c r="F112" s="17" t="str">
        <f t="shared" si="17"/>
        <v/>
      </c>
      <c r="H112" s="13">
        <v>20</v>
      </c>
      <c r="I112" s="91" t="s">
        <v>74</v>
      </c>
      <c r="J112" s="91" t="s">
        <v>216</v>
      </c>
      <c r="K112" s="35"/>
      <c r="L112" s="17" t="str">
        <f t="shared" si="18"/>
        <v/>
      </c>
      <c r="M112" s="17" t="str">
        <f t="shared" si="19"/>
        <v/>
      </c>
    </row>
    <row r="113" spans="1:13" x14ac:dyDescent="0.25">
      <c r="A113" s="4" t="s">
        <v>12</v>
      </c>
      <c r="B113" s="12"/>
      <c r="C113" s="12"/>
      <c r="D113" s="4"/>
      <c r="E113" s="4"/>
      <c r="F113" s="4"/>
      <c r="H113" s="4" t="s">
        <v>58</v>
      </c>
      <c r="I113" s="12"/>
      <c r="J113" s="12"/>
      <c r="K113" s="4"/>
      <c r="L113" s="4"/>
      <c r="M113" s="4"/>
    </row>
    <row r="114" spans="1:13" ht="23.25" x14ac:dyDescent="0.25">
      <c r="A114" s="15" t="s">
        <v>0</v>
      </c>
      <c r="B114" s="15" t="s">
        <v>55</v>
      </c>
      <c r="C114" s="15" t="s">
        <v>56</v>
      </c>
      <c r="D114" s="16" t="s">
        <v>8</v>
      </c>
      <c r="E114" s="15" t="s">
        <v>2</v>
      </c>
      <c r="F114" s="15" t="s">
        <v>1</v>
      </c>
      <c r="H114" s="15" t="s">
        <v>0</v>
      </c>
      <c r="I114" s="15" t="s">
        <v>55</v>
      </c>
      <c r="J114" s="15" t="s">
        <v>56</v>
      </c>
      <c r="K114" s="16" t="s">
        <v>8</v>
      </c>
      <c r="L114" s="15" t="s">
        <v>2</v>
      </c>
      <c r="M114" s="15" t="s">
        <v>1</v>
      </c>
    </row>
    <row r="115" spans="1:13" x14ac:dyDescent="0.25">
      <c r="A115" s="3">
        <v>1</v>
      </c>
      <c r="B115" s="91" t="s">
        <v>74</v>
      </c>
      <c r="C115" s="13" t="s">
        <v>50</v>
      </c>
      <c r="D115" s="35"/>
      <c r="E115" s="17" t="str">
        <f t="shared" ref="E115:E122" si="20">IF(D115&gt;0,VLOOKUP(D115,Jumpers,3),"")</f>
        <v/>
      </c>
      <c r="F115" s="17" t="str">
        <f t="shared" ref="F115:F122" si="21">IF(D115&gt;0,VLOOKUP(D115,Jumpers,2),"")</f>
        <v/>
      </c>
      <c r="H115" s="3">
        <v>1</v>
      </c>
      <c r="I115" s="91" t="s">
        <v>74</v>
      </c>
      <c r="J115" s="13" t="s">
        <v>51</v>
      </c>
      <c r="K115" s="35"/>
      <c r="L115" s="17" t="str">
        <f t="shared" ref="L115:L122" si="22">IF(K115&gt;0,VLOOKUP(K115,Jumpers,3),"")</f>
        <v/>
      </c>
      <c r="M115" s="17" t="str">
        <f t="shared" ref="M115:M122" si="23">IF(K115&gt;0,VLOOKUP(K115,Jumpers,2),"")</f>
        <v/>
      </c>
    </row>
    <row r="116" spans="1:13" x14ac:dyDescent="0.25">
      <c r="A116" s="3">
        <v>2</v>
      </c>
      <c r="B116" s="91" t="s">
        <v>74</v>
      </c>
      <c r="C116" s="13" t="s">
        <v>50</v>
      </c>
      <c r="D116" s="35"/>
      <c r="E116" s="17" t="str">
        <f t="shared" si="20"/>
        <v/>
      </c>
      <c r="F116" s="17" t="str">
        <f t="shared" si="21"/>
        <v/>
      </c>
      <c r="H116" s="3">
        <v>2</v>
      </c>
      <c r="I116" s="91" t="s">
        <v>74</v>
      </c>
      <c r="J116" s="13" t="s">
        <v>51</v>
      </c>
      <c r="K116" s="35"/>
      <c r="L116" s="17" t="str">
        <f t="shared" si="22"/>
        <v/>
      </c>
      <c r="M116" s="17" t="str">
        <f t="shared" si="23"/>
        <v/>
      </c>
    </row>
    <row r="117" spans="1:13" x14ac:dyDescent="0.25">
      <c r="A117" s="3">
        <v>3</v>
      </c>
      <c r="B117" s="91" t="s">
        <v>74</v>
      </c>
      <c r="C117" s="13" t="s">
        <v>50</v>
      </c>
      <c r="D117" s="35"/>
      <c r="E117" s="17" t="str">
        <f t="shared" si="20"/>
        <v/>
      </c>
      <c r="F117" s="17" t="str">
        <f t="shared" si="21"/>
        <v/>
      </c>
      <c r="H117" s="3">
        <v>3</v>
      </c>
      <c r="I117" s="91" t="s">
        <v>74</v>
      </c>
      <c r="J117" s="13" t="s">
        <v>51</v>
      </c>
      <c r="K117" s="35"/>
      <c r="L117" s="17" t="str">
        <f t="shared" si="22"/>
        <v/>
      </c>
      <c r="M117" s="17" t="str">
        <f t="shared" si="23"/>
        <v/>
      </c>
    </row>
    <row r="118" spans="1:13" x14ac:dyDescent="0.25">
      <c r="A118" s="3">
        <v>4</v>
      </c>
      <c r="B118" s="91" t="s">
        <v>74</v>
      </c>
      <c r="C118" s="13" t="s">
        <v>50</v>
      </c>
      <c r="D118" s="35"/>
      <c r="E118" s="17" t="str">
        <f t="shared" si="20"/>
        <v/>
      </c>
      <c r="F118" s="17" t="str">
        <f t="shared" si="21"/>
        <v/>
      </c>
      <c r="H118" s="3">
        <v>4</v>
      </c>
      <c r="I118" s="91" t="s">
        <v>74</v>
      </c>
      <c r="J118" s="13" t="s">
        <v>51</v>
      </c>
      <c r="K118" s="35"/>
      <c r="L118" s="17" t="str">
        <f t="shared" si="22"/>
        <v/>
      </c>
      <c r="M118" s="17" t="str">
        <f t="shared" si="23"/>
        <v/>
      </c>
    </row>
    <row r="119" spans="1:13" x14ac:dyDescent="0.25">
      <c r="A119" s="3">
        <v>5</v>
      </c>
      <c r="B119" s="91" t="s">
        <v>74</v>
      </c>
      <c r="C119" s="13" t="s">
        <v>50</v>
      </c>
      <c r="D119" s="35"/>
      <c r="E119" s="17" t="str">
        <f t="shared" si="20"/>
        <v/>
      </c>
      <c r="F119" s="17" t="str">
        <f t="shared" si="21"/>
        <v/>
      </c>
      <c r="H119" s="3">
        <v>5</v>
      </c>
      <c r="I119" s="91" t="s">
        <v>74</v>
      </c>
      <c r="J119" s="13" t="s">
        <v>51</v>
      </c>
      <c r="K119" s="35"/>
      <c r="L119" s="17" t="str">
        <f t="shared" si="22"/>
        <v/>
      </c>
      <c r="M119" s="17" t="str">
        <f t="shared" si="23"/>
        <v/>
      </c>
    </row>
    <row r="120" spans="1:13" x14ac:dyDescent="0.25">
      <c r="A120" s="3">
        <v>6</v>
      </c>
      <c r="B120" s="91" t="s">
        <v>74</v>
      </c>
      <c r="C120" s="13" t="s">
        <v>50</v>
      </c>
      <c r="D120" s="35"/>
      <c r="E120" s="17" t="str">
        <f t="shared" si="20"/>
        <v/>
      </c>
      <c r="F120" s="17" t="str">
        <f t="shared" si="21"/>
        <v/>
      </c>
      <c r="H120" s="3">
        <v>6</v>
      </c>
      <c r="I120" s="91" t="s">
        <v>74</v>
      </c>
      <c r="J120" s="13" t="s">
        <v>51</v>
      </c>
      <c r="K120" s="35"/>
      <c r="L120" s="17" t="str">
        <f t="shared" si="22"/>
        <v/>
      </c>
      <c r="M120" s="17" t="str">
        <f t="shared" si="23"/>
        <v/>
      </c>
    </row>
    <row r="121" spans="1:13" x14ac:dyDescent="0.25">
      <c r="A121" s="3">
        <v>7</v>
      </c>
      <c r="B121" s="91" t="s">
        <v>74</v>
      </c>
      <c r="C121" s="13" t="s">
        <v>50</v>
      </c>
      <c r="D121" s="35"/>
      <c r="E121" s="17" t="str">
        <f t="shared" si="20"/>
        <v/>
      </c>
      <c r="F121" s="17" t="str">
        <f t="shared" si="21"/>
        <v/>
      </c>
      <c r="H121" s="3">
        <v>7</v>
      </c>
      <c r="I121" s="91" t="s">
        <v>74</v>
      </c>
      <c r="J121" s="13" t="s">
        <v>51</v>
      </c>
      <c r="K121" s="35"/>
      <c r="L121" s="17" t="str">
        <f t="shared" si="22"/>
        <v/>
      </c>
      <c r="M121" s="17" t="str">
        <f t="shared" si="23"/>
        <v/>
      </c>
    </row>
    <row r="122" spans="1:13" x14ac:dyDescent="0.25">
      <c r="A122" s="3">
        <v>8</v>
      </c>
      <c r="B122" s="91" t="s">
        <v>74</v>
      </c>
      <c r="C122" s="13" t="s">
        <v>50</v>
      </c>
      <c r="D122" s="35"/>
      <c r="E122" s="17" t="str">
        <f t="shared" si="20"/>
        <v/>
      </c>
      <c r="F122" s="17" t="str">
        <f t="shared" si="21"/>
        <v/>
      </c>
      <c r="H122" s="3">
        <v>8</v>
      </c>
      <c r="I122" s="91" t="s">
        <v>74</v>
      </c>
      <c r="J122" s="13" t="s">
        <v>51</v>
      </c>
      <c r="K122" s="35"/>
      <c r="L122" s="17" t="str">
        <f t="shared" si="22"/>
        <v/>
      </c>
      <c r="M122" s="17" t="str">
        <f t="shared" si="23"/>
        <v/>
      </c>
    </row>
    <row r="123" spans="1:13" x14ac:dyDescent="0.25">
      <c r="A123" s="4" t="s">
        <v>13</v>
      </c>
      <c r="B123" s="12"/>
      <c r="C123" s="12"/>
      <c r="D123" s="4"/>
      <c r="E123" s="4"/>
      <c r="F123" s="4"/>
    </row>
    <row r="124" spans="1:13" ht="23.25" x14ac:dyDescent="0.25">
      <c r="A124" s="15" t="s">
        <v>0</v>
      </c>
      <c r="B124" s="15" t="s">
        <v>55</v>
      </c>
      <c r="C124" s="15" t="s">
        <v>56</v>
      </c>
      <c r="D124" s="16" t="s">
        <v>8</v>
      </c>
      <c r="E124" s="15" t="s">
        <v>2</v>
      </c>
      <c r="F124" s="15" t="s">
        <v>1</v>
      </c>
    </row>
    <row r="125" spans="1:13" x14ac:dyDescent="0.25">
      <c r="A125" s="3">
        <v>1</v>
      </c>
      <c r="B125" s="91" t="s">
        <v>74</v>
      </c>
      <c r="C125" s="13" t="s">
        <v>52</v>
      </c>
      <c r="D125" s="35"/>
      <c r="E125" s="17" t="str">
        <f>IF(D125&gt;0,VLOOKUP(D125,Jumpers,3),"")</f>
        <v/>
      </c>
      <c r="F125" s="17" t="str">
        <f>IF(D125&gt;0,VLOOKUP(D125,Jumpers,2),"")</f>
        <v/>
      </c>
    </row>
    <row r="126" spans="1:13" x14ac:dyDescent="0.25">
      <c r="A126" s="3">
        <v>2</v>
      </c>
      <c r="B126" s="91" t="s">
        <v>74</v>
      </c>
      <c r="C126" s="13" t="s">
        <v>52</v>
      </c>
      <c r="D126" s="35"/>
      <c r="E126" s="17" t="str">
        <f>IF(D126&gt;0,VLOOKUP(D126,Jumpers,3),"")</f>
        <v/>
      </c>
      <c r="F126" s="17" t="str">
        <f>IF(D126&gt;0,VLOOKUP(D126,Jumpers,2),"")</f>
        <v/>
      </c>
    </row>
    <row r="127" spans="1:13" x14ac:dyDescent="0.25">
      <c r="A127" s="3">
        <v>3</v>
      </c>
      <c r="B127" s="91" t="s">
        <v>74</v>
      </c>
      <c r="C127" s="13" t="s">
        <v>52</v>
      </c>
      <c r="D127" s="35"/>
      <c r="E127" s="17" t="str">
        <f>IF(D127&gt;0,VLOOKUP(D127,Jumpers,3),"")</f>
        <v/>
      </c>
      <c r="F127" s="17" t="str">
        <f>IF(D127&gt;0,VLOOKUP(D127,Jumpers,2),"")</f>
        <v/>
      </c>
    </row>
    <row r="128" spans="1:13" x14ac:dyDescent="0.25">
      <c r="A128" s="3">
        <v>4</v>
      </c>
      <c r="B128" s="91" t="s">
        <v>74</v>
      </c>
      <c r="C128" s="13" t="s">
        <v>52</v>
      </c>
      <c r="D128" s="35"/>
      <c r="E128" s="17" t="str">
        <f>IF(D128&gt;0,VLOOKUP(D128,Jumpers,3),"")</f>
        <v/>
      </c>
      <c r="F128" s="17" t="str">
        <f>IF(D128&gt;0,VLOOKUP(D128,Jumpers,2),"")</f>
        <v/>
      </c>
    </row>
    <row r="129" spans="1:6" x14ac:dyDescent="0.25">
      <c r="A129" s="3">
        <v>5</v>
      </c>
      <c r="B129" s="91" t="s">
        <v>74</v>
      </c>
      <c r="C129" s="13" t="s">
        <v>52</v>
      </c>
      <c r="D129" s="35"/>
      <c r="E129" s="17" t="str">
        <f>IF(D129&gt;0,VLOOKUP(D129,Jumpers,3),"")</f>
        <v/>
      </c>
      <c r="F129" s="17" t="str">
        <f>IF(D129&gt;0,VLOOKUP(D129,Jumpers,2),"")</f>
        <v/>
      </c>
    </row>
  </sheetData>
  <sheetProtection password="CE88" sheet="1" objects="1" scenarios="1" selectLockedCells="1"/>
  <phoneticPr fontId="23" type="noConversion"/>
  <conditionalFormatting sqref="D5:D24">
    <cfRule type="expression" dxfId="375" priority="35" stopIfTrue="1">
      <formula>OR(CODE(D5)&lt;48,CODE(D5)&gt;57)</formula>
    </cfRule>
    <cfRule type="expression" dxfId="374" priority="47" stopIfTrue="1">
      <formula>VLOOKUP(D5,Jumpers,5)&lt;&gt;LEFT($A$1,1)</formula>
    </cfRule>
    <cfRule type="expression" dxfId="373" priority="48" stopIfTrue="1">
      <formula>VLOOKUP(D5,Jumpers,8)&lt;&gt;C5</formula>
    </cfRule>
  </conditionalFormatting>
  <conditionalFormatting sqref="D27:D46">
    <cfRule type="expression" dxfId="372" priority="33" stopIfTrue="1">
      <formula>OR(CODE(D27)&lt;48,CODE(D27)&gt;57)</formula>
    </cfRule>
    <cfRule type="expression" dxfId="371" priority="45" stopIfTrue="1">
      <formula>VLOOKUP(D27,Jumpers,5)&lt;&gt;LEFT($A$1,1)</formula>
    </cfRule>
    <cfRule type="expression" dxfId="370" priority="46" stopIfTrue="1">
      <formula>VLOOKUP(D27,Jumpers,8)&lt;&gt;C27</formula>
    </cfRule>
  </conditionalFormatting>
  <conditionalFormatting sqref="K28:K46">
    <cfRule type="expression" dxfId="369" priority="43" stopIfTrue="1">
      <formula>VLOOKUP(K28,Jumpers,5)&lt;&gt;LEFT($A$1,1)</formula>
    </cfRule>
    <cfRule type="expression" dxfId="368" priority="44" stopIfTrue="1">
      <formula>VLOOKUP(K28,Jumpers,8)&lt;&gt;J28</formula>
    </cfRule>
  </conditionalFormatting>
  <conditionalFormatting sqref="K115:K119">
    <cfRule type="expression" dxfId="367" priority="7" stopIfTrue="1">
      <formula>OR(CODE(K115)&lt;48,CODE(K115)&gt;57)</formula>
    </cfRule>
    <cfRule type="expression" dxfId="366" priority="39" stopIfTrue="1">
      <formula>VLOOKUP(K115,Jumpers,5)&lt;&gt;LEFT($A$1,1)</formula>
    </cfRule>
    <cfRule type="expression" dxfId="365" priority="40" stopIfTrue="1">
      <formula>VLOOKUP(K115,Jumpers,8)&lt;&gt;J115</formula>
    </cfRule>
  </conditionalFormatting>
  <conditionalFormatting sqref="K5:K24">
    <cfRule type="expression" dxfId="364" priority="34" stopIfTrue="1">
      <formula>OR(CODE(K5)&lt;48,CODE(K5)&gt;57)</formula>
    </cfRule>
    <cfRule type="expression" dxfId="363" priority="36" stopIfTrue="1">
      <formula>VLOOKUP(K5,Jumpers,8)="8-Under"</formula>
    </cfRule>
    <cfRule type="expression" dxfId="362" priority="37" stopIfTrue="1">
      <formula>VLOOKUP(K5,Jumpers,5)&lt;&gt;LEFT($A$1,1)</formula>
    </cfRule>
    <cfRule type="expression" dxfId="361" priority="38" stopIfTrue="1">
      <formula>VLOOKUP(K5,Jumpers,7)&gt;9</formula>
    </cfRule>
  </conditionalFormatting>
  <conditionalFormatting sqref="K27:K46">
    <cfRule type="expression" dxfId="360" priority="30" stopIfTrue="1">
      <formula>OR(CODE(K27)&lt;48,CODE(K27)&gt;57)</formula>
    </cfRule>
    <cfRule type="expression" dxfId="359" priority="31" stopIfTrue="1">
      <formula>VLOOKUP(K27,Jumpers,5)&lt;&gt;LEFT($A$1,1)</formula>
    </cfRule>
    <cfRule type="expression" dxfId="358" priority="32" stopIfTrue="1">
      <formula>VLOOKUP(K27,Jumpers,8)&lt;&gt;J27</formula>
    </cfRule>
  </conditionalFormatting>
  <conditionalFormatting sqref="D49:D68">
    <cfRule type="expression" dxfId="357" priority="27" stopIfTrue="1">
      <formula>OR(CODE(D49)&lt;48,CODE(D49)&gt;57)</formula>
    </cfRule>
    <cfRule type="expression" dxfId="356" priority="28" stopIfTrue="1">
      <formula>VLOOKUP(D49,Jumpers,5)&lt;&gt;LEFT($A$1,1)</formula>
    </cfRule>
    <cfRule type="expression" dxfId="355" priority="29" stopIfTrue="1">
      <formula>VLOOKUP(D49,Jumpers,8)&lt;&gt;C49</formula>
    </cfRule>
  </conditionalFormatting>
  <conditionalFormatting sqref="K49:K68">
    <cfRule type="expression" dxfId="354" priority="24" stopIfTrue="1">
      <formula>OR(CODE(K49)&lt;48,CODE(K49)&gt;57)</formula>
    </cfRule>
    <cfRule type="expression" dxfId="353" priority="25" stopIfTrue="1">
      <formula>VLOOKUP(K49,Jumpers,5)&lt;&gt;LEFT($A$1,1)</formula>
    </cfRule>
    <cfRule type="expression" dxfId="352" priority="26" stopIfTrue="1">
      <formula>VLOOKUP(K49,Jumpers,8)&lt;&gt;J49</formula>
    </cfRule>
  </conditionalFormatting>
  <conditionalFormatting sqref="D71:D90">
    <cfRule type="expression" dxfId="351" priority="21" stopIfTrue="1">
      <formula>OR(CODE(D71)&lt;48,CODE(D71)&gt;57)</formula>
    </cfRule>
    <cfRule type="expression" dxfId="350" priority="22" stopIfTrue="1">
      <formula>VLOOKUP(D71,Jumpers,5)&lt;&gt;LEFT($A$1,1)</formula>
    </cfRule>
    <cfRule type="expression" dxfId="349" priority="23" stopIfTrue="1">
      <formula>VLOOKUP(D71,Jumpers,8)&lt;&gt;C71</formula>
    </cfRule>
  </conditionalFormatting>
  <conditionalFormatting sqref="K71:K90">
    <cfRule type="expression" dxfId="348" priority="18" stopIfTrue="1">
      <formula>OR(CODE(K71)&lt;48,CODE(K71)&gt;57)</formula>
    </cfRule>
    <cfRule type="expression" dxfId="347" priority="19" stopIfTrue="1">
      <formula>VLOOKUP(K71,Jumpers,5)&lt;&gt;LEFT($A$1,1)</formula>
    </cfRule>
    <cfRule type="expression" dxfId="346" priority="20" stopIfTrue="1">
      <formula>VLOOKUP(K71,Jumpers,8)&lt;&gt;J71</formula>
    </cfRule>
  </conditionalFormatting>
  <conditionalFormatting sqref="D93:D112">
    <cfRule type="expression" dxfId="345" priority="15" stopIfTrue="1">
      <formula>OR(CODE(D93)&lt;48,CODE(D93)&gt;57)</formula>
    </cfRule>
    <cfRule type="expression" dxfId="344" priority="16" stopIfTrue="1">
      <formula>VLOOKUP(D93,Jumpers,5)&lt;&gt;LEFT($A$1,1)</formula>
    </cfRule>
    <cfRule type="expression" dxfId="343" priority="17" stopIfTrue="1">
      <formula>VLOOKUP(D93,Jumpers,8)&lt;&gt;C93</formula>
    </cfRule>
  </conditionalFormatting>
  <conditionalFormatting sqref="K93:K112">
    <cfRule type="expression" dxfId="342" priority="12" stopIfTrue="1">
      <formula>OR(CODE(K93)&lt;48,CODE(K93)&gt;57)</formula>
    </cfRule>
    <cfRule type="expression" dxfId="341" priority="13" stopIfTrue="1">
      <formula>VLOOKUP(K93,Jumpers,5)&lt;&gt;LEFT($A$1,1)</formula>
    </cfRule>
    <cfRule type="expression" dxfId="340" priority="14" stopIfTrue="1">
      <formula>VLOOKUP(K93,Jumpers,8)&lt;&gt;J93</formula>
    </cfRule>
  </conditionalFormatting>
  <conditionalFormatting sqref="D115:D122">
    <cfRule type="expression" dxfId="339" priority="8" stopIfTrue="1">
      <formula>OR(CODE(D115)&lt;48,CODE(D115)&gt;57)</formula>
    </cfRule>
    <cfRule type="expression" dxfId="338" priority="9" stopIfTrue="1">
      <formula>VLOOKUP(D115,Jumpers,5)&lt;&gt;LEFT($A$1,1)</formula>
    </cfRule>
    <cfRule type="expression" dxfId="337" priority="10" stopIfTrue="1">
      <formula>VLOOKUP(D115,Jumpers,8)&lt;&gt;C115</formula>
    </cfRule>
  </conditionalFormatting>
  <conditionalFormatting sqref="D125:D129">
    <cfRule type="expression" dxfId="336" priority="4" stopIfTrue="1">
      <formula>OR(CODE(D125)&lt;48,CODE(D125)&gt;57)</formula>
    </cfRule>
    <cfRule type="expression" dxfId="335" priority="5" stopIfTrue="1">
      <formula>VLOOKUP(D125,Jumpers,5)&lt;&gt;LEFT($A$1,1)</formula>
    </cfRule>
    <cfRule type="expression" dxfId="334" priority="6" stopIfTrue="1">
      <formula>VLOOKUP(D125,Jumpers,8)&lt;&gt;C125</formula>
    </cfRule>
  </conditionalFormatting>
  <conditionalFormatting sqref="K120:K122">
    <cfRule type="expression" dxfId="333" priority="1" stopIfTrue="1">
      <formula>OR(CODE(K120)&lt;48,CODE(K120)&gt;57)</formula>
    </cfRule>
    <cfRule type="expression" dxfId="332" priority="2" stopIfTrue="1">
      <formula>VLOOKUP(K120,Jumpers,5)&lt;&gt;LEFT($A$1,1)</formula>
    </cfRule>
    <cfRule type="expression" dxfId="331" priority="3" stopIfTrue="1">
      <formula>VLOOKUP(K120,Jumpers,8)&lt;&gt;J120</formula>
    </cfRule>
  </conditionalFormatting>
  <pageMargins left="0.25" right="0.25" top="0.75" bottom="0.75" header="0.3" footer="0.3"/>
  <pageSetup scale="69" fitToHeight="2" orientation="portrait" r:id="rId1"/>
  <headerFooter>
    <oddHeader>&amp;LUSAJR Regional Tournament&amp;R&amp;A</oddHeader>
    <oddFooter>&amp;RPage &amp;P of &amp;N</oddFooter>
  </headerFooter>
  <customProperties>
    <customPr name="DVSECTIONID" r:id="rId2"/>
  </customProperties>
  <extLst>
    <ext xmlns:mx="http://schemas.microsoft.com/office/mac/excel/2008/main" uri="{64002731-A6B0-56B0-2670-7721B7C09600}">
      <mx:PLV Mode="0" OnePage="0" WScale="83"/>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9"/>
  <sheetViews>
    <sheetView workbookViewId="0">
      <selection activeCell="D5" sqref="D5"/>
    </sheetView>
  </sheetViews>
  <sheetFormatPr defaultColWidth="8.85546875" defaultRowHeight="15" x14ac:dyDescent="0.25"/>
  <cols>
    <col min="1" max="1" width="3.7109375" customWidth="1"/>
    <col min="2" max="2" width="4.7109375" style="14" bestFit="1" customWidth="1"/>
    <col min="3" max="3" width="7.140625" style="14" bestFit="1" customWidth="1"/>
    <col min="4" max="4" width="8.28515625" bestFit="1" customWidth="1"/>
    <col min="5" max="6" width="15.7109375" customWidth="1"/>
    <col min="7" max="7" width="1.7109375" customWidth="1"/>
    <col min="8" max="8" width="4.140625" customWidth="1"/>
    <col min="9" max="9" width="4.7109375" style="14" bestFit="1" customWidth="1"/>
    <col min="10" max="10" width="6.28515625" style="14" bestFit="1" customWidth="1"/>
    <col min="11" max="11" width="8.28515625" bestFit="1" customWidth="1"/>
    <col min="12" max="13" width="15.7109375" customWidth="1"/>
    <col min="14" max="14" width="1.7109375" customWidth="1"/>
    <col min="15" max="15" width="2.7109375" customWidth="1"/>
    <col min="16" max="16" width="4.7109375" bestFit="1" customWidth="1"/>
    <col min="17" max="17" width="4.85546875" bestFit="1" customWidth="1"/>
    <col min="19" max="20" width="12.7109375" customWidth="1"/>
    <col min="21" max="21" width="1.7109375" customWidth="1"/>
    <col min="22" max="22" width="2.7109375" customWidth="1"/>
    <col min="23" max="23" width="4.7109375" bestFit="1" customWidth="1"/>
    <col min="24" max="24" width="4.85546875" bestFit="1" customWidth="1"/>
    <col min="26" max="27" width="12.7109375" customWidth="1"/>
  </cols>
  <sheetData>
    <row r="1" spans="1:13" ht="18.75" x14ac:dyDescent="0.25">
      <c r="A1" s="5" t="s">
        <v>156</v>
      </c>
      <c r="B1" s="10"/>
      <c r="C1" s="10"/>
      <c r="M1" s="21" t="str">
        <f>CONCATENATE("Team: ",'Team Info'!$B$3)</f>
        <v xml:space="preserve">Team: </v>
      </c>
    </row>
    <row r="2" spans="1:13" x14ac:dyDescent="0.25">
      <c r="A2" s="6" t="s">
        <v>133</v>
      </c>
      <c r="B2" s="11"/>
      <c r="C2" s="11"/>
    </row>
    <row r="3" spans="1:13" x14ac:dyDescent="0.25">
      <c r="A3" s="4" t="s">
        <v>170</v>
      </c>
      <c r="B3" s="12"/>
      <c r="C3" s="12"/>
      <c r="D3" s="4"/>
      <c r="E3" s="4"/>
      <c r="F3" s="4"/>
      <c r="H3" s="4" t="s">
        <v>171</v>
      </c>
      <c r="I3" s="12"/>
      <c r="J3" s="12"/>
      <c r="K3" s="4"/>
      <c r="L3" s="4"/>
      <c r="M3" s="4"/>
    </row>
    <row r="4" spans="1:13" ht="23.25" x14ac:dyDescent="0.25">
      <c r="A4" s="15" t="s">
        <v>0</v>
      </c>
      <c r="B4" s="15" t="s">
        <v>55</v>
      </c>
      <c r="C4" s="15" t="s">
        <v>56</v>
      </c>
      <c r="D4" s="16" t="s">
        <v>8</v>
      </c>
      <c r="E4" s="15" t="s">
        <v>2</v>
      </c>
      <c r="F4" s="15" t="s">
        <v>1</v>
      </c>
      <c r="H4" s="15" t="s">
        <v>0</v>
      </c>
      <c r="I4" s="15" t="s">
        <v>55</v>
      </c>
      <c r="J4" s="15" t="s">
        <v>56</v>
      </c>
      <c r="K4" s="16" t="s">
        <v>8</v>
      </c>
      <c r="L4" s="15" t="s">
        <v>2</v>
      </c>
      <c r="M4" s="15" t="s">
        <v>1</v>
      </c>
    </row>
    <row r="5" spans="1:13" x14ac:dyDescent="0.25">
      <c r="A5" s="13">
        <v>1</v>
      </c>
      <c r="B5" s="91" t="s">
        <v>158</v>
      </c>
      <c r="C5" s="91" t="s">
        <v>146</v>
      </c>
      <c r="D5" s="35"/>
      <c r="E5" s="17" t="str">
        <f t="shared" ref="E5:E24" si="0">IF(D5&gt;0,VLOOKUP(D5,Jumpers,3),"")</f>
        <v/>
      </c>
      <c r="F5" s="17" t="str">
        <f t="shared" ref="F5:F24" si="1">IF(D5&gt;0,VLOOKUP(D5,Jumpers,2),"")</f>
        <v/>
      </c>
      <c r="H5" s="13">
        <v>1</v>
      </c>
      <c r="I5" s="91" t="s">
        <v>158</v>
      </c>
      <c r="J5" s="13">
        <v>9</v>
      </c>
      <c r="K5" s="35"/>
      <c r="L5" s="17" t="str">
        <f t="shared" ref="L5:L24" si="2">IF(K5&gt;0,VLOOKUP(K5,Jumpers,3),"")</f>
        <v/>
      </c>
      <c r="M5" s="17" t="str">
        <f t="shared" ref="M5:M24" si="3">IF(K5&gt;0,VLOOKUP(K5,Jumpers,2),"")</f>
        <v/>
      </c>
    </row>
    <row r="6" spans="1:13" x14ac:dyDescent="0.25">
      <c r="A6" s="13">
        <v>2</v>
      </c>
      <c r="B6" s="91" t="s">
        <v>158</v>
      </c>
      <c r="C6" s="91" t="s">
        <v>146</v>
      </c>
      <c r="D6" s="35"/>
      <c r="E6" s="17" t="str">
        <f t="shared" si="0"/>
        <v/>
      </c>
      <c r="F6" s="17" t="str">
        <f t="shared" si="1"/>
        <v/>
      </c>
      <c r="H6" s="13">
        <v>2</v>
      </c>
      <c r="I6" s="91" t="s">
        <v>158</v>
      </c>
      <c r="J6" s="13">
        <v>9</v>
      </c>
      <c r="K6" s="35"/>
      <c r="L6" s="17" t="str">
        <f t="shared" si="2"/>
        <v/>
      </c>
      <c r="M6" s="17" t="str">
        <f t="shared" si="3"/>
        <v/>
      </c>
    </row>
    <row r="7" spans="1:13" x14ac:dyDescent="0.25">
      <c r="A7" s="13">
        <v>3</v>
      </c>
      <c r="B7" s="91" t="s">
        <v>158</v>
      </c>
      <c r="C7" s="91" t="s">
        <v>146</v>
      </c>
      <c r="D7" s="35"/>
      <c r="E7" s="17" t="str">
        <f t="shared" si="0"/>
        <v/>
      </c>
      <c r="F7" s="17" t="str">
        <f t="shared" si="1"/>
        <v/>
      </c>
      <c r="H7" s="13">
        <v>3</v>
      </c>
      <c r="I7" s="91" t="s">
        <v>158</v>
      </c>
      <c r="J7" s="13">
        <v>9</v>
      </c>
      <c r="K7" s="35"/>
      <c r="L7" s="17" t="str">
        <f t="shared" si="2"/>
        <v/>
      </c>
      <c r="M7" s="17" t="str">
        <f t="shared" si="3"/>
        <v/>
      </c>
    </row>
    <row r="8" spans="1:13" x14ac:dyDescent="0.25">
      <c r="A8" s="13">
        <v>4</v>
      </c>
      <c r="B8" s="91" t="s">
        <v>158</v>
      </c>
      <c r="C8" s="91" t="s">
        <v>146</v>
      </c>
      <c r="D8" s="35"/>
      <c r="E8" s="17" t="str">
        <f t="shared" si="0"/>
        <v/>
      </c>
      <c r="F8" s="17" t="str">
        <f t="shared" si="1"/>
        <v/>
      </c>
      <c r="H8" s="13">
        <v>4</v>
      </c>
      <c r="I8" s="91" t="s">
        <v>158</v>
      </c>
      <c r="J8" s="13">
        <v>9</v>
      </c>
      <c r="K8" s="35"/>
      <c r="L8" s="17" t="str">
        <f t="shared" si="2"/>
        <v/>
      </c>
      <c r="M8" s="17" t="str">
        <f t="shared" si="3"/>
        <v/>
      </c>
    </row>
    <row r="9" spans="1:13" x14ac:dyDescent="0.25">
      <c r="A9" s="13">
        <v>5</v>
      </c>
      <c r="B9" s="91" t="s">
        <v>158</v>
      </c>
      <c r="C9" s="91" t="s">
        <v>146</v>
      </c>
      <c r="D9" s="35"/>
      <c r="E9" s="17" t="str">
        <f t="shared" si="0"/>
        <v/>
      </c>
      <c r="F9" s="17" t="str">
        <f t="shared" si="1"/>
        <v/>
      </c>
      <c r="H9" s="13">
        <v>5</v>
      </c>
      <c r="I9" s="91" t="s">
        <v>158</v>
      </c>
      <c r="J9" s="13">
        <v>9</v>
      </c>
      <c r="K9" s="35"/>
      <c r="L9" s="17" t="str">
        <f t="shared" si="2"/>
        <v/>
      </c>
      <c r="M9" s="17" t="str">
        <f t="shared" si="3"/>
        <v/>
      </c>
    </row>
    <row r="10" spans="1:13" x14ac:dyDescent="0.25">
      <c r="A10" s="13">
        <v>6</v>
      </c>
      <c r="B10" s="91" t="s">
        <v>158</v>
      </c>
      <c r="C10" s="91" t="s">
        <v>146</v>
      </c>
      <c r="D10" s="35"/>
      <c r="E10" s="17" t="str">
        <f t="shared" si="0"/>
        <v/>
      </c>
      <c r="F10" s="17" t="str">
        <f t="shared" si="1"/>
        <v/>
      </c>
      <c r="H10" s="13">
        <v>6</v>
      </c>
      <c r="I10" s="91" t="s">
        <v>158</v>
      </c>
      <c r="J10" s="13">
        <v>9</v>
      </c>
      <c r="K10" s="35"/>
      <c r="L10" s="17" t="str">
        <f t="shared" si="2"/>
        <v/>
      </c>
      <c r="M10" s="17" t="str">
        <f t="shared" si="3"/>
        <v/>
      </c>
    </row>
    <row r="11" spans="1:13" x14ac:dyDescent="0.25">
      <c r="A11" s="13">
        <v>7</v>
      </c>
      <c r="B11" s="91" t="s">
        <v>158</v>
      </c>
      <c r="C11" s="91" t="s">
        <v>146</v>
      </c>
      <c r="D11" s="35"/>
      <c r="E11" s="17" t="str">
        <f t="shared" si="0"/>
        <v/>
      </c>
      <c r="F11" s="17" t="str">
        <f t="shared" si="1"/>
        <v/>
      </c>
      <c r="H11" s="13">
        <v>7</v>
      </c>
      <c r="I11" s="91" t="s">
        <v>158</v>
      </c>
      <c r="J11" s="13">
        <v>9</v>
      </c>
      <c r="K11" s="35"/>
      <c r="L11" s="17" t="str">
        <f t="shared" si="2"/>
        <v/>
      </c>
      <c r="M11" s="17" t="str">
        <f t="shared" si="3"/>
        <v/>
      </c>
    </row>
    <row r="12" spans="1:13" x14ac:dyDescent="0.25">
      <c r="A12" s="13">
        <v>8</v>
      </c>
      <c r="B12" s="91" t="s">
        <v>158</v>
      </c>
      <c r="C12" s="91" t="s">
        <v>146</v>
      </c>
      <c r="D12" s="35"/>
      <c r="E12" s="17" t="str">
        <f t="shared" si="0"/>
        <v/>
      </c>
      <c r="F12" s="17" t="str">
        <f t="shared" si="1"/>
        <v/>
      </c>
      <c r="H12" s="13">
        <v>8</v>
      </c>
      <c r="I12" s="91" t="s">
        <v>158</v>
      </c>
      <c r="J12" s="13">
        <v>9</v>
      </c>
      <c r="K12" s="35"/>
      <c r="L12" s="17" t="str">
        <f t="shared" si="2"/>
        <v/>
      </c>
      <c r="M12" s="17" t="str">
        <f t="shared" si="3"/>
        <v/>
      </c>
    </row>
    <row r="13" spans="1:13" x14ac:dyDescent="0.25">
      <c r="A13" s="13">
        <v>9</v>
      </c>
      <c r="B13" s="91" t="s">
        <v>158</v>
      </c>
      <c r="C13" s="91" t="s">
        <v>146</v>
      </c>
      <c r="D13" s="35"/>
      <c r="E13" s="17" t="str">
        <f t="shared" si="0"/>
        <v/>
      </c>
      <c r="F13" s="17" t="str">
        <f t="shared" si="1"/>
        <v/>
      </c>
      <c r="H13" s="13">
        <v>9</v>
      </c>
      <c r="I13" s="91" t="s">
        <v>158</v>
      </c>
      <c r="J13" s="13">
        <v>9</v>
      </c>
      <c r="K13" s="35"/>
      <c r="L13" s="17" t="str">
        <f t="shared" si="2"/>
        <v/>
      </c>
      <c r="M13" s="17" t="str">
        <f t="shared" si="3"/>
        <v/>
      </c>
    </row>
    <row r="14" spans="1:13" x14ac:dyDescent="0.25">
      <c r="A14" s="13">
        <v>10</v>
      </c>
      <c r="B14" s="91" t="s">
        <v>158</v>
      </c>
      <c r="C14" s="91" t="s">
        <v>146</v>
      </c>
      <c r="D14" s="35"/>
      <c r="E14" s="17" t="str">
        <f t="shared" si="0"/>
        <v/>
      </c>
      <c r="F14" s="17" t="str">
        <f t="shared" si="1"/>
        <v/>
      </c>
      <c r="H14" s="13">
        <v>10</v>
      </c>
      <c r="I14" s="91" t="s">
        <v>158</v>
      </c>
      <c r="J14" s="13">
        <v>9</v>
      </c>
      <c r="K14" s="35"/>
      <c r="L14" s="17" t="str">
        <f t="shared" si="2"/>
        <v/>
      </c>
      <c r="M14" s="17" t="str">
        <f t="shared" si="3"/>
        <v/>
      </c>
    </row>
    <row r="15" spans="1:13" x14ac:dyDescent="0.25">
      <c r="A15" s="13">
        <v>11</v>
      </c>
      <c r="B15" s="91" t="s">
        <v>158</v>
      </c>
      <c r="C15" s="91" t="s">
        <v>146</v>
      </c>
      <c r="D15" s="35"/>
      <c r="E15" s="17" t="str">
        <f t="shared" si="0"/>
        <v/>
      </c>
      <c r="F15" s="17" t="str">
        <f t="shared" si="1"/>
        <v/>
      </c>
      <c r="H15" s="13">
        <v>11</v>
      </c>
      <c r="I15" s="91" t="s">
        <v>158</v>
      </c>
      <c r="J15" s="13">
        <v>9</v>
      </c>
      <c r="K15" s="35"/>
      <c r="L15" s="17" t="str">
        <f t="shared" si="2"/>
        <v/>
      </c>
      <c r="M15" s="17" t="str">
        <f t="shared" si="3"/>
        <v/>
      </c>
    </row>
    <row r="16" spans="1:13" x14ac:dyDescent="0.25">
      <c r="A16" s="13">
        <v>12</v>
      </c>
      <c r="B16" s="91" t="s">
        <v>158</v>
      </c>
      <c r="C16" s="91" t="s">
        <v>146</v>
      </c>
      <c r="D16" s="35"/>
      <c r="E16" s="17" t="str">
        <f t="shared" si="0"/>
        <v/>
      </c>
      <c r="F16" s="17" t="str">
        <f t="shared" si="1"/>
        <v/>
      </c>
      <c r="H16" s="13">
        <v>12</v>
      </c>
      <c r="I16" s="91" t="s">
        <v>158</v>
      </c>
      <c r="J16" s="13">
        <v>9</v>
      </c>
      <c r="K16" s="35"/>
      <c r="L16" s="17" t="str">
        <f t="shared" si="2"/>
        <v/>
      </c>
      <c r="M16" s="17" t="str">
        <f t="shared" si="3"/>
        <v/>
      </c>
    </row>
    <row r="17" spans="1:13" x14ac:dyDescent="0.25">
      <c r="A17" s="13">
        <v>13</v>
      </c>
      <c r="B17" s="91" t="s">
        <v>158</v>
      </c>
      <c r="C17" s="91" t="s">
        <v>146</v>
      </c>
      <c r="D17" s="35"/>
      <c r="E17" s="17" t="str">
        <f t="shared" si="0"/>
        <v/>
      </c>
      <c r="F17" s="17" t="str">
        <f t="shared" si="1"/>
        <v/>
      </c>
      <c r="H17" s="13">
        <v>13</v>
      </c>
      <c r="I17" s="91" t="s">
        <v>158</v>
      </c>
      <c r="J17" s="13">
        <v>9</v>
      </c>
      <c r="K17" s="35"/>
      <c r="L17" s="17" t="str">
        <f t="shared" si="2"/>
        <v/>
      </c>
      <c r="M17" s="17" t="str">
        <f t="shared" si="3"/>
        <v/>
      </c>
    </row>
    <row r="18" spans="1:13" x14ac:dyDescent="0.25">
      <c r="A18" s="13">
        <v>14</v>
      </c>
      <c r="B18" s="91" t="s">
        <v>158</v>
      </c>
      <c r="C18" s="91" t="s">
        <v>146</v>
      </c>
      <c r="D18" s="35"/>
      <c r="E18" s="17" t="str">
        <f t="shared" si="0"/>
        <v/>
      </c>
      <c r="F18" s="17" t="str">
        <f t="shared" si="1"/>
        <v/>
      </c>
      <c r="H18" s="13">
        <v>14</v>
      </c>
      <c r="I18" s="91" t="s">
        <v>158</v>
      </c>
      <c r="J18" s="13">
        <v>9</v>
      </c>
      <c r="K18" s="35"/>
      <c r="L18" s="17" t="str">
        <f t="shared" si="2"/>
        <v/>
      </c>
      <c r="M18" s="17" t="str">
        <f t="shared" si="3"/>
        <v/>
      </c>
    </row>
    <row r="19" spans="1:13" x14ac:dyDescent="0.25">
      <c r="A19" s="13">
        <v>15</v>
      </c>
      <c r="B19" s="91" t="s">
        <v>158</v>
      </c>
      <c r="C19" s="91" t="s">
        <v>146</v>
      </c>
      <c r="D19" s="35"/>
      <c r="E19" s="17" t="str">
        <f t="shared" si="0"/>
        <v/>
      </c>
      <c r="F19" s="17" t="str">
        <f t="shared" si="1"/>
        <v/>
      </c>
      <c r="H19" s="13">
        <v>15</v>
      </c>
      <c r="I19" s="91" t="s">
        <v>158</v>
      </c>
      <c r="J19" s="13">
        <v>9</v>
      </c>
      <c r="K19" s="35"/>
      <c r="L19" s="17" t="str">
        <f t="shared" si="2"/>
        <v/>
      </c>
      <c r="M19" s="17" t="str">
        <f t="shared" si="3"/>
        <v/>
      </c>
    </row>
    <row r="20" spans="1:13" x14ac:dyDescent="0.25">
      <c r="A20" s="13">
        <v>16</v>
      </c>
      <c r="B20" s="91" t="s">
        <v>158</v>
      </c>
      <c r="C20" s="91" t="s">
        <v>146</v>
      </c>
      <c r="D20" s="35"/>
      <c r="E20" s="17" t="str">
        <f t="shared" si="0"/>
        <v/>
      </c>
      <c r="F20" s="17" t="str">
        <f t="shared" si="1"/>
        <v/>
      </c>
      <c r="H20" s="13">
        <v>16</v>
      </c>
      <c r="I20" s="91" t="s">
        <v>158</v>
      </c>
      <c r="J20" s="13">
        <v>9</v>
      </c>
      <c r="K20" s="35"/>
      <c r="L20" s="17" t="str">
        <f t="shared" si="2"/>
        <v/>
      </c>
      <c r="M20" s="17" t="str">
        <f t="shared" si="3"/>
        <v/>
      </c>
    </row>
    <row r="21" spans="1:13" x14ac:dyDescent="0.25">
      <c r="A21" s="13">
        <v>17</v>
      </c>
      <c r="B21" s="91" t="s">
        <v>158</v>
      </c>
      <c r="C21" s="91" t="s">
        <v>146</v>
      </c>
      <c r="D21" s="35"/>
      <c r="E21" s="17" t="str">
        <f t="shared" si="0"/>
        <v/>
      </c>
      <c r="F21" s="17" t="str">
        <f t="shared" si="1"/>
        <v/>
      </c>
      <c r="H21" s="13">
        <v>17</v>
      </c>
      <c r="I21" s="91" t="s">
        <v>158</v>
      </c>
      <c r="J21" s="13">
        <v>9</v>
      </c>
      <c r="K21" s="35"/>
      <c r="L21" s="17" t="str">
        <f t="shared" si="2"/>
        <v/>
      </c>
      <c r="M21" s="17" t="str">
        <f t="shared" si="3"/>
        <v/>
      </c>
    </row>
    <row r="22" spans="1:13" x14ac:dyDescent="0.25">
      <c r="A22" s="13">
        <v>18</v>
      </c>
      <c r="B22" s="91" t="s">
        <v>158</v>
      </c>
      <c r="C22" s="91" t="s">
        <v>146</v>
      </c>
      <c r="D22" s="35"/>
      <c r="E22" s="17" t="str">
        <f t="shared" si="0"/>
        <v/>
      </c>
      <c r="F22" s="17" t="str">
        <f t="shared" si="1"/>
        <v/>
      </c>
      <c r="H22" s="13">
        <v>18</v>
      </c>
      <c r="I22" s="91" t="s">
        <v>158</v>
      </c>
      <c r="J22" s="13">
        <v>9</v>
      </c>
      <c r="K22" s="35"/>
      <c r="L22" s="17" t="str">
        <f t="shared" si="2"/>
        <v/>
      </c>
      <c r="M22" s="17" t="str">
        <f t="shared" si="3"/>
        <v/>
      </c>
    </row>
    <row r="23" spans="1:13" x14ac:dyDescent="0.25">
      <c r="A23" s="13">
        <v>19</v>
      </c>
      <c r="B23" s="91" t="s">
        <v>158</v>
      </c>
      <c r="C23" s="91" t="s">
        <v>146</v>
      </c>
      <c r="D23" s="35"/>
      <c r="E23" s="17" t="str">
        <f t="shared" si="0"/>
        <v/>
      </c>
      <c r="F23" s="17" t="str">
        <f t="shared" si="1"/>
        <v/>
      </c>
      <c r="H23" s="13">
        <v>19</v>
      </c>
      <c r="I23" s="91" t="s">
        <v>158</v>
      </c>
      <c r="J23" s="13">
        <v>9</v>
      </c>
      <c r="K23" s="35"/>
      <c r="L23" s="17" t="str">
        <f t="shared" si="2"/>
        <v/>
      </c>
      <c r="M23" s="17" t="str">
        <f t="shared" si="3"/>
        <v/>
      </c>
    </row>
    <row r="24" spans="1:13" x14ac:dyDescent="0.25">
      <c r="A24" s="13">
        <v>20</v>
      </c>
      <c r="B24" s="91" t="s">
        <v>158</v>
      </c>
      <c r="C24" s="91" t="s">
        <v>146</v>
      </c>
      <c r="D24" s="35"/>
      <c r="E24" s="17" t="str">
        <f t="shared" si="0"/>
        <v/>
      </c>
      <c r="F24" s="17" t="str">
        <f t="shared" si="1"/>
        <v/>
      </c>
      <c r="H24" s="13">
        <v>20</v>
      </c>
      <c r="I24" s="91" t="s">
        <v>158</v>
      </c>
      <c r="J24" s="13">
        <v>9</v>
      </c>
      <c r="K24" s="35"/>
      <c r="L24" s="17" t="str">
        <f t="shared" si="2"/>
        <v/>
      </c>
      <c r="M24" s="17" t="str">
        <f t="shared" si="3"/>
        <v/>
      </c>
    </row>
    <row r="25" spans="1:13" x14ac:dyDescent="0.25">
      <c r="A25" s="4" t="s">
        <v>172</v>
      </c>
      <c r="B25" s="12"/>
      <c r="C25" s="12"/>
      <c r="D25" s="4"/>
      <c r="E25" s="4"/>
      <c r="F25" s="4"/>
      <c r="H25" s="4" t="s">
        <v>173</v>
      </c>
      <c r="I25" s="12"/>
      <c r="J25" s="12"/>
      <c r="K25" s="4"/>
      <c r="L25" s="4"/>
      <c r="M25" s="4"/>
    </row>
    <row r="26" spans="1:13" ht="23.25" x14ac:dyDescent="0.25">
      <c r="A26" s="15" t="s">
        <v>0</v>
      </c>
      <c r="B26" s="15" t="s">
        <v>55</v>
      </c>
      <c r="C26" s="15" t="s">
        <v>56</v>
      </c>
      <c r="D26" s="16" t="s">
        <v>8</v>
      </c>
      <c r="E26" s="15" t="s">
        <v>2</v>
      </c>
      <c r="F26" s="15" t="s">
        <v>1</v>
      </c>
      <c r="H26" s="15" t="s">
        <v>0</v>
      </c>
      <c r="I26" s="15" t="s">
        <v>55</v>
      </c>
      <c r="J26" s="15" t="s">
        <v>56</v>
      </c>
      <c r="K26" s="16" t="s">
        <v>8</v>
      </c>
      <c r="L26" s="15" t="s">
        <v>2</v>
      </c>
      <c r="M26" s="15" t="s">
        <v>1</v>
      </c>
    </row>
    <row r="27" spans="1:13" x14ac:dyDescent="0.25">
      <c r="A27" s="13">
        <v>1</v>
      </c>
      <c r="B27" s="91" t="s">
        <v>158</v>
      </c>
      <c r="C27" s="13">
        <v>10</v>
      </c>
      <c r="D27" s="35"/>
      <c r="E27" s="17" t="str">
        <f t="shared" ref="E27:E46" si="4">IF(D27&gt;0,VLOOKUP(D27,Jumpers,3),"")</f>
        <v/>
      </c>
      <c r="F27" s="17" t="str">
        <f t="shared" ref="F27:F46" si="5">IF(D27&gt;0,VLOOKUP(D27,Jumpers,2),"")</f>
        <v/>
      </c>
      <c r="H27" s="13">
        <v>1</v>
      </c>
      <c r="I27" s="91" t="s">
        <v>158</v>
      </c>
      <c r="J27" s="13">
        <v>11</v>
      </c>
      <c r="K27" s="35"/>
      <c r="L27" s="17" t="str">
        <f t="shared" ref="L27:L46" si="6">IF(K27&gt;0,VLOOKUP(K27,Jumpers,3),"")</f>
        <v/>
      </c>
      <c r="M27" s="17" t="str">
        <f t="shared" ref="M27:M46" si="7">IF(K27&gt;0,VLOOKUP(K27,Jumpers,2),"")</f>
        <v/>
      </c>
    </row>
    <row r="28" spans="1:13" x14ac:dyDescent="0.25">
      <c r="A28" s="13">
        <v>2</v>
      </c>
      <c r="B28" s="91" t="s">
        <v>158</v>
      </c>
      <c r="C28" s="13">
        <v>10</v>
      </c>
      <c r="D28" s="35"/>
      <c r="E28" s="17" t="str">
        <f t="shared" si="4"/>
        <v/>
      </c>
      <c r="F28" s="17" t="str">
        <f t="shared" si="5"/>
        <v/>
      </c>
      <c r="H28" s="13">
        <v>2</v>
      </c>
      <c r="I28" s="91" t="s">
        <v>158</v>
      </c>
      <c r="J28" s="13">
        <v>11</v>
      </c>
      <c r="K28" s="35"/>
      <c r="L28" s="17" t="str">
        <f t="shared" si="6"/>
        <v/>
      </c>
      <c r="M28" s="17" t="str">
        <f t="shared" si="7"/>
        <v/>
      </c>
    </row>
    <row r="29" spans="1:13" x14ac:dyDescent="0.25">
      <c r="A29" s="13">
        <v>3</v>
      </c>
      <c r="B29" s="91" t="s">
        <v>158</v>
      </c>
      <c r="C29" s="13">
        <v>10</v>
      </c>
      <c r="D29" s="35"/>
      <c r="E29" s="17" t="str">
        <f t="shared" si="4"/>
        <v/>
      </c>
      <c r="F29" s="17" t="str">
        <f t="shared" si="5"/>
        <v/>
      </c>
      <c r="H29" s="13">
        <v>3</v>
      </c>
      <c r="I29" s="91" t="s">
        <v>158</v>
      </c>
      <c r="J29" s="13">
        <v>11</v>
      </c>
      <c r="K29" s="35"/>
      <c r="L29" s="17" t="str">
        <f t="shared" si="6"/>
        <v/>
      </c>
      <c r="M29" s="17" t="str">
        <f t="shared" si="7"/>
        <v/>
      </c>
    </row>
    <row r="30" spans="1:13" x14ac:dyDescent="0.25">
      <c r="A30" s="13">
        <v>4</v>
      </c>
      <c r="B30" s="91" t="s">
        <v>158</v>
      </c>
      <c r="C30" s="13">
        <v>10</v>
      </c>
      <c r="D30" s="35"/>
      <c r="E30" s="17" t="str">
        <f t="shared" si="4"/>
        <v/>
      </c>
      <c r="F30" s="17" t="str">
        <f t="shared" si="5"/>
        <v/>
      </c>
      <c r="H30" s="13">
        <v>4</v>
      </c>
      <c r="I30" s="91" t="s">
        <v>158</v>
      </c>
      <c r="J30" s="13">
        <v>11</v>
      </c>
      <c r="K30" s="35"/>
      <c r="L30" s="17" t="str">
        <f t="shared" si="6"/>
        <v/>
      </c>
      <c r="M30" s="17" t="str">
        <f t="shared" si="7"/>
        <v/>
      </c>
    </row>
    <row r="31" spans="1:13" x14ac:dyDescent="0.25">
      <c r="A31" s="13">
        <v>5</v>
      </c>
      <c r="B31" s="91" t="s">
        <v>158</v>
      </c>
      <c r="C31" s="13">
        <v>10</v>
      </c>
      <c r="D31" s="35"/>
      <c r="E31" s="17" t="str">
        <f t="shared" si="4"/>
        <v/>
      </c>
      <c r="F31" s="17" t="str">
        <f t="shared" si="5"/>
        <v/>
      </c>
      <c r="H31" s="13">
        <v>5</v>
      </c>
      <c r="I31" s="91" t="s">
        <v>158</v>
      </c>
      <c r="J31" s="13">
        <v>11</v>
      </c>
      <c r="K31" s="35"/>
      <c r="L31" s="17" t="str">
        <f t="shared" si="6"/>
        <v/>
      </c>
      <c r="M31" s="17" t="str">
        <f t="shared" si="7"/>
        <v/>
      </c>
    </row>
    <row r="32" spans="1:13" x14ac:dyDescent="0.25">
      <c r="A32" s="13">
        <v>6</v>
      </c>
      <c r="B32" s="91" t="s">
        <v>158</v>
      </c>
      <c r="C32" s="13">
        <v>10</v>
      </c>
      <c r="D32" s="35"/>
      <c r="E32" s="17" t="str">
        <f t="shared" si="4"/>
        <v/>
      </c>
      <c r="F32" s="17" t="str">
        <f t="shared" si="5"/>
        <v/>
      </c>
      <c r="H32" s="13">
        <v>6</v>
      </c>
      <c r="I32" s="91" t="s">
        <v>158</v>
      </c>
      <c r="J32" s="13">
        <v>11</v>
      </c>
      <c r="K32" s="35"/>
      <c r="L32" s="17" t="str">
        <f t="shared" si="6"/>
        <v/>
      </c>
      <c r="M32" s="17" t="str">
        <f t="shared" si="7"/>
        <v/>
      </c>
    </row>
    <row r="33" spans="1:13" x14ac:dyDescent="0.25">
      <c r="A33" s="13">
        <v>7</v>
      </c>
      <c r="B33" s="91" t="s">
        <v>158</v>
      </c>
      <c r="C33" s="13">
        <v>10</v>
      </c>
      <c r="D33" s="35"/>
      <c r="E33" s="17" t="str">
        <f t="shared" si="4"/>
        <v/>
      </c>
      <c r="F33" s="17" t="str">
        <f t="shared" si="5"/>
        <v/>
      </c>
      <c r="H33" s="13">
        <v>7</v>
      </c>
      <c r="I33" s="91" t="s">
        <v>158</v>
      </c>
      <c r="J33" s="13">
        <v>11</v>
      </c>
      <c r="K33" s="35"/>
      <c r="L33" s="17" t="str">
        <f t="shared" si="6"/>
        <v/>
      </c>
      <c r="M33" s="17" t="str">
        <f t="shared" si="7"/>
        <v/>
      </c>
    </row>
    <row r="34" spans="1:13" x14ac:dyDescent="0.25">
      <c r="A34" s="13">
        <v>8</v>
      </c>
      <c r="B34" s="91" t="s">
        <v>158</v>
      </c>
      <c r="C34" s="13">
        <v>10</v>
      </c>
      <c r="D34" s="35"/>
      <c r="E34" s="17" t="str">
        <f t="shared" si="4"/>
        <v/>
      </c>
      <c r="F34" s="17" t="str">
        <f t="shared" si="5"/>
        <v/>
      </c>
      <c r="H34" s="13">
        <v>8</v>
      </c>
      <c r="I34" s="91" t="s">
        <v>158</v>
      </c>
      <c r="J34" s="13">
        <v>11</v>
      </c>
      <c r="K34" s="35"/>
      <c r="L34" s="17" t="str">
        <f t="shared" si="6"/>
        <v/>
      </c>
      <c r="M34" s="17" t="str">
        <f t="shared" si="7"/>
        <v/>
      </c>
    </row>
    <row r="35" spans="1:13" x14ac:dyDescent="0.25">
      <c r="A35" s="13">
        <v>9</v>
      </c>
      <c r="B35" s="91" t="s">
        <v>158</v>
      </c>
      <c r="C35" s="13">
        <v>10</v>
      </c>
      <c r="D35" s="35"/>
      <c r="E35" s="17" t="str">
        <f t="shared" si="4"/>
        <v/>
      </c>
      <c r="F35" s="17" t="str">
        <f t="shared" si="5"/>
        <v/>
      </c>
      <c r="H35" s="13">
        <v>9</v>
      </c>
      <c r="I35" s="91" t="s">
        <v>158</v>
      </c>
      <c r="J35" s="13">
        <v>11</v>
      </c>
      <c r="K35" s="35"/>
      <c r="L35" s="17" t="str">
        <f t="shared" si="6"/>
        <v/>
      </c>
      <c r="M35" s="17" t="str">
        <f t="shared" si="7"/>
        <v/>
      </c>
    </row>
    <row r="36" spans="1:13" x14ac:dyDescent="0.25">
      <c r="A36" s="13">
        <v>10</v>
      </c>
      <c r="B36" s="91" t="s">
        <v>158</v>
      </c>
      <c r="C36" s="13">
        <v>10</v>
      </c>
      <c r="D36" s="35"/>
      <c r="E36" s="17" t="str">
        <f t="shared" si="4"/>
        <v/>
      </c>
      <c r="F36" s="17" t="str">
        <f t="shared" si="5"/>
        <v/>
      </c>
      <c r="H36" s="13">
        <v>10</v>
      </c>
      <c r="I36" s="91" t="s">
        <v>158</v>
      </c>
      <c r="J36" s="13">
        <v>11</v>
      </c>
      <c r="K36" s="35"/>
      <c r="L36" s="17" t="str">
        <f t="shared" si="6"/>
        <v/>
      </c>
      <c r="M36" s="17" t="str">
        <f t="shared" si="7"/>
        <v/>
      </c>
    </row>
    <row r="37" spans="1:13" x14ac:dyDescent="0.25">
      <c r="A37" s="13">
        <v>11</v>
      </c>
      <c r="B37" s="91" t="s">
        <v>158</v>
      </c>
      <c r="C37" s="13">
        <v>10</v>
      </c>
      <c r="D37" s="35"/>
      <c r="E37" s="17" t="str">
        <f t="shared" si="4"/>
        <v/>
      </c>
      <c r="F37" s="17" t="str">
        <f t="shared" si="5"/>
        <v/>
      </c>
      <c r="H37" s="13">
        <v>11</v>
      </c>
      <c r="I37" s="91" t="s">
        <v>158</v>
      </c>
      <c r="J37" s="13">
        <v>11</v>
      </c>
      <c r="K37" s="35"/>
      <c r="L37" s="17" t="str">
        <f t="shared" si="6"/>
        <v/>
      </c>
      <c r="M37" s="17" t="str">
        <f t="shared" si="7"/>
        <v/>
      </c>
    </row>
    <row r="38" spans="1:13" x14ac:dyDescent="0.25">
      <c r="A38" s="13">
        <v>12</v>
      </c>
      <c r="B38" s="91" t="s">
        <v>158</v>
      </c>
      <c r="C38" s="13">
        <v>10</v>
      </c>
      <c r="D38" s="35"/>
      <c r="E38" s="17" t="str">
        <f t="shared" si="4"/>
        <v/>
      </c>
      <c r="F38" s="17" t="str">
        <f t="shared" si="5"/>
        <v/>
      </c>
      <c r="H38" s="13">
        <v>12</v>
      </c>
      <c r="I38" s="91" t="s">
        <v>158</v>
      </c>
      <c r="J38" s="13">
        <v>11</v>
      </c>
      <c r="K38" s="35"/>
      <c r="L38" s="17" t="str">
        <f t="shared" si="6"/>
        <v/>
      </c>
      <c r="M38" s="17" t="str">
        <f t="shared" si="7"/>
        <v/>
      </c>
    </row>
    <row r="39" spans="1:13" x14ac:dyDescent="0.25">
      <c r="A39" s="13">
        <v>13</v>
      </c>
      <c r="B39" s="91" t="s">
        <v>158</v>
      </c>
      <c r="C39" s="13">
        <v>10</v>
      </c>
      <c r="D39" s="35"/>
      <c r="E39" s="17" t="str">
        <f t="shared" si="4"/>
        <v/>
      </c>
      <c r="F39" s="17" t="str">
        <f t="shared" si="5"/>
        <v/>
      </c>
      <c r="H39" s="13">
        <v>13</v>
      </c>
      <c r="I39" s="91" t="s">
        <v>158</v>
      </c>
      <c r="J39" s="13">
        <v>11</v>
      </c>
      <c r="K39" s="35"/>
      <c r="L39" s="17" t="str">
        <f t="shared" si="6"/>
        <v/>
      </c>
      <c r="M39" s="17" t="str">
        <f t="shared" si="7"/>
        <v/>
      </c>
    </row>
    <row r="40" spans="1:13" x14ac:dyDescent="0.25">
      <c r="A40" s="13">
        <v>14</v>
      </c>
      <c r="B40" s="91" t="s">
        <v>158</v>
      </c>
      <c r="C40" s="13">
        <v>10</v>
      </c>
      <c r="D40" s="35"/>
      <c r="E40" s="17" t="str">
        <f t="shared" si="4"/>
        <v/>
      </c>
      <c r="F40" s="17" t="str">
        <f t="shared" si="5"/>
        <v/>
      </c>
      <c r="H40" s="13">
        <v>14</v>
      </c>
      <c r="I40" s="91" t="s">
        <v>158</v>
      </c>
      <c r="J40" s="13">
        <v>11</v>
      </c>
      <c r="K40" s="35"/>
      <c r="L40" s="17" t="str">
        <f t="shared" si="6"/>
        <v/>
      </c>
      <c r="M40" s="17" t="str">
        <f t="shared" si="7"/>
        <v/>
      </c>
    </row>
    <row r="41" spans="1:13" x14ac:dyDescent="0.25">
      <c r="A41" s="13">
        <v>15</v>
      </c>
      <c r="B41" s="91" t="s">
        <v>158</v>
      </c>
      <c r="C41" s="13">
        <v>10</v>
      </c>
      <c r="D41" s="35"/>
      <c r="E41" s="17" t="str">
        <f t="shared" si="4"/>
        <v/>
      </c>
      <c r="F41" s="17" t="str">
        <f t="shared" si="5"/>
        <v/>
      </c>
      <c r="H41" s="13">
        <v>15</v>
      </c>
      <c r="I41" s="91" t="s">
        <v>158</v>
      </c>
      <c r="J41" s="13">
        <v>11</v>
      </c>
      <c r="K41" s="35"/>
      <c r="L41" s="17" t="str">
        <f t="shared" si="6"/>
        <v/>
      </c>
      <c r="M41" s="17" t="str">
        <f t="shared" si="7"/>
        <v/>
      </c>
    </row>
    <row r="42" spans="1:13" x14ac:dyDescent="0.25">
      <c r="A42" s="13">
        <v>16</v>
      </c>
      <c r="B42" s="91" t="s">
        <v>158</v>
      </c>
      <c r="C42" s="13">
        <v>10</v>
      </c>
      <c r="D42" s="35"/>
      <c r="E42" s="17" t="str">
        <f t="shared" si="4"/>
        <v/>
      </c>
      <c r="F42" s="17" t="str">
        <f t="shared" si="5"/>
        <v/>
      </c>
      <c r="H42" s="13">
        <v>16</v>
      </c>
      <c r="I42" s="91" t="s">
        <v>158</v>
      </c>
      <c r="J42" s="13">
        <v>11</v>
      </c>
      <c r="K42" s="35"/>
      <c r="L42" s="17" t="str">
        <f t="shared" si="6"/>
        <v/>
      </c>
      <c r="M42" s="17" t="str">
        <f t="shared" si="7"/>
        <v/>
      </c>
    </row>
    <row r="43" spans="1:13" x14ac:dyDescent="0.25">
      <c r="A43" s="13">
        <v>17</v>
      </c>
      <c r="B43" s="91" t="s">
        <v>158</v>
      </c>
      <c r="C43" s="13">
        <v>10</v>
      </c>
      <c r="D43" s="35"/>
      <c r="E43" s="17" t="str">
        <f t="shared" si="4"/>
        <v/>
      </c>
      <c r="F43" s="17" t="str">
        <f t="shared" si="5"/>
        <v/>
      </c>
      <c r="H43" s="13">
        <v>17</v>
      </c>
      <c r="I43" s="91" t="s">
        <v>158</v>
      </c>
      <c r="J43" s="13">
        <v>11</v>
      </c>
      <c r="K43" s="35"/>
      <c r="L43" s="17" t="str">
        <f t="shared" si="6"/>
        <v/>
      </c>
      <c r="M43" s="17" t="str">
        <f t="shared" si="7"/>
        <v/>
      </c>
    </row>
    <row r="44" spans="1:13" x14ac:dyDescent="0.25">
      <c r="A44" s="13">
        <v>18</v>
      </c>
      <c r="B44" s="91" t="s">
        <v>158</v>
      </c>
      <c r="C44" s="13">
        <v>10</v>
      </c>
      <c r="D44" s="35"/>
      <c r="E44" s="17" t="str">
        <f t="shared" si="4"/>
        <v/>
      </c>
      <c r="F44" s="17" t="str">
        <f t="shared" si="5"/>
        <v/>
      </c>
      <c r="H44" s="13">
        <v>18</v>
      </c>
      <c r="I44" s="91" t="s">
        <v>158</v>
      </c>
      <c r="J44" s="13">
        <v>11</v>
      </c>
      <c r="K44" s="35"/>
      <c r="L44" s="17" t="str">
        <f t="shared" si="6"/>
        <v/>
      </c>
      <c r="M44" s="17" t="str">
        <f t="shared" si="7"/>
        <v/>
      </c>
    </row>
    <row r="45" spans="1:13" x14ac:dyDescent="0.25">
      <c r="A45" s="13">
        <v>19</v>
      </c>
      <c r="B45" s="91" t="s">
        <v>158</v>
      </c>
      <c r="C45" s="13">
        <v>10</v>
      </c>
      <c r="D45" s="35"/>
      <c r="E45" s="17" t="str">
        <f t="shared" si="4"/>
        <v/>
      </c>
      <c r="F45" s="17" t="str">
        <f t="shared" si="5"/>
        <v/>
      </c>
      <c r="H45" s="13">
        <v>19</v>
      </c>
      <c r="I45" s="91" t="s">
        <v>158</v>
      </c>
      <c r="J45" s="13">
        <v>11</v>
      </c>
      <c r="K45" s="35"/>
      <c r="L45" s="17" t="str">
        <f t="shared" si="6"/>
        <v/>
      </c>
      <c r="M45" s="17" t="str">
        <f t="shared" si="7"/>
        <v/>
      </c>
    </row>
    <row r="46" spans="1:13" x14ac:dyDescent="0.25">
      <c r="A46" s="13">
        <v>20</v>
      </c>
      <c r="B46" s="91" t="s">
        <v>158</v>
      </c>
      <c r="C46" s="13">
        <v>10</v>
      </c>
      <c r="D46" s="35"/>
      <c r="E46" s="17" t="str">
        <f t="shared" si="4"/>
        <v/>
      </c>
      <c r="F46" s="17" t="str">
        <f t="shared" si="5"/>
        <v/>
      </c>
      <c r="H46" s="13">
        <v>20</v>
      </c>
      <c r="I46" s="91" t="s">
        <v>158</v>
      </c>
      <c r="J46" s="13">
        <v>11</v>
      </c>
      <c r="K46" s="35"/>
      <c r="L46" s="17" t="str">
        <f t="shared" si="6"/>
        <v/>
      </c>
      <c r="M46" s="17" t="str">
        <f t="shared" si="7"/>
        <v/>
      </c>
    </row>
    <row r="47" spans="1:13" x14ac:dyDescent="0.25">
      <c r="A47" s="4" t="s">
        <v>174</v>
      </c>
      <c r="B47" s="12"/>
      <c r="C47" s="12"/>
      <c r="D47" s="4"/>
      <c r="E47" s="4"/>
      <c r="F47" s="4"/>
      <c r="H47" s="4" t="s">
        <v>175</v>
      </c>
      <c r="I47" s="12"/>
      <c r="J47" s="12"/>
      <c r="K47" s="4"/>
      <c r="L47" s="4"/>
      <c r="M47" s="4"/>
    </row>
    <row r="48" spans="1:13" ht="23.25" x14ac:dyDescent="0.25">
      <c r="A48" s="15" t="s">
        <v>0</v>
      </c>
      <c r="B48" s="15" t="s">
        <v>55</v>
      </c>
      <c r="C48" s="15" t="s">
        <v>56</v>
      </c>
      <c r="D48" s="16" t="s">
        <v>8</v>
      </c>
      <c r="E48" s="15" t="s">
        <v>2</v>
      </c>
      <c r="F48" s="15" t="s">
        <v>1</v>
      </c>
      <c r="H48" s="15" t="s">
        <v>0</v>
      </c>
      <c r="I48" s="15" t="s">
        <v>55</v>
      </c>
      <c r="J48" s="15" t="s">
        <v>56</v>
      </c>
      <c r="K48" s="16" t="s">
        <v>8</v>
      </c>
      <c r="L48" s="15" t="s">
        <v>2</v>
      </c>
      <c r="M48" s="15" t="s">
        <v>1</v>
      </c>
    </row>
    <row r="49" spans="1:13" x14ac:dyDescent="0.25">
      <c r="A49" s="13">
        <v>1</v>
      </c>
      <c r="B49" s="91" t="s">
        <v>158</v>
      </c>
      <c r="C49" s="13">
        <v>12</v>
      </c>
      <c r="D49" s="35"/>
      <c r="E49" s="17" t="str">
        <f t="shared" ref="E49:E68" si="8">IF(D49&gt;0,VLOOKUP(D49,Jumpers,3),"")</f>
        <v/>
      </c>
      <c r="F49" s="17" t="str">
        <f t="shared" ref="F49:F68" si="9">IF(D49&gt;0,VLOOKUP(D49,Jumpers,2),"")</f>
        <v/>
      </c>
      <c r="H49" s="13">
        <v>1</v>
      </c>
      <c r="I49" s="91" t="s">
        <v>158</v>
      </c>
      <c r="J49" s="13">
        <v>13</v>
      </c>
      <c r="K49" s="35"/>
      <c r="L49" s="17" t="str">
        <f t="shared" ref="L49:L68" si="10">IF(K49&gt;0,VLOOKUP(K49,Jumpers,3),"")</f>
        <v/>
      </c>
      <c r="M49" s="17" t="str">
        <f t="shared" ref="M49:M68" si="11">IF(K49&gt;0,VLOOKUP(K49,Jumpers,2),"")</f>
        <v/>
      </c>
    </row>
    <row r="50" spans="1:13" x14ac:dyDescent="0.25">
      <c r="A50" s="13">
        <v>2</v>
      </c>
      <c r="B50" s="91" t="s">
        <v>158</v>
      </c>
      <c r="C50" s="13">
        <v>12</v>
      </c>
      <c r="D50" s="35"/>
      <c r="E50" s="17" t="str">
        <f t="shared" si="8"/>
        <v/>
      </c>
      <c r="F50" s="17" t="str">
        <f t="shared" si="9"/>
        <v/>
      </c>
      <c r="H50" s="13">
        <v>2</v>
      </c>
      <c r="I50" s="91" t="s">
        <v>158</v>
      </c>
      <c r="J50" s="13">
        <v>13</v>
      </c>
      <c r="K50" s="35"/>
      <c r="L50" s="17" t="str">
        <f t="shared" si="10"/>
        <v/>
      </c>
      <c r="M50" s="17" t="str">
        <f t="shared" si="11"/>
        <v/>
      </c>
    </row>
    <row r="51" spans="1:13" x14ac:dyDescent="0.25">
      <c r="A51" s="13">
        <v>3</v>
      </c>
      <c r="B51" s="91" t="s">
        <v>158</v>
      </c>
      <c r="C51" s="13">
        <v>12</v>
      </c>
      <c r="D51" s="35"/>
      <c r="E51" s="17" t="str">
        <f t="shared" si="8"/>
        <v/>
      </c>
      <c r="F51" s="17" t="str">
        <f t="shared" si="9"/>
        <v/>
      </c>
      <c r="H51" s="13">
        <v>3</v>
      </c>
      <c r="I51" s="91" t="s">
        <v>158</v>
      </c>
      <c r="J51" s="13">
        <v>13</v>
      </c>
      <c r="K51" s="35"/>
      <c r="L51" s="17" t="str">
        <f t="shared" si="10"/>
        <v/>
      </c>
      <c r="M51" s="17" t="str">
        <f t="shared" si="11"/>
        <v/>
      </c>
    </row>
    <row r="52" spans="1:13" x14ac:dyDescent="0.25">
      <c r="A52" s="13">
        <v>4</v>
      </c>
      <c r="B52" s="91" t="s">
        <v>158</v>
      </c>
      <c r="C52" s="13">
        <v>12</v>
      </c>
      <c r="D52" s="35"/>
      <c r="E52" s="17" t="str">
        <f t="shared" si="8"/>
        <v/>
      </c>
      <c r="F52" s="17" t="str">
        <f t="shared" si="9"/>
        <v/>
      </c>
      <c r="H52" s="13">
        <v>4</v>
      </c>
      <c r="I52" s="91" t="s">
        <v>158</v>
      </c>
      <c r="J52" s="13">
        <v>13</v>
      </c>
      <c r="K52" s="35"/>
      <c r="L52" s="17" t="str">
        <f t="shared" si="10"/>
        <v/>
      </c>
      <c r="M52" s="17" t="str">
        <f t="shared" si="11"/>
        <v/>
      </c>
    </row>
    <row r="53" spans="1:13" x14ac:dyDescent="0.25">
      <c r="A53" s="13">
        <v>5</v>
      </c>
      <c r="B53" s="91" t="s">
        <v>158</v>
      </c>
      <c r="C53" s="13">
        <v>12</v>
      </c>
      <c r="D53" s="35"/>
      <c r="E53" s="17" t="str">
        <f t="shared" si="8"/>
        <v/>
      </c>
      <c r="F53" s="17" t="str">
        <f t="shared" si="9"/>
        <v/>
      </c>
      <c r="H53" s="13">
        <v>5</v>
      </c>
      <c r="I53" s="91" t="s">
        <v>158</v>
      </c>
      <c r="J53" s="13">
        <v>13</v>
      </c>
      <c r="K53" s="35"/>
      <c r="L53" s="17" t="str">
        <f t="shared" si="10"/>
        <v/>
      </c>
      <c r="M53" s="17" t="str">
        <f t="shared" si="11"/>
        <v/>
      </c>
    </row>
    <row r="54" spans="1:13" x14ac:dyDescent="0.25">
      <c r="A54" s="13">
        <v>6</v>
      </c>
      <c r="B54" s="91" t="s">
        <v>158</v>
      </c>
      <c r="C54" s="13">
        <v>12</v>
      </c>
      <c r="D54" s="35"/>
      <c r="E54" s="17" t="str">
        <f t="shared" si="8"/>
        <v/>
      </c>
      <c r="F54" s="17" t="str">
        <f t="shared" si="9"/>
        <v/>
      </c>
      <c r="H54" s="13">
        <v>6</v>
      </c>
      <c r="I54" s="91" t="s">
        <v>158</v>
      </c>
      <c r="J54" s="13">
        <v>13</v>
      </c>
      <c r="K54" s="35"/>
      <c r="L54" s="17" t="str">
        <f t="shared" si="10"/>
        <v/>
      </c>
      <c r="M54" s="17" t="str">
        <f t="shared" si="11"/>
        <v/>
      </c>
    </row>
    <row r="55" spans="1:13" x14ac:dyDescent="0.25">
      <c r="A55" s="13">
        <v>7</v>
      </c>
      <c r="B55" s="91" t="s">
        <v>158</v>
      </c>
      <c r="C55" s="13">
        <v>12</v>
      </c>
      <c r="D55" s="35"/>
      <c r="E55" s="17" t="str">
        <f t="shared" si="8"/>
        <v/>
      </c>
      <c r="F55" s="17" t="str">
        <f t="shared" si="9"/>
        <v/>
      </c>
      <c r="H55" s="13">
        <v>7</v>
      </c>
      <c r="I55" s="91" t="s">
        <v>158</v>
      </c>
      <c r="J55" s="13">
        <v>13</v>
      </c>
      <c r="K55" s="35"/>
      <c r="L55" s="17" t="str">
        <f t="shared" si="10"/>
        <v/>
      </c>
      <c r="M55" s="17" t="str">
        <f t="shared" si="11"/>
        <v/>
      </c>
    </row>
    <row r="56" spans="1:13" x14ac:dyDescent="0.25">
      <c r="A56" s="13">
        <v>8</v>
      </c>
      <c r="B56" s="91" t="s">
        <v>158</v>
      </c>
      <c r="C56" s="13">
        <v>12</v>
      </c>
      <c r="D56" s="35"/>
      <c r="E56" s="17" t="str">
        <f t="shared" si="8"/>
        <v/>
      </c>
      <c r="F56" s="17" t="str">
        <f t="shared" si="9"/>
        <v/>
      </c>
      <c r="H56" s="13">
        <v>8</v>
      </c>
      <c r="I56" s="91" t="s">
        <v>158</v>
      </c>
      <c r="J56" s="13">
        <v>13</v>
      </c>
      <c r="K56" s="35"/>
      <c r="L56" s="17" t="str">
        <f t="shared" si="10"/>
        <v/>
      </c>
      <c r="M56" s="17" t="str">
        <f t="shared" si="11"/>
        <v/>
      </c>
    </row>
    <row r="57" spans="1:13" x14ac:dyDescent="0.25">
      <c r="A57" s="13">
        <v>9</v>
      </c>
      <c r="B57" s="91" t="s">
        <v>158</v>
      </c>
      <c r="C57" s="13">
        <v>12</v>
      </c>
      <c r="D57" s="35"/>
      <c r="E57" s="17" t="str">
        <f t="shared" si="8"/>
        <v/>
      </c>
      <c r="F57" s="17" t="str">
        <f t="shared" si="9"/>
        <v/>
      </c>
      <c r="H57" s="13">
        <v>9</v>
      </c>
      <c r="I57" s="91" t="s">
        <v>158</v>
      </c>
      <c r="J57" s="13">
        <v>13</v>
      </c>
      <c r="K57" s="35"/>
      <c r="L57" s="17" t="str">
        <f t="shared" si="10"/>
        <v/>
      </c>
      <c r="M57" s="17" t="str">
        <f t="shared" si="11"/>
        <v/>
      </c>
    </row>
    <row r="58" spans="1:13" x14ac:dyDescent="0.25">
      <c r="A58" s="13">
        <v>10</v>
      </c>
      <c r="B58" s="91" t="s">
        <v>158</v>
      </c>
      <c r="C58" s="13">
        <v>12</v>
      </c>
      <c r="D58" s="35"/>
      <c r="E58" s="17" t="str">
        <f t="shared" si="8"/>
        <v/>
      </c>
      <c r="F58" s="17" t="str">
        <f t="shared" si="9"/>
        <v/>
      </c>
      <c r="H58" s="13">
        <v>10</v>
      </c>
      <c r="I58" s="91" t="s">
        <v>158</v>
      </c>
      <c r="J58" s="13">
        <v>13</v>
      </c>
      <c r="K58" s="35"/>
      <c r="L58" s="17" t="str">
        <f t="shared" si="10"/>
        <v/>
      </c>
      <c r="M58" s="17" t="str">
        <f t="shared" si="11"/>
        <v/>
      </c>
    </row>
    <row r="59" spans="1:13" x14ac:dyDescent="0.25">
      <c r="A59" s="13">
        <v>11</v>
      </c>
      <c r="B59" s="91" t="s">
        <v>158</v>
      </c>
      <c r="C59" s="13">
        <v>12</v>
      </c>
      <c r="D59" s="35"/>
      <c r="E59" s="17" t="str">
        <f t="shared" si="8"/>
        <v/>
      </c>
      <c r="F59" s="17" t="str">
        <f t="shared" si="9"/>
        <v/>
      </c>
      <c r="H59" s="13">
        <v>11</v>
      </c>
      <c r="I59" s="91" t="s">
        <v>158</v>
      </c>
      <c r="J59" s="13">
        <v>13</v>
      </c>
      <c r="K59" s="35"/>
      <c r="L59" s="17" t="str">
        <f t="shared" si="10"/>
        <v/>
      </c>
      <c r="M59" s="17" t="str">
        <f t="shared" si="11"/>
        <v/>
      </c>
    </row>
    <row r="60" spans="1:13" x14ac:dyDescent="0.25">
      <c r="A60" s="13">
        <v>12</v>
      </c>
      <c r="B60" s="91" t="s">
        <v>158</v>
      </c>
      <c r="C60" s="13">
        <v>12</v>
      </c>
      <c r="D60" s="35"/>
      <c r="E60" s="17" t="str">
        <f t="shared" si="8"/>
        <v/>
      </c>
      <c r="F60" s="17" t="str">
        <f t="shared" si="9"/>
        <v/>
      </c>
      <c r="H60" s="13">
        <v>12</v>
      </c>
      <c r="I60" s="91" t="s">
        <v>158</v>
      </c>
      <c r="J60" s="13">
        <v>13</v>
      </c>
      <c r="K60" s="35"/>
      <c r="L60" s="17" t="str">
        <f t="shared" si="10"/>
        <v/>
      </c>
      <c r="M60" s="17" t="str">
        <f t="shared" si="11"/>
        <v/>
      </c>
    </row>
    <row r="61" spans="1:13" x14ac:dyDescent="0.25">
      <c r="A61" s="13">
        <v>13</v>
      </c>
      <c r="B61" s="91" t="s">
        <v>158</v>
      </c>
      <c r="C61" s="13">
        <v>12</v>
      </c>
      <c r="D61" s="35"/>
      <c r="E61" s="17" t="str">
        <f t="shared" si="8"/>
        <v/>
      </c>
      <c r="F61" s="17" t="str">
        <f t="shared" si="9"/>
        <v/>
      </c>
      <c r="H61" s="13">
        <v>13</v>
      </c>
      <c r="I61" s="91" t="s">
        <v>158</v>
      </c>
      <c r="J61" s="13">
        <v>13</v>
      </c>
      <c r="K61" s="35"/>
      <c r="L61" s="17" t="str">
        <f t="shared" si="10"/>
        <v/>
      </c>
      <c r="M61" s="17" t="str">
        <f t="shared" si="11"/>
        <v/>
      </c>
    </row>
    <row r="62" spans="1:13" x14ac:dyDescent="0.25">
      <c r="A62" s="13">
        <v>14</v>
      </c>
      <c r="B62" s="91" t="s">
        <v>158</v>
      </c>
      <c r="C62" s="13">
        <v>12</v>
      </c>
      <c r="D62" s="35"/>
      <c r="E62" s="17" t="str">
        <f t="shared" si="8"/>
        <v/>
      </c>
      <c r="F62" s="17" t="str">
        <f t="shared" si="9"/>
        <v/>
      </c>
      <c r="H62" s="13">
        <v>14</v>
      </c>
      <c r="I62" s="91" t="s">
        <v>158</v>
      </c>
      <c r="J62" s="13">
        <v>13</v>
      </c>
      <c r="K62" s="35"/>
      <c r="L62" s="17" t="str">
        <f t="shared" si="10"/>
        <v/>
      </c>
      <c r="M62" s="17" t="str">
        <f t="shared" si="11"/>
        <v/>
      </c>
    </row>
    <row r="63" spans="1:13" x14ac:dyDescent="0.25">
      <c r="A63" s="13">
        <v>15</v>
      </c>
      <c r="B63" s="91" t="s">
        <v>158</v>
      </c>
      <c r="C63" s="13">
        <v>12</v>
      </c>
      <c r="D63" s="35"/>
      <c r="E63" s="17" t="str">
        <f t="shared" si="8"/>
        <v/>
      </c>
      <c r="F63" s="17" t="str">
        <f t="shared" si="9"/>
        <v/>
      </c>
      <c r="H63" s="13">
        <v>15</v>
      </c>
      <c r="I63" s="91" t="s">
        <v>158</v>
      </c>
      <c r="J63" s="13">
        <v>13</v>
      </c>
      <c r="K63" s="35"/>
      <c r="L63" s="17" t="str">
        <f t="shared" si="10"/>
        <v/>
      </c>
      <c r="M63" s="17" t="str">
        <f t="shared" si="11"/>
        <v/>
      </c>
    </row>
    <row r="64" spans="1:13" x14ac:dyDescent="0.25">
      <c r="A64" s="13">
        <v>16</v>
      </c>
      <c r="B64" s="91" t="s">
        <v>158</v>
      </c>
      <c r="C64" s="13">
        <v>12</v>
      </c>
      <c r="D64" s="35"/>
      <c r="E64" s="17" t="str">
        <f t="shared" si="8"/>
        <v/>
      </c>
      <c r="F64" s="17" t="str">
        <f t="shared" si="9"/>
        <v/>
      </c>
      <c r="H64" s="13">
        <v>16</v>
      </c>
      <c r="I64" s="91" t="s">
        <v>158</v>
      </c>
      <c r="J64" s="13">
        <v>13</v>
      </c>
      <c r="K64" s="35"/>
      <c r="L64" s="17" t="str">
        <f t="shared" si="10"/>
        <v/>
      </c>
      <c r="M64" s="17" t="str">
        <f t="shared" si="11"/>
        <v/>
      </c>
    </row>
    <row r="65" spans="1:13" x14ac:dyDescent="0.25">
      <c r="A65" s="13">
        <v>17</v>
      </c>
      <c r="B65" s="91" t="s">
        <v>158</v>
      </c>
      <c r="C65" s="13">
        <v>12</v>
      </c>
      <c r="D65" s="35"/>
      <c r="E65" s="17" t="str">
        <f t="shared" si="8"/>
        <v/>
      </c>
      <c r="F65" s="17" t="str">
        <f t="shared" si="9"/>
        <v/>
      </c>
      <c r="H65" s="13">
        <v>17</v>
      </c>
      <c r="I65" s="91" t="s">
        <v>158</v>
      </c>
      <c r="J65" s="13">
        <v>13</v>
      </c>
      <c r="K65" s="35"/>
      <c r="L65" s="17" t="str">
        <f t="shared" si="10"/>
        <v/>
      </c>
      <c r="M65" s="17" t="str">
        <f t="shared" si="11"/>
        <v/>
      </c>
    </row>
    <row r="66" spans="1:13" x14ac:dyDescent="0.25">
      <c r="A66" s="13">
        <v>18</v>
      </c>
      <c r="B66" s="91" t="s">
        <v>158</v>
      </c>
      <c r="C66" s="13">
        <v>12</v>
      </c>
      <c r="D66" s="35"/>
      <c r="E66" s="17" t="str">
        <f t="shared" si="8"/>
        <v/>
      </c>
      <c r="F66" s="17" t="str">
        <f t="shared" si="9"/>
        <v/>
      </c>
      <c r="H66" s="13">
        <v>18</v>
      </c>
      <c r="I66" s="91" t="s">
        <v>158</v>
      </c>
      <c r="J66" s="13">
        <v>13</v>
      </c>
      <c r="K66" s="35"/>
      <c r="L66" s="17" t="str">
        <f t="shared" si="10"/>
        <v/>
      </c>
      <c r="M66" s="17" t="str">
        <f t="shared" si="11"/>
        <v/>
      </c>
    </row>
    <row r="67" spans="1:13" x14ac:dyDescent="0.25">
      <c r="A67" s="13">
        <v>19</v>
      </c>
      <c r="B67" s="91" t="s">
        <v>158</v>
      </c>
      <c r="C67" s="13">
        <v>12</v>
      </c>
      <c r="D67" s="35"/>
      <c r="E67" s="17" t="str">
        <f t="shared" si="8"/>
        <v/>
      </c>
      <c r="F67" s="17" t="str">
        <f t="shared" si="9"/>
        <v/>
      </c>
      <c r="H67" s="13">
        <v>19</v>
      </c>
      <c r="I67" s="91" t="s">
        <v>158</v>
      </c>
      <c r="J67" s="13">
        <v>13</v>
      </c>
      <c r="K67" s="35"/>
      <c r="L67" s="17" t="str">
        <f t="shared" si="10"/>
        <v/>
      </c>
      <c r="M67" s="17" t="str">
        <f t="shared" si="11"/>
        <v/>
      </c>
    </row>
    <row r="68" spans="1:13" x14ac:dyDescent="0.25">
      <c r="A68" s="13">
        <v>20</v>
      </c>
      <c r="B68" s="91" t="s">
        <v>158</v>
      </c>
      <c r="C68" s="13">
        <v>12</v>
      </c>
      <c r="D68" s="35"/>
      <c r="E68" s="17" t="str">
        <f t="shared" si="8"/>
        <v/>
      </c>
      <c r="F68" s="17" t="str">
        <f t="shared" si="9"/>
        <v/>
      </c>
      <c r="H68" s="13">
        <v>20</v>
      </c>
      <c r="I68" s="91" t="s">
        <v>158</v>
      </c>
      <c r="J68" s="13">
        <v>13</v>
      </c>
      <c r="K68" s="35"/>
      <c r="L68" s="17" t="str">
        <f t="shared" si="10"/>
        <v/>
      </c>
      <c r="M68" s="17" t="str">
        <f t="shared" si="11"/>
        <v/>
      </c>
    </row>
    <row r="69" spans="1:13" x14ac:dyDescent="0.25">
      <c r="A69" s="4" t="s">
        <v>176</v>
      </c>
      <c r="B69" s="12"/>
      <c r="C69" s="12"/>
      <c r="D69" s="4"/>
      <c r="E69" s="4"/>
      <c r="F69" s="4"/>
      <c r="H69" s="4" t="s">
        <v>221</v>
      </c>
      <c r="I69" s="12"/>
      <c r="J69" s="12"/>
      <c r="K69" s="4"/>
      <c r="L69" s="4"/>
      <c r="M69" s="4"/>
    </row>
    <row r="70" spans="1:13" ht="23.25" x14ac:dyDescent="0.25">
      <c r="A70" s="15" t="s">
        <v>0</v>
      </c>
      <c r="B70" s="15" t="s">
        <v>55</v>
      </c>
      <c r="C70" s="15" t="s">
        <v>56</v>
      </c>
      <c r="D70" s="16" t="s">
        <v>8</v>
      </c>
      <c r="E70" s="15" t="s">
        <v>2</v>
      </c>
      <c r="F70" s="15" t="s">
        <v>1</v>
      </c>
      <c r="H70" s="15" t="s">
        <v>0</v>
      </c>
      <c r="I70" s="15" t="s">
        <v>55</v>
      </c>
      <c r="J70" s="15" t="s">
        <v>56</v>
      </c>
      <c r="K70" s="16" t="s">
        <v>8</v>
      </c>
      <c r="L70" s="15" t="s">
        <v>2</v>
      </c>
      <c r="M70" s="15" t="s">
        <v>1</v>
      </c>
    </row>
    <row r="71" spans="1:13" x14ac:dyDescent="0.25">
      <c r="A71" s="13">
        <v>1</v>
      </c>
      <c r="B71" s="91" t="s">
        <v>158</v>
      </c>
      <c r="C71" s="13">
        <v>14</v>
      </c>
      <c r="D71" s="35"/>
      <c r="E71" s="17" t="str">
        <f t="shared" ref="E71:E90" si="12">IF(D71&gt;0,VLOOKUP(D71,Jumpers,3),"")</f>
        <v/>
      </c>
      <c r="F71" s="17" t="str">
        <f t="shared" ref="F71:F90" si="13">IF(D71&gt;0,VLOOKUP(D71,Jumpers,2),"")</f>
        <v/>
      </c>
      <c r="H71" s="13">
        <v>1</v>
      </c>
      <c r="I71" s="91" t="s">
        <v>158</v>
      </c>
      <c r="J71" s="91" t="s">
        <v>214</v>
      </c>
      <c r="K71" s="35"/>
      <c r="L71" s="17" t="str">
        <f t="shared" ref="L71:L90" si="14">IF(K71&gt;0,VLOOKUP(K71,Jumpers,3),"")</f>
        <v/>
      </c>
      <c r="M71" s="17" t="str">
        <f t="shared" ref="M71:M90" si="15">IF(K71&gt;0,VLOOKUP(K71,Jumpers,2),"")</f>
        <v/>
      </c>
    </row>
    <row r="72" spans="1:13" x14ac:dyDescent="0.25">
      <c r="A72" s="13">
        <v>2</v>
      </c>
      <c r="B72" s="91" t="s">
        <v>158</v>
      </c>
      <c r="C72" s="13">
        <v>14</v>
      </c>
      <c r="D72" s="35"/>
      <c r="E72" s="17" t="str">
        <f t="shared" si="12"/>
        <v/>
      </c>
      <c r="F72" s="17" t="str">
        <f t="shared" si="13"/>
        <v/>
      </c>
      <c r="H72" s="13">
        <v>2</v>
      </c>
      <c r="I72" s="91" t="s">
        <v>158</v>
      </c>
      <c r="J72" s="91" t="s">
        <v>214</v>
      </c>
      <c r="K72" s="35"/>
      <c r="L72" s="17" t="str">
        <f t="shared" si="14"/>
        <v/>
      </c>
      <c r="M72" s="17" t="str">
        <f t="shared" si="15"/>
        <v/>
      </c>
    </row>
    <row r="73" spans="1:13" x14ac:dyDescent="0.25">
      <c r="A73" s="13">
        <v>3</v>
      </c>
      <c r="B73" s="91" t="s">
        <v>158</v>
      </c>
      <c r="C73" s="13">
        <v>14</v>
      </c>
      <c r="D73" s="35"/>
      <c r="E73" s="17" t="str">
        <f t="shared" si="12"/>
        <v/>
      </c>
      <c r="F73" s="17" t="str">
        <f t="shared" si="13"/>
        <v/>
      </c>
      <c r="H73" s="13">
        <v>3</v>
      </c>
      <c r="I73" s="91" t="s">
        <v>158</v>
      </c>
      <c r="J73" s="91" t="s">
        <v>214</v>
      </c>
      <c r="K73" s="35"/>
      <c r="L73" s="17" t="str">
        <f t="shared" si="14"/>
        <v/>
      </c>
      <c r="M73" s="17" t="str">
        <f t="shared" si="15"/>
        <v/>
      </c>
    </row>
    <row r="74" spans="1:13" x14ac:dyDescent="0.25">
      <c r="A74" s="13">
        <v>4</v>
      </c>
      <c r="B74" s="91" t="s">
        <v>158</v>
      </c>
      <c r="C74" s="13">
        <v>14</v>
      </c>
      <c r="D74" s="35"/>
      <c r="E74" s="17" t="str">
        <f t="shared" si="12"/>
        <v/>
      </c>
      <c r="F74" s="17" t="str">
        <f t="shared" si="13"/>
        <v/>
      </c>
      <c r="H74" s="13">
        <v>4</v>
      </c>
      <c r="I74" s="91" t="s">
        <v>158</v>
      </c>
      <c r="J74" s="91" t="s">
        <v>214</v>
      </c>
      <c r="K74" s="35"/>
      <c r="L74" s="17" t="str">
        <f t="shared" si="14"/>
        <v/>
      </c>
      <c r="M74" s="17" t="str">
        <f t="shared" si="15"/>
        <v/>
      </c>
    </row>
    <row r="75" spans="1:13" x14ac:dyDescent="0.25">
      <c r="A75" s="13">
        <v>5</v>
      </c>
      <c r="B75" s="91" t="s">
        <v>158</v>
      </c>
      <c r="C75" s="13">
        <v>14</v>
      </c>
      <c r="D75" s="35"/>
      <c r="E75" s="17" t="str">
        <f t="shared" si="12"/>
        <v/>
      </c>
      <c r="F75" s="17" t="str">
        <f t="shared" si="13"/>
        <v/>
      </c>
      <c r="H75" s="13">
        <v>5</v>
      </c>
      <c r="I75" s="91" t="s">
        <v>158</v>
      </c>
      <c r="J75" s="91" t="s">
        <v>214</v>
      </c>
      <c r="K75" s="35"/>
      <c r="L75" s="17" t="str">
        <f t="shared" si="14"/>
        <v/>
      </c>
      <c r="M75" s="17" t="str">
        <f t="shared" si="15"/>
        <v/>
      </c>
    </row>
    <row r="76" spans="1:13" x14ac:dyDescent="0.25">
      <c r="A76" s="13">
        <v>6</v>
      </c>
      <c r="B76" s="91" t="s">
        <v>158</v>
      </c>
      <c r="C76" s="13">
        <v>14</v>
      </c>
      <c r="D76" s="35"/>
      <c r="E76" s="17" t="str">
        <f t="shared" si="12"/>
        <v/>
      </c>
      <c r="F76" s="17" t="str">
        <f t="shared" si="13"/>
        <v/>
      </c>
      <c r="H76" s="13">
        <v>6</v>
      </c>
      <c r="I76" s="91" t="s">
        <v>158</v>
      </c>
      <c r="J76" s="91" t="s">
        <v>214</v>
      </c>
      <c r="K76" s="35"/>
      <c r="L76" s="17" t="str">
        <f t="shared" si="14"/>
        <v/>
      </c>
      <c r="M76" s="17" t="str">
        <f t="shared" si="15"/>
        <v/>
      </c>
    </row>
    <row r="77" spans="1:13" x14ac:dyDescent="0.25">
      <c r="A77" s="13">
        <v>7</v>
      </c>
      <c r="B77" s="91" t="s">
        <v>158</v>
      </c>
      <c r="C77" s="13">
        <v>14</v>
      </c>
      <c r="D77" s="35"/>
      <c r="E77" s="17" t="str">
        <f t="shared" si="12"/>
        <v/>
      </c>
      <c r="F77" s="17" t="str">
        <f t="shared" si="13"/>
        <v/>
      </c>
      <c r="H77" s="13">
        <v>7</v>
      </c>
      <c r="I77" s="91" t="s">
        <v>158</v>
      </c>
      <c r="J77" s="91" t="s">
        <v>214</v>
      </c>
      <c r="K77" s="35"/>
      <c r="L77" s="17" t="str">
        <f t="shared" si="14"/>
        <v/>
      </c>
      <c r="M77" s="17" t="str">
        <f t="shared" si="15"/>
        <v/>
      </c>
    </row>
    <row r="78" spans="1:13" x14ac:dyDescent="0.25">
      <c r="A78" s="13">
        <v>8</v>
      </c>
      <c r="B78" s="91" t="s">
        <v>158</v>
      </c>
      <c r="C78" s="13">
        <v>14</v>
      </c>
      <c r="D78" s="35"/>
      <c r="E78" s="17" t="str">
        <f t="shared" si="12"/>
        <v/>
      </c>
      <c r="F78" s="17" t="str">
        <f t="shared" si="13"/>
        <v/>
      </c>
      <c r="H78" s="13">
        <v>8</v>
      </c>
      <c r="I78" s="91" t="s">
        <v>158</v>
      </c>
      <c r="J78" s="91" t="s">
        <v>214</v>
      </c>
      <c r="K78" s="35"/>
      <c r="L78" s="17" t="str">
        <f t="shared" si="14"/>
        <v/>
      </c>
      <c r="M78" s="17" t="str">
        <f t="shared" si="15"/>
        <v/>
      </c>
    </row>
    <row r="79" spans="1:13" x14ac:dyDescent="0.25">
      <c r="A79" s="13">
        <v>9</v>
      </c>
      <c r="B79" s="91" t="s">
        <v>158</v>
      </c>
      <c r="C79" s="13">
        <v>14</v>
      </c>
      <c r="D79" s="35"/>
      <c r="E79" s="17" t="str">
        <f t="shared" si="12"/>
        <v/>
      </c>
      <c r="F79" s="17" t="str">
        <f t="shared" si="13"/>
        <v/>
      </c>
      <c r="H79" s="13">
        <v>9</v>
      </c>
      <c r="I79" s="91" t="s">
        <v>158</v>
      </c>
      <c r="J79" s="91" t="s">
        <v>214</v>
      </c>
      <c r="K79" s="35"/>
      <c r="L79" s="17" t="str">
        <f t="shared" si="14"/>
        <v/>
      </c>
      <c r="M79" s="17" t="str">
        <f t="shared" si="15"/>
        <v/>
      </c>
    </row>
    <row r="80" spans="1:13" x14ac:dyDescent="0.25">
      <c r="A80" s="13">
        <v>10</v>
      </c>
      <c r="B80" s="91" t="s">
        <v>158</v>
      </c>
      <c r="C80" s="13">
        <v>14</v>
      </c>
      <c r="D80" s="35"/>
      <c r="E80" s="17" t="str">
        <f t="shared" si="12"/>
        <v/>
      </c>
      <c r="F80" s="17" t="str">
        <f t="shared" si="13"/>
        <v/>
      </c>
      <c r="H80" s="13">
        <v>10</v>
      </c>
      <c r="I80" s="91" t="s">
        <v>158</v>
      </c>
      <c r="J80" s="91" t="s">
        <v>214</v>
      </c>
      <c r="K80" s="35"/>
      <c r="L80" s="17" t="str">
        <f t="shared" si="14"/>
        <v/>
      </c>
      <c r="M80" s="17" t="str">
        <f t="shared" si="15"/>
        <v/>
      </c>
    </row>
    <row r="81" spans="1:13" x14ac:dyDescent="0.25">
      <c r="A81" s="13">
        <v>11</v>
      </c>
      <c r="B81" s="91" t="s">
        <v>158</v>
      </c>
      <c r="C81" s="13">
        <v>14</v>
      </c>
      <c r="D81" s="35"/>
      <c r="E81" s="17" t="str">
        <f t="shared" si="12"/>
        <v/>
      </c>
      <c r="F81" s="17" t="str">
        <f t="shared" si="13"/>
        <v/>
      </c>
      <c r="H81" s="13">
        <v>11</v>
      </c>
      <c r="I81" s="91" t="s">
        <v>158</v>
      </c>
      <c r="J81" s="91" t="s">
        <v>214</v>
      </c>
      <c r="K81" s="35"/>
      <c r="L81" s="17" t="str">
        <f t="shared" si="14"/>
        <v/>
      </c>
      <c r="M81" s="17" t="str">
        <f t="shared" si="15"/>
        <v/>
      </c>
    </row>
    <row r="82" spans="1:13" x14ac:dyDescent="0.25">
      <c r="A82" s="13">
        <v>12</v>
      </c>
      <c r="B82" s="91" t="s">
        <v>158</v>
      </c>
      <c r="C82" s="13">
        <v>14</v>
      </c>
      <c r="D82" s="35"/>
      <c r="E82" s="17" t="str">
        <f t="shared" si="12"/>
        <v/>
      </c>
      <c r="F82" s="17" t="str">
        <f t="shared" si="13"/>
        <v/>
      </c>
      <c r="H82" s="13">
        <v>12</v>
      </c>
      <c r="I82" s="91" t="s">
        <v>158</v>
      </c>
      <c r="J82" s="91" t="s">
        <v>214</v>
      </c>
      <c r="K82" s="35"/>
      <c r="L82" s="17" t="str">
        <f t="shared" si="14"/>
        <v/>
      </c>
      <c r="M82" s="17" t="str">
        <f t="shared" si="15"/>
        <v/>
      </c>
    </row>
    <row r="83" spans="1:13" x14ac:dyDescent="0.25">
      <c r="A83" s="13">
        <v>13</v>
      </c>
      <c r="B83" s="91" t="s">
        <v>158</v>
      </c>
      <c r="C83" s="13">
        <v>14</v>
      </c>
      <c r="D83" s="35"/>
      <c r="E83" s="17" t="str">
        <f t="shared" si="12"/>
        <v/>
      </c>
      <c r="F83" s="17" t="str">
        <f t="shared" si="13"/>
        <v/>
      </c>
      <c r="H83" s="13">
        <v>13</v>
      </c>
      <c r="I83" s="91" t="s">
        <v>158</v>
      </c>
      <c r="J83" s="91" t="s">
        <v>214</v>
      </c>
      <c r="K83" s="35"/>
      <c r="L83" s="17" t="str">
        <f t="shared" si="14"/>
        <v/>
      </c>
      <c r="M83" s="17" t="str">
        <f t="shared" si="15"/>
        <v/>
      </c>
    </row>
    <row r="84" spans="1:13" x14ac:dyDescent="0.25">
      <c r="A84" s="13">
        <v>14</v>
      </c>
      <c r="B84" s="91" t="s">
        <v>158</v>
      </c>
      <c r="C84" s="13">
        <v>14</v>
      </c>
      <c r="D84" s="35"/>
      <c r="E84" s="17" t="str">
        <f t="shared" si="12"/>
        <v/>
      </c>
      <c r="F84" s="17" t="str">
        <f t="shared" si="13"/>
        <v/>
      </c>
      <c r="H84" s="13">
        <v>14</v>
      </c>
      <c r="I84" s="91" t="s">
        <v>158</v>
      </c>
      <c r="J84" s="91" t="s">
        <v>214</v>
      </c>
      <c r="K84" s="35"/>
      <c r="L84" s="17" t="str">
        <f t="shared" si="14"/>
        <v/>
      </c>
      <c r="M84" s="17" t="str">
        <f t="shared" si="15"/>
        <v/>
      </c>
    </row>
    <row r="85" spans="1:13" x14ac:dyDescent="0.25">
      <c r="A85" s="13">
        <v>15</v>
      </c>
      <c r="B85" s="91" t="s">
        <v>158</v>
      </c>
      <c r="C85" s="13">
        <v>14</v>
      </c>
      <c r="D85" s="35"/>
      <c r="E85" s="17" t="str">
        <f t="shared" si="12"/>
        <v/>
      </c>
      <c r="F85" s="17" t="str">
        <f t="shared" si="13"/>
        <v/>
      </c>
      <c r="H85" s="13">
        <v>15</v>
      </c>
      <c r="I85" s="91" t="s">
        <v>158</v>
      </c>
      <c r="J85" s="91" t="s">
        <v>214</v>
      </c>
      <c r="K85" s="35"/>
      <c r="L85" s="17" t="str">
        <f t="shared" si="14"/>
        <v/>
      </c>
      <c r="M85" s="17" t="str">
        <f t="shared" si="15"/>
        <v/>
      </c>
    </row>
    <row r="86" spans="1:13" x14ac:dyDescent="0.25">
      <c r="A86" s="13">
        <v>16</v>
      </c>
      <c r="B86" s="91" t="s">
        <v>158</v>
      </c>
      <c r="C86" s="13">
        <v>14</v>
      </c>
      <c r="D86" s="35"/>
      <c r="E86" s="17" t="str">
        <f t="shared" si="12"/>
        <v/>
      </c>
      <c r="F86" s="17" t="str">
        <f t="shared" si="13"/>
        <v/>
      </c>
      <c r="H86" s="13">
        <v>16</v>
      </c>
      <c r="I86" s="91" t="s">
        <v>158</v>
      </c>
      <c r="J86" s="91" t="s">
        <v>214</v>
      </c>
      <c r="K86" s="35"/>
      <c r="L86" s="17" t="str">
        <f t="shared" si="14"/>
        <v/>
      </c>
      <c r="M86" s="17" t="str">
        <f t="shared" si="15"/>
        <v/>
      </c>
    </row>
    <row r="87" spans="1:13" x14ac:dyDescent="0.25">
      <c r="A87" s="13">
        <v>17</v>
      </c>
      <c r="B87" s="91" t="s">
        <v>158</v>
      </c>
      <c r="C87" s="13">
        <v>14</v>
      </c>
      <c r="D87" s="35"/>
      <c r="E87" s="17" t="str">
        <f t="shared" si="12"/>
        <v/>
      </c>
      <c r="F87" s="17" t="str">
        <f t="shared" si="13"/>
        <v/>
      </c>
      <c r="H87" s="13">
        <v>17</v>
      </c>
      <c r="I87" s="91" t="s">
        <v>158</v>
      </c>
      <c r="J87" s="91" t="s">
        <v>214</v>
      </c>
      <c r="K87" s="35"/>
      <c r="L87" s="17" t="str">
        <f t="shared" si="14"/>
        <v/>
      </c>
      <c r="M87" s="17" t="str">
        <f t="shared" si="15"/>
        <v/>
      </c>
    </row>
    <row r="88" spans="1:13" x14ac:dyDescent="0.25">
      <c r="A88" s="13">
        <v>18</v>
      </c>
      <c r="B88" s="91" t="s">
        <v>158</v>
      </c>
      <c r="C88" s="13">
        <v>14</v>
      </c>
      <c r="D88" s="35"/>
      <c r="E88" s="17" t="str">
        <f t="shared" si="12"/>
        <v/>
      </c>
      <c r="F88" s="17" t="str">
        <f t="shared" si="13"/>
        <v/>
      </c>
      <c r="H88" s="13">
        <v>18</v>
      </c>
      <c r="I88" s="91" t="s">
        <v>158</v>
      </c>
      <c r="J88" s="91" t="s">
        <v>214</v>
      </c>
      <c r="K88" s="35"/>
      <c r="L88" s="17" t="str">
        <f t="shared" si="14"/>
        <v/>
      </c>
      <c r="M88" s="17" t="str">
        <f t="shared" si="15"/>
        <v/>
      </c>
    </row>
    <row r="89" spans="1:13" x14ac:dyDescent="0.25">
      <c r="A89" s="13">
        <v>19</v>
      </c>
      <c r="B89" s="91" t="s">
        <v>158</v>
      </c>
      <c r="C89" s="13">
        <v>14</v>
      </c>
      <c r="D89" s="35"/>
      <c r="E89" s="17" t="str">
        <f t="shared" si="12"/>
        <v/>
      </c>
      <c r="F89" s="17" t="str">
        <f t="shared" si="13"/>
        <v/>
      </c>
      <c r="H89" s="13">
        <v>19</v>
      </c>
      <c r="I89" s="91" t="s">
        <v>158</v>
      </c>
      <c r="J89" s="91" t="s">
        <v>214</v>
      </c>
      <c r="K89" s="35"/>
      <c r="L89" s="17" t="str">
        <f t="shared" si="14"/>
        <v/>
      </c>
      <c r="M89" s="17" t="str">
        <f t="shared" si="15"/>
        <v/>
      </c>
    </row>
    <row r="90" spans="1:13" x14ac:dyDescent="0.25">
      <c r="A90" s="13">
        <v>20</v>
      </c>
      <c r="B90" s="91" t="s">
        <v>158</v>
      </c>
      <c r="C90" s="13">
        <v>14</v>
      </c>
      <c r="D90" s="35"/>
      <c r="E90" s="17" t="str">
        <f t="shared" si="12"/>
        <v/>
      </c>
      <c r="F90" s="17" t="str">
        <f t="shared" si="13"/>
        <v/>
      </c>
      <c r="H90" s="13">
        <v>20</v>
      </c>
      <c r="I90" s="91" t="s">
        <v>158</v>
      </c>
      <c r="J90" s="91" t="s">
        <v>214</v>
      </c>
      <c r="K90" s="35"/>
      <c r="L90" s="17" t="str">
        <f t="shared" si="14"/>
        <v/>
      </c>
      <c r="M90" s="17" t="str">
        <f t="shared" si="15"/>
        <v/>
      </c>
    </row>
    <row r="91" spans="1:13" x14ac:dyDescent="0.25">
      <c r="A91" s="4" t="s">
        <v>220</v>
      </c>
      <c r="B91" s="12"/>
      <c r="C91" s="12"/>
      <c r="D91" s="4"/>
      <c r="E91" s="4"/>
      <c r="F91" s="4"/>
      <c r="H91" s="4" t="s">
        <v>224</v>
      </c>
      <c r="I91" s="12"/>
      <c r="J91" s="12"/>
      <c r="K91" s="4"/>
      <c r="L91" s="4"/>
      <c r="M91" s="4"/>
    </row>
    <row r="92" spans="1:13" ht="23.25" x14ac:dyDescent="0.25">
      <c r="A92" s="15" t="s">
        <v>0</v>
      </c>
      <c r="B92" s="15" t="s">
        <v>55</v>
      </c>
      <c r="C92" s="15" t="s">
        <v>56</v>
      </c>
      <c r="D92" s="16" t="s">
        <v>8</v>
      </c>
      <c r="E92" s="15" t="s">
        <v>2</v>
      </c>
      <c r="F92" s="15" t="s">
        <v>1</v>
      </c>
      <c r="H92" s="15" t="s">
        <v>0</v>
      </c>
      <c r="I92" s="15" t="s">
        <v>55</v>
      </c>
      <c r="J92" s="15" t="s">
        <v>56</v>
      </c>
      <c r="K92" s="16" t="s">
        <v>8</v>
      </c>
      <c r="L92" s="15" t="s">
        <v>2</v>
      </c>
      <c r="M92" s="15" t="s">
        <v>1</v>
      </c>
    </row>
    <row r="93" spans="1:13" x14ac:dyDescent="0.25">
      <c r="A93" s="13">
        <v>1</v>
      </c>
      <c r="B93" s="91" t="s">
        <v>158</v>
      </c>
      <c r="C93" s="91" t="s">
        <v>215</v>
      </c>
      <c r="D93" s="35"/>
      <c r="E93" s="17" t="str">
        <f t="shared" ref="E93:E112" si="16">IF(D93&gt;0,VLOOKUP(D93,Jumpers,3),"")</f>
        <v/>
      </c>
      <c r="F93" s="17" t="str">
        <f t="shared" ref="F93:F112" si="17">IF(D93&gt;0,VLOOKUP(D93,Jumpers,2),"")</f>
        <v/>
      </c>
      <c r="H93" s="13">
        <v>1</v>
      </c>
      <c r="I93" s="91" t="s">
        <v>158</v>
      </c>
      <c r="J93" s="91" t="s">
        <v>216</v>
      </c>
      <c r="K93" s="35"/>
      <c r="L93" s="17" t="str">
        <f t="shared" ref="L93:L112" si="18">IF(K93&gt;0,VLOOKUP(K93,Jumpers,3),"")</f>
        <v/>
      </c>
      <c r="M93" s="17" t="str">
        <f t="shared" ref="M93:M112" si="19">IF(K93&gt;0,VLOOKUP(K93,Jumpers,2),"")</f>
        <v/>
      </c>
    </row>
    <row r="94" spans="1:13" x14ac:dyDescent="0.25">
      <c r="A94" s="13">
        <v>2</v>
      </c>
      <c r="B94" s="91" t="s">
        <v>158</v>
      </c>
      <c r="C94" s="91" t="s">
        <v>215</v>
      </c>
      <c r="D94" s="35"/>
      <c r="E94" s="17" t="str">
        <f t="shared" si="16"/>
        <v/>
      </c>
      <c r="F94" s="17" t="str">
        <f t="shared" si="17"/>
        <v/>
      </c>
      <c r="H94" s="13">
        <v>2</v>
      </c>
      <c r="I94" s="91" t="s">
        <v>158</v>
      </c>
      <c r="J94" s="91" t="s">
        <v>216</v>
      </c>
      <c r="K94" s="35"/>
      <c r="L94" s="17" t="str">
        <f t="shared" si="18"/>
        <v/>
      </c>
      <c r="M94" s="17" t="str">
        <f t="shared" si="19"/>
        <v/>
      </c>
    </row>
    <row r="95" spans="1:13" x14ac:dyDescent="0.25">
      <c r="A95" s="13">
        <v>3</v>
      </c>
      <c r="B95" s="91" t="s">
        <v>158</v>
      </c>
      <c r="C95" s="91" t="s">
        <v>215</v>
      </c>
      <c r="D95" s="35"/>
      <c r="E95" s="17" t="str">
        <f t="shared" si="16"/>
        <v/>
      </c>
      <c r="F95" s="17" t="str">
        <f t="shared" si="17"/>
        <v/>
      </c>
      <c r="H95" s="13">
        <v>3</v>
      </c>
      <c r="I95" s="91" t="s">
        <v>158</v>
      </c>
      <c r="J95" s="91" t="s">
        <v>216</v>
      </c>
      <c r="K95" s="35"/>
      <c r="L95" s="17" t="str">
        <f t="shared" si="18"/>
        <v/>
      </c>
      <c r="M95" s="17" t="str">
        <f t="shared" si="19"/>
        <v/>
      </c>
    </row>
    <row r="96" spans="1:13" x14ac:dyDescent="0.25">
      <c r="A96" s="13">
        <v>4</v>
      </c>
      <c r="B96" s="91" t="s">
        <v>158</v>
      </c>
      <c r="C96" s="91" t="s">
        <v>215</v>
      </c>
      <c r="D96" s="35"/>
      <c r="E96" s="17" t="str">
        <f t="shared" si="16"/>
        <v/>
      </c>
      <c r="F96" s="17" t="str">
        <f t="shared" si="17"/>
        <v/>
      </c>
      <c r="H96" s="13">
        <v>4</v>
      </c>
      <c r="I96" s="91" t="s">
        <v>158</v>
      </c>
      <c r="J96" s="91" t="s">
        <v>216</v>
      </c>
      <c r="K96" s="35"/>
      <c r="L96" s="17" t="str">
        <f t="shared" si="18"/>
        <v/>
      </c>
      <c r="M96" s="17" t="str">
        <f t="shared" si="19"/>
        <v/>
      </c>
    </row>
    <row r="97" spans="1:13" x14ac:dyDescent="0.25">
      <c r="A97" s="13">
        <v>5</v>
      </c>
      <c r="B97" s="91" t="s">
        <v>158</v>
      </c>
      <c r="C97" s="91" t="s">
        <v>215</v>
      </c>
      <c r="D97" s="35"/>
      <c r="E97" s="17" t="str">
        <f t="shared" si="16"/>
        <v/>
      </c>
      <c r="F97" s="17" t="str">
        <f t="shared" si="17"/>
        <v/>
      </c>
      <c r="H97" s="13">
        <v>5</v>
      </c>
      <c r="I97" s="91" t="s">
        <v>158</v>
      </c>
      <c r="J97" s="91" t="s">
        <v>216</v>
      </c>
      <c r="K97" s="35"/>
      <c r="L97" s="17" t="str">
        <f t="shared" si="18"/>
        <v/>
      </c>
      <c r="M97" s="17" t="str">
        <f t="shared" si="19"/>
        <v/>
      </c>
    </row>
    <row r="98" spans="1:13" x14ac:dyDescent="0.25">
      <c r="A98" s="13">
        <v>6</v>
      </c>
      <c r="B98" s="91" t="s">
        <v>158</v>
      </c>
      <c r="C98" s="91" t="s">
        <v>215</v>
      </c>
      <c r="D98" s="35"/>
      <c r="E98" s="17" t="str">
        <f t="shared" si="16"/>
        <v/>
      </c>
      <c r="F98" s="17" t="str">
        <f t="shared" si="17"/>
        <v/>
      </c>
      <c r="H98" s="13">
        <v>6</v>
      </c>
      <c r="I98" s="91" t="s">
        <v>158</v>
      </c>
      <c r="J98" s="91" t="s">
        <v>216</v>
      </c>
      <c r="K98" s="35"/>
      <c r="L98" s="17" t="str">
        <f t="shared" si="18"/>
        <v/>
      </c>
      <c r="M98" s="17" t="str">
        <f t="shared" si="19"/>
        <v/>
      </c>
    </row>
    <row r="99" spans="1:13" x14ac:dyDescent="0.25">
      <c r="A99" s="13">
        <v>7</v>
      </c>
      <c r="B99" s="91" t="s">
        <v>158</v>
      </c>
      <c r="C99" s="91" t="s">
        <v>215</v>
      </c>
      <c r="D99" s="35"/>
      <c r="E99" s="17" t="str">
        <f t="shared" si="16"/>
        <v/>
      </c>
      <c r="F99" s="17" t="str">
        <f t="shared" si="17"/>
        <v/>
      </c>
      <c r="H99" s="13">
        <v>7</v>
      </c>
      <c r="I99" s="91" t="s">
        <v>158</v>
      </c>
      <c r="J99" s="91" t="s">
        <v>216</v>
      </c>
      <c r="K99" s="35"/>
      <c r="L99" s="17" t="str">
        <f t="shared" si="18"/>
        <v/>
      </c>
      <c r="M99" s="17" t="str">
        <f t="shared" si="19"/>
        <v/>
      </c>
    </row>
    <row r="100" spans="1:13" x14ac:dyDescent="0.25">
      <c r="A100" s="13">
        <v>8</v>
      </c>
      <c r="B100" s="91" t="s">
        <v>158</v>
      </c>
      <c r="C100" s="91" t="s">
        <v>215</v>
      </c>
      <c r="D100" s="35"/>
      <c r="E100" s="17" t="str">
        <f t="shared" si="16"/>
        <v/>
      </c>
      <c r="F100" s="17" t="str">
        <f t="shared" si="17"/>
        <v/>
      </c>
      <c r="H100" s="13">
        <v>8</v>
      </c>
      <c r="I100" s="91" t="s">
        <v>158</v>
      </c>
      <c r="J100" s="91" t="s">
        <v>216</v>
      </c>
      <c r="K100" s="35"/>
      <c r="L100" s="17" t="str">
        <f t="shared" si="18"/>
        <v/>
      </c>
      <c r="M100" s="17" t="str">
        <f t="shared" si="19"/>
        <v/>
      </c>
    </row>
    <row r="101" spans="1:13" x14ac:dyDescent="0.25">
      <c r="A101" s="13">
        <v>9</v>
      </c>
      <c r="B101" s="91" t="s">
        <v>158</v>
      </c>
      <c r="C101" s="91" t="s">
        <v>215</v>
      </c>
      <c r="D101" s="35"/>
      <c r="E101" s="17" t="str">
        <f t="shared" si="16"/>
        <v/>
      </c>
      <c r="F101" s="17" t="str">
        <f t="shared" si="17"/>
        <v/>
      </c>
      <c r="H101" s="13">
        <v>9</v>
      </c>
      <c r="I101" s="91" t="s">
        <v>158</v>
      </c>
      <c r="J101" s="91" t="s">
        <v>216</v>
      </c>
      <c r="K101" s="35"/>
      <c r="L101" s="17" t="str">
        <f t="shared" si="18"/>
        <v/>
      </c>
      <c r="M101" s="17" t="str">
        <f t="shared" si="19"/>
        <v/>
      </c>
    </row>
    <row r="102" spans="1:13" x14ac:dyDescent="0.25">
      <c r="A102" s="13">
        <v>10</v>
      </c>
      <c r="B102" s="91" t="s">
        <v>158</v>
      </c>
      <c r="C102" s="91" t="s">
        <v>215</v>
      </c>
      <c r="D102" s="35"/>
      <c r="E102" s="17" t="str">
        <f t="shared" si="16"/>
        <v/>
      </c>
      <c r="F102" s="17" t="str">
        <f t="shared" si="17"/>
        <v/>
      </c>
      <c r="H102" s="13">
        <v>10</v>
      </c>
      <c r="I102" s="91" t="s">
        <v>158</v>
      </c>
      <c r="J102" s="91" t="s">
        <v>216</v>
      </c>
      <c r="K102" s="35"/>
      <c r="L102" s="17" t="str">
        <f t="shared" si="18"/>
        <v/>
      </c>
      <c r="M102" s="17" t="str">
        <f t="shared" si="19"/>
        <v/>
      </c>
    </row>
    <row r="103" spans="1:13" x14ac:dyDescent="0.25">
      <c r="A103" s="13">
        <v>11</v>
      </c>
      <c r="B103" s="91" t="s">
        <v>158</v>
      </c>
      <c r="C103" s="91" t="s">
        <v>215</v>
      </c>
      <c r="D103" s="35"/>
      <c r="E103" s="17" t="str">
        <f t="shared" si="16"/>
        <v/>
      </c>
      <c r="F103" s="17" t="str">
        <f t="shared" si="17"/>
        <v/>
      </c>
      <c r="H103" s="13">
        <v>11</v>
      </c>
      <c r="I103" s="91" t="s">
        <v>158</v>
      </c>
      <c r="J103" s="91" t="s">
        <v>216</v>
      </c>
      <c r="K103" s="35"/>
      <c r="L103" s="17" t="str">
        <f t="shared" si="18"/>
        <v/>
      </c>
      <c r="M103" s="17" t="str">
        <f t="shared" si="19"/>
        <v/>
      </c>
    </row>
    <row r="104" spans="1:13" x14ac:dyDescent="0.25">
      <c r="A104" s="13">
        <v>12</v>
      </c>
      <c r="B104" s="91" t="s">
        <v>158</v>
      </c>
      <c r="C104" s="91" t="s">
        <v>215</v>
      </c>
      <c r="D104" s="35"/>
      <c r="E104" s="17" t="str">
        <f t="shared" si="16"/>
        <v/>
      </c>
      <c r="F104" s="17" t="str">
        <f t="shared" si="17"/>
        <v/>
      </c>
      <c r="H104" s="13">
        <v>12</v>
      </c>
      <c r="I104" s="91" t="s">
        <v>158</v>
      </c>
      <c r="J104" s="91" t="s">
        <v>216</v>
      </c>
      <c r="K104" s="35"/>
      <c r="L104" s="17" t="str">
        <f t="shared" si="18"/>
        <v/>
      </c>
      <c r="M104" s="17" t="str">
        <f t="shared" si="19"/>
        <v/>
      </c>
    </row>
    <row r="105" spans="1:13" x14ac:dyDescent="0.25">
      <c r="A105" s="13">
        <v>13</v>
      </c>
      <c r="B105" s="91" t="s">
        <v>158</v>
      </c>
      <c r="C105" s="91" t="s">
        <v>215</v>
      </c>
      <c r="D105" s="35"/>
      <c r="E105" s="17" t="str">
        <f t="shared" si="16"/>
        <v/>
      </c>
      <c r="F105" s="17" t="str">
        <f t="shared" si="17"/>
        <v/>
      </c>
      <c r="H105" s="13">
        <v>13</v>
      </c>
      <c r="I105" s="91" t="s">
        <v>158</v>
      </c>
      <c r="J105" s="91" t="s">
        <v>216</v>
      </c>
      <c r="K105" s="35"/>
      <c r="L105" s="17" t="str">
        <f t="shared" si="18"/>
        <v/>
      </c>
      <c r="M105" s="17" t="str">
        <f t="shared" si="19"/>
        <v/>
      </c>
    </row>
    <row r="106" spans="1:13" x14ac:dyDescent="0.25">
      <c r="A106" s="13">
        <v>14</v>
      </c>
      <c r="B106" s="91" t="s">
        <v>158</v>
      </c>
      <c r="C106" s="91" t="s">
        <v>215</v>
      </c>
      <c r="D106" s="35"/>
      <c r="E106" s="17" t="str">
        <f t="shared" si="16"/>
        <v/>
      </c>
      <c r="F106" s="17" t="str">
        <f t="shared" si="17"/>
        <v/>
      </c>
      <c r="H106" s="13">
        <v>14</v>
      </c>
      <c r="I106" s="91" t="s">
        <v>158</v>
      </c>
      <c r="J106" s="91" t="s">
        <v>216</v>
      </c>
      <c r="K106" s="35"/>
      <c r="L106" s="17" t="str">
        <f t="shared" si="18"/>
        <v/>
      </c>
      <c r="M106" s="17" t="str">
        <f t="shared" si="19"/>
        <v/>
      </c>
    </row>
    <row r="107" spans="1:13" x14ac:dyDescent="0.25">
      <c r="A107" s="13">
        <v>15</v>
      </c>
      <c r="B107" s="91" t="s">
        <v>158</v>
      </c>
      <c r="C107" s="91" t="s">
        <v>215</v>
      </c>
      <c r="D107" s="35"/>
      <c r="E107" s="17" t="str">
        <f t="shared" si="16"/>
        <v/>
      </c>
      <c r="F107" s="17" t="str">
        <f t="shared" si="17"/>
        <v/>
      </c>
      <c r="H107" s="13">
        <v>15</v>
      </c>
      <c r="I107" s="91" t="s">
        <v>158</v>
      </c>
      <c r="J107" s="91" t="s">
        <v>216</v>
      </c>
      <c r="K107" s="35"/>
      <c r="L107" s="17" t="str">
        <f t="shared" si="18"/>
        <v/>
      </c>
      <c r="M107" s="17" t="str">
        <f t="shared" si="19"/>
        <v/>
      </c>
    </row>
    <row r="108" spans="1:13" x14ac:dyDescent="0.25">
      <c r="A108" s="13">
        <v>16</v>
      </c>
      <c r="B108" s="91" t="s">
        <v>158</v>
      </c>
      <c r="C108" s="91" t="s">
        <v>215</v>
      </c>
      <c r="D108" s="35"/>
      <c r="E108" s="17" t="str">
        <f t="shared" si="16"/>
        <v/>
      </c>
      <c r="F108" s="17" t="str">
        <f t="shared" si="17"/>
        <v/>
      </c>
      <c r="H108" s="13">
        <v>16</v>
      </c>
      <c r="I108" s="91" t="s">
        <v>158</v>
      </c>
      <c r="J108" s="91" t="s">
        <v>216</v>
      </c>
      <c r="K108" s="35"/>
      <c r="L108" s="17" t="str">
        <f t="shared" si="18"/>
        <v/>
      </c>
      <c r="M108" s="17" t="str">
        <f t="shared" si="19"/>
        <v/>
      </c>
    </row>
    <row r="109" spans="1:13" x14ac:dyDescent="0.25">
      <c r="A109" s="13">
        <v>17</v>
      </c>
      <c r="B109" s="91" t="s">
        <v>158</v>
      </c>
      <c r="C109" s="91" t="s">
        <v>215</v>
      </c>
      <c r="D109" s="35"/>
      <c r="E109" s="17" t="str">
        <f t="shared" si="16"/>
        <v/>
      </c>
      <c r="F109" s="17" t="str">
        <f t="shared" si="17"/>
        <v/>
      </c>
      <c r="H109" s="13">
        <v>17</v>
      </c>
      <c r="I109" s="91" t="s">
        <v>158</v>
      </c>
      <c r="J109" s="91" t="s">
        <v>216</v>
      </c>
      <c r="K109" s="35"/>
      <c r="L109" s="17" t="str">
        <f t="shared" si="18"/>
        <v/>
      </c>
      <c r="M109" s="17" t="str">
        <f t="shared" si="19"/>
        <v/>
      </c>
    </row>
    <row r="110" spans="1:13" x14ac:dyDescent="0.25">
      <c r="A110" s="13">
        <v>18</v>
      </c>
      <c r="B110" s="91" t="s">
        <v>158</v>
      </c>
      <c r="C110" s="91" t="s">
        <v>215</v>
      </c>
      <c r="D110" s="35"/>
      <c r="E110" s="17" t="str">
        <f t="shared" si="16"/>
        <v/>
      </c>
      <c r="F110" s="17" t="str">
        <f t="shared" si="17"/>
        <v/>
      </c>
      <c r="H110" s="13">
        <v>18</v>
      </c>
      <c r="I110" s="91" t="s">
        <v>158</v>
      </c>
      <c r="J110" s="91" t="s">
        <v>216</v>
      </c>
      <c r="K110" s="35"/>
      <c r="L110" s="17" t="str">
        <f t="shared" si="18"/>
        <v/>
      </c>
      <c r="M110" s="17" t="str">
        <f t="shared" si="19"/>
        <v/>
      </c>
    </row>
    <row r="111" spans="1:13" x14ac:dyDescent="0.25">
      <c r="A111" s="13">
        <v>19</v>
      </c>
      <c r="B111" s="91" t="s">
        <v>158</v>
      </c>
      <c r="C111" s="91" t="s">
        <v>215</v>
      </c>
      <c r="D111" s="35"/>
      <c r="E111" s="17" t="str">
        <f t="shared" si="16"/>
        <v/>
      </c>
      <c r="F111" s="17" t="str">
        <f t="shared" si="17"/>
        <v/>
      </c>
      <c r="H111" s="13">
        <v>19</v>
      </c>
      <c r="I111" s="91" t="s">
        <v>158</v>
      </c>
      <c r="J111" s="91" t="s">
        <v>216</v>
      </c>
      <c r="K111" s="35"/>
      <c r="L111" s="17" t="str">
        <f t="shared" si="18"/>
        <v/>
      </c>
      <c r="M111" s="17" t="str">
        <f t="shared" si="19"/>
        <v/>
      </c>
    </row>
    <row r="112" spans="1:13" x14ac:dyDescent="0.25">
      <c r="A112" s="13">
        <v>20</v>
      </c>
      <c r="B112" s="91" t="s">
        <v>158</v>
      </c>
      <c r="C112" s="91" t="s">
        <v>215</v>
      </c>
      <c r="D112" s="35"/>
      <c r="E112" s="17" t="str">
        <f t="shared" si="16"/>
        <v/>
      </c>
      <c r="F112" s="17" t="str">
        <f t="shared" si="17"/>
        <v/>
      </c>
      <c r="H112" s="13">
        <v>20</v>
      </c>
      <c r="I112" s="91" t="s">
        <v>158</v>
      </c>
      <c r="J112" s="91" t="s">
        <v>216</v>
      </c>
      <c r="K112" s="35"/>
      <c r="L112" s="17" t="str">
        <f t="shared" si="18"/>
        <v/>
      </c>
      <c r="M112" s="17" t="str">
        <f t="shared" si="19"/>
        <v/>
      </c>
    </row>
    <row r="113" spans="1:13" x14ac:dyDescent="0.25">
      <c r="A113" s="4" t="s">
        <v>12</v>
      </c>
      <c r="B113" s="12"/>
      <c r="C113" s="12"/>
      <c r="D113" s="4"/>
      <c r="E113" s="4"/>
      <c r="F113" s="4"/>
      <c r="H113" s="4" t="s">
        <v>58</v>
      </c>
      <c r="I113" s="12"/>
      <c r="J113" s="12"/>
      <c r="K113" s="4"/>
      <c r="L113" s="4"/>
      <c r="M113" s="4"/>
    </row>
    <row r="114" spans="1:13" ht="23.25" x14ac:dyDescent="0.25">
      <c r="A114" s="15" t="s">
        <v>0</v>
      </c>
      <c r="B114" s="15" t="s">
        <v>55</v>
      </c>
      <c r="C114" s="15" t="s">
        <v>56</v>
      </c>
      <c r="D114" s="16" t="s">
        <v>8</v>
      </c>
      <c r="E114" s="15" t="s">
        <v>2</v>
      </c>
      <c r="F114" s="15" t="s">
        <v>1</v>
      </c>
      <c r="H114" s="15" t="s">
        <v>0</v>
      </c>
      <c r="I114" s="15" t="s">
        <v>55</v>
      </c>
      <c r="J114" s="15" t="s">
        <v>56</v>
      </c>
      <c r="K114" s="16" t="s">
        <v>8</v>
      </c>
      <c r="L114" s="15" t="s">
        <v>2</v>
      </c>
      <c r="M114" s="15" t="s">
        <v>1</v>
      </c>
    </row>
    <row r="115" spans="1:13" x14ac:dyDescent="0.25">
      <c r="A115" s="3">
        <v>1</v>
      </c>
      <c r="B115" s="91" t="s">
        <v>158</v>
      </c>
      <c r="C115" s="13" t="s">
        <v>50</v>
      </c>
      <c r="D115" s="35"/>
      <c r="E115" s="17" t="str">
        <f t="shared" ref="E115:E122" si="20">IF(D115&gt;0,VLOOKUP(D115,Jumpers,3),"")</f>
        <v/>
      </c>
      <c r="F115" s="17" t="str">
        <f t="shared" ref="F115:F122" si="21">IF(D115&gt;0,VLOOKUP(D115,Jumpers,2),"")</f>
        <v/>
      </c>
      <c r="H115" s="3">
        <v>1</v>
      </c>
      <c r="I115" s="91" t="s">
        <v>158</v>
      </c>
      <c r="J115" s="13" t="s">
        <v>51</v>
      </c>
      <c r="K115" s="35"/>
      <c r="L115" s="17" t="str">
        <f t="shared" ref="L115:L122" si="22">IF(K115&gt;0,VLOOKUP(K115,Jumpers,3),"")</f>
        <v/>
      </c>
      <c r="M115" s="17" t="str">
        <f t="shared" ref="M115:M122" si="23">IF(K115&gt;0,VLOOKUP(K115,Jumpers,2),"")</f>
        <v/>
      </c>
    </row>
    <row r="116" spans="1:13" x14ac:dyDescent="0.25">
      <c r="A116" s="3">
        <v>2</v>
      </c>
      <c r="B116" s="91" t="s">
        <v>158</v>
      </c>
      <c r="C116" s="13" t="s">
        <v>50</v>
      </c>
      <c r="D116" s="35"/>
      <c r="E116" s="17" t="str">
        <f t="shared" si="20"/>
        <v/>
      </c>
      <c r="F116" s="17" t="str">
        <f t="shared" si="21"/>
        <v/>
      </c>
      <c r="H116" s="3">
        <v>2</v>
      </c>
      <c r="I116" s="91" t="s">
        <v>158</v>
      </c>
      <c r="J116" s="13" t="s">
        <v>51</v>
      </c>
      <c r="K116" s="35"/>
      <c r="L116" s="17" t="str">
        <f t="shared" si="22"/>
        <v/>
      </c>
      <c r="M116" s="17" t="str">
        <f t="shared" si="23"/>
        <v/>
      </c>
    </row>
    <row r="117" spans="1:13" x14ac:dyDescent="0.25">
      <c r="A117" s="3">
        <v>3</v>
      </c>
      <c r="B117" s="91" t="s">
        <v>158</v>
      </c>
      <c r="C117" s="13" t="s">
        <v>50</v>
      </c>
      <c r="D117" s="35"/>
      <c r="E117" s="17" t="str">
        <f t="shared" si="20"/>
        <v/>
      </c>
      <c r="F117" s="17" t="str">
        <f t="shared" si="21"/>
        <v/>
      </c>
      <c r="H117" s="3">
        <v>3</v>
      </c>
      <c r="I117" s="91" t="s">
        <v>158</v>
      </c>
      <c r="J117" s="13" t="s">
        <v>51</v>
      </c>
      <c r="K117" s="35"/>
      <c r="L117" s="17" t="str">
        <f t="shared" si="22"/>
        <v/>
      </c>
      <c r="M117" s="17" t="str">
        <f t="shared" si="23"/>
        <v/>
      </c>
    </row>
    <row r="118" spans="1:13" x14ac:dyDescent="0.25">
      <c r="A118" s="3">
        <v>4</v>
      </c>
      <c r="B118" s="91" t="s">
        <v>158</v>
      </c>
      <c r="C118" s="13" t="s">
        <v>50</v>
      </c>
      <c r="D118" s="35"/>
      <c r="E118" s="17" t="str">
        <f t="shared" si="20"/>
        <v/>
      </c>
      <c r="F118" s="17" t="str">
        <f t="shared" si="21"/>
        <v/>
      </c>
      <c r="H118" s="3">
        <v>4</v>
      </c>
      <c r="I118" s="91" t="s">
        <v>158</v>
      </c>
      <c r="J118" s="13" t="s">
        <v>51</v>
      </c>
      <c r="K118" s="35"/>
      <c r="L118" s="17" t="str">
        <f t="shared" si="22"/>
        <v/>
      </c>
      <c r="M118" s="17" t="str">
        <f t="shared" si="23"/>
        <v/>
      </c>
    </row>
    <row r="119" spans="1:13" x14ac:dyDescent="0.25">
      <c r="A119" s="3">
        <v>5</v>
      </c>
      <c r="B119" s="91" t="s">
        <v>158</v>
      </c>
      <c r="C119" s="13" t="s">
        <v>50</v>
      </c>
      <c r="D119" s="35"/>
      <c r="E119" s="17" t="str">
        <f t="shared" si="20"/>
        <v/>
      </c>
      <c r="F119" s="17" t="str">
        <f t="shared" si="21"/>
        <v/>
      </c>
      <c r="H119" s="3">
        <v>5</v>
      </c>
      <c r="I119" s="91" t="s">
        <v>158</v>
      </c>
      <c r="J119" s="13" t="s">
        <v>51</v>
      </c>
      <c r="K119" s="35"/>
      <c r="L119" s="17" t="str">
        <f t="shared" si="22"/>
        <v/>
      </c>
      <c r="M119" s="17" t="str">
        <f t="shared" si="23"/>
        <v/>
      </c>
    </row>
    <row r="120" spans="1:13" x14ac:dyDescent="0.25">
      <c r="A120" s="3">
        <v>6</v>
      </c>
      <c r="B120" s="91" t="s">
        <v>158</v>
      </c>
      <c r="C120" s="13" t="s">
        <v>50</v>
      </c>
      <c r="D120" s="35"/>
      <c r="E120" s="17" t="str">
        <f t="shared" si="20"/>
        <v/>
      </c>
      <c r="F120" s="17" t="str">
        <f t="shared" si="21"/>
        <v/>
      </c>
      <c r="H120" s="3">
        <v>6</v>
      </c>
      <c r="I120" s="91" t="s">
        <v>158</v>
      </c>
      <c r="J120" s="13" t="s">
        <v>51</v>
      </c>
      <c r="K120" s="35"/>
      <c r="L120" s="17" t="str">
        <f t="shared" si="22"/>
        <v/>
      </c>
      <c r="M120" s="17" t="str">
        <f t="shared" si="23"/>
        <v/>
      </c>
    </row>
    <row r="121" spans="1:13" x14ac:dyDescent="0.25">
      <c r="A121" s="3">
        <v>7</v>
      </c>
      <c r="B121" s="91" t="s">
        <v>158</v>
      </c>
      <c r="C121" s="13" t="s">
        <v>50</v>
      </c>
      <c r="D121" s="35"/>
      <c r="E121" s="17" t="str">
        <f t="shared" si="20"/>
        <v/>
      </c>
      <c r="F121" s="17" t="str">
        <f t="shared" si="21"/>
        <v/>
      </c>
      <c r="H121" s="3">
        <v>7</v>
      </c>
      <c r="I121" s="91" t="s">
        <v>158</v>
      </c>
      <c r="J121" s="13" t="s">
        <v>51</v>
      </c>
      <c r="K121" s="35"/>
      <c r="L121" s="17" t="str">
        <f t="shared" si="22"/>
        <v/>
      </c>
      <c r="M121" s="17" t="str">
        <f t="shared" si="23"/>
        <v/>
      </c>
    </row>
    <row r="122" spans="1:13" x14ac:dyDescent="0.25">
      <c r="A122" s="3">
        <v>8</v>
      </c>
      <c r="B122" s="91" t="s">
        <v>158</v>
      </c>
      <c r="C122" s="13" t="s">
        <v>50</v>
      </c>
      <c r="D122" s="35"/>
      <c r="E122" s="17" t="str">
        <f t="shared" si="20"/>
        <v/>
      </c>
      <c r="F122" s="17" t="str">
        <f t="shared" si="21"/>
        <v/>
      </c>
      <c r="H122" s="3">
        <v>8</v>
      </c>
      <c r="I122" s="91" t="s">
        <v>158</v>
      </c>
      <c r="J122" s="13" t="s">
        <v>51</v>
      </c>
      <c r="K122" s="35"/>
      <c r="L122" s="17" t="str">
        <f t="shared" si="22"/>
        <v/>
      </c>
      <c r="M122" s="17" t="str">
        <f t="shared" si="23"/>
        <v/>
      </c>
    </row>
    <row r="123" spans="1:13" x14ac:dyDescent="0.25">
      <c r="A123" s="4" t="s">
        <v>13</v>
      </c>
      <c r="B123" s="12"/>
      <c r="C123" s="12"/>
      <c r="D123" s="4"/>
      <c r="E123" s="4"/>
      <c r="F123" s="4"/>
    </row>
    <row r="124" spans="1:13" ht="23.25" x14ac:dyDescent="0.25">
      <c r="A124" s="15" t="s">
        <v>0</v>
      </c>
      <c r="B124" s="15" t="s">
        <v>55</v>
      </c>
      <c r="C124" s="15" t="s">
        <v>56</v>
      </c>
      <c r="D124" s="16" t="s">
        <v>8</v>
      </c>
      <c r="E124" s="15" t="s">
        <v>2</v>
      </c>
      <c r="F124" s="15" t="s">
        <v>1</v>
      </c>
    </row>
    <row r="125" spans="1:13" x14ac:dyDescent="0.25">
      <c r="A125" s="3">
        <v>1</v>
      </c>
      <c r="B125" s="91" t="s">
        <v>158</v>
      </c>
      <c r="C125" s="13" t="s">
        <v>52</v>
      </c>
      <c r="D125" s="35"/>
      <c r="E125" s="17" t="str">
        <f>IF(D125&gt;0,VLOOKUP(D125,Jumpers,3),"")</f>
        <v/>
      </c>
      <c r="F125" s="17" t="str">
        <f>IF(D125&gt;0,VLOOKUP(D125,Jumpers,2),"")</f>
        <v/>
      </c>
    </row>
    <row r="126" spans="1:13" x14ac:dyDescent="0.25">
      <c r="A126" s="3">
        <v>2</v>
      </c>
      <c r="B126" s="91" t="s">
        <v>158</v>
      </c>
      <c r="C126" s="13" t="s">
        <v>52</v>
      </c>
      <c r="D126" s="35"/>
      <c r="E126" s="17" t="str">
        <f>IF(D126&gt;0,VLOOKUP(D126,Jumpers,3),"")</f>
        <v/>
      </c>
      <c r="F126" s="17" t="str">
        <f>IF(D126&gt;0,VLOOKUP(D126,Jumpers,2),"")</f>
        <v/>
      </c>
    </row>
    <row r="127" spans="1:13" x14ac:dyDescent="0.25">
      <c r="A127" s="3">
        <v>3</v>
      </c>
      <c r="B127" s="91" t="s">
        <v>158</v>
      </c>
      <c r="C127" s="13" t="s">
        <v>52</v>
      </c>
      <c r="D127" s="35"/>
      <c r="E127" s="17" t="str">
        <f>IF(D127&gt;0,VLOOKUP(D127,Jumpers,3),"")</f>
        <v/>
      </c>
      <c r="F127" s="17" t="str">
        <f>IF(D127&gt;0,VLOOKUP(D127,Jumpers,2),"")</f>
        <v/>
      </c>
    </row>
    <row r="128" spans="1:13" x14ac:dyDescent="0.25">
      <c r="A128" s="3">
        <v>4</v>
      </c>
      <c r="B128" s="91" t="s">
        <v>158</v>
      </c>
      <c r="C128" s="13" t="s">
        <v>52</v>
      </c>
      <c r="D128" s="35"/>
      <c r="E128" s="17" t="str">
        <f>IF(D128&gt;0,VLOOKUP(D128,Jumpers,3),"")</f>
        <v/>
      </c>
      <c r="F128" s="17" t="str">
        <f>IF(D128&gt;0,VLOOKUP(D128,Jumpers,2),"")</f>
        <v/>
      </c>
    </row>
    <row r="129" spans="1:6" x14ac:dyDescent="0.25">
      <c r="A129" s="3">
        <v>5</v>
      </c>
      <c r="B129" s="91" t="s">
        <v>158</v>
      </c>
      <c r="C129" s="13" t="s">
        <v>52</v>
      </c>
      <c r="D129" s="35"/>
      <c r="E129" s="17" t="str">
        <f>IF(D129&gt;0,VLOOKUP(D129,Jumpers,3),"")</f>
        <v/>
      </c>
      <c r="F129" s="17" t="str">
        <f>IF(D129&gt;0,VLOOKUP(D129,Jumpers,2),"")</f>
        <v/>
      </c>
    </row>
  </sheetData>
  <sheetProtection password="CE88" sheet="1" objects="1" scenarios="1" selectLockedCells="1"/>
  <phoneticPr fontId="26" type="noConversion"/>
  <conditionalFormatting sqref="D5:D24">
    <cfRule type="expression" dxfId="330" priority="35" stopIfTrue="1">
      <formula>OR(CODE(D5)&lt;48,CODE(D5)&gt;57)</formula>
    </cfRule>
    <cfRule type="expression" dxfId="329" priority="47" stopIfTrue="1">
      <formula>VLOOKUP(D5,Jumpers,5)&lt;&gt;LEFT($A$1,1)</formula>
    </cfRule>
    <cfRule type="expression" dxfId="328" priority="48" stopIfTrue="1">
      <formula>VLOOKUP(D5,Jumpers,8)&lt;&gt;C5</formula>
    </cfRule>
  </conditionalFormatting>
  <conditionalFormatting sqref="D27:D46">
    <cfRule type="expression" dxfId="327" priority="33" stopIfTrue="1">
      <formula>OR(CODE(D27)&lt;48,CODE(D27)&gt;57)</formula>
    </cfRule>
    <cfRule type="expression" dxfId="326" priority="45" stopIfTrue="1">
      <formula>VLOOKUP(D27,Jumpers,5)&lt;&gt;LEFT($A$1,1)</formula>
    </cfRule>
    <cfRule type="expression" dxfId="325" priority="46" stopIfTrue="1">
      <formula>VLOOKUP(D27,Jumpers,8)&lt;&gt;C27</formula>
    </cfRule>
  </conditionalFormatting>
  <conditionalFormatting sqref="K28:K46">
    <cfRule type="expression" dxfId="324" priority="43" stopIfTrue="1">
      <formula>VLOOKUP(K28,Jumpers,5)&lt;&gt;LEFT($A$1,1)</formula>
    </cfRule>
    <cfRule type="expression" dxfId="323" priority="44" stopIfTrue="1">
      <formula>VLOOKUP(K28,Jumpers,8)&lt;&gt;J28</formula>
    </cfRule>
  </conditionalFormatting>
  <conditionalFormatting sqref="K115:K119">
    <cfRule type="expression" dxfId="322" priority="7" stopIfTrue="1">
      <formula>OR(CODE(K115)&lt;48,CODE(K115)&gt;57)</formula>
    </cfRule>
    <cfRule type="expression" dxfId="321" priority="39" stopIfTrue="1">
      <formula>VLOOKUP(K115,Jumpers,5)&lt;&gt;LEFT($A$1,1)</formula>
    </cfRule>
    <cfRule type="expression" dxfId="320" priority="40" stopIfTrue="1">
      <formula>VLOOKUP(K115,Jumpers,8)&lt;&gt;J115</formula>
    </cfRule>
  </conditionalFormatting>
  <conditionalFormatting sqref="K5:K24">
    <cfRule type="expression" dxfId="319" priority="34" stopIfTrue="1">
      <formula>OR(CODE(K5)&lt;48,CODE(K5)&gt;57)</formula>
    </cfRule>
    <cfRule type="expression" dxfId="318" priority="36" stopIfTrue="1">
      <formula>VLOOKUP(K5,Jumpers,8)="8-Under"</formula>
    </cfRule>
    <cfRule type="expression" dxfId="317" priority="37" stopIfTrue="1">
      <formula>VLOOKUP(K5,Jumpers,5)&lt;&gt;LEFT($A$1,1)</formula>
    </cfRule>
    <cfRule type="expression" dxfId="316" priority="38" stopIfTrue="1">
      <formula>VLOOKUP(K5,Jumpers,7)&gt;9</formula>
    </cfRule>
  </conditionalFormatting>
  <conditionalFormatting sqref="K27:K46">
    <cfRule type="expression" dxfId="315" priority="30" stopIfTrue="1">
      <formula>OR(CODE(K27)&lt;48,CODE(K27)&gt;57)</formula>
    </cfRule>
    <cfRule type="expression" dxfId="314" priority="31" stopIfTrue="1">
      <formula>VLOOKUP(K27,Jumpers,5)&lt;&gt;LEFT($A$1,1)</formula>
    </cfRule>
    <cfRule type="expression" dxfId="313" priority="32" stopIfTrue="1">
      <formula>VLOOKUP(K27,Jumpers,8)&lt;&gt;J27</formula>
    </cfRule>
  </conditionalFormatting>
  <conditionalFormatting sqref="D49:D68">
    <cfRule type="expression" dxfId="312" priority="27" stopIfTrue="1">
      <formula>OR(CODE(D49)&lt;48,CODE(D49)&gt;57)</formula>
    </cfRule>
    <cfRule type="expression" dxfId="311" priority="28" stopIfTrue="1">
      <formula>VLOOKUP(D49,Jumpers,5)&lt;&gt;LEFT($A$1,1)</formula>
    </cfRule>
    <cfRule type="expression" dxfId="310" priority="29" stopIfTrue="1">
      <formula>VLOOKUP(D49,Jumpers,8)&lt;&gt;C49</formula>
    </cfRule>
  </conditionalFormatting>
  <conditionalFormatting sqref="K49:K68">
    <cfRule type="expression" dxfId="309" priority="24" stopIfTrue="1">
      <formula>OR(CODE(K49)&lt;48,CODE(K49)&gt;57)</formula>
    </cfRule>
    <cfRule type="expression" dxfId="308" priority="25" stopIfTrue="1">
      <formula>VLOOKUP(K49,Jumpers,5)&lt;&gt;LEFT($A$1,1)</formula>
    </cfRule>
    <cfRule type="expression" dxfId="307" priority="26" stopIfTrue="1">
      <formula>VLOOKUP(K49,Jumpers,8)&lt;&gt;J49</formula>
    </cfRule>
  </conditionalFormatting>
  <conditionalFormatting sqref="D71:D90">
    <cfRule type="expression" dxfId="306" priority="21" stopIfTrue="1">
      <formula>OR(CODE(D71)&lt;48,CODE(D71)&gt;57)</formula>
    </cfRule>
    <cfRule type="expression" dxfId="305" priority="22" stopIfTrue="1">
      <formula>VLOOKUP(D71,Jumpers,5)&lt;&gt;LEFT($A$1,1)</formula>
    </cfRule>
    <cfRule type="expression" dxfId="304" priority="23" stopIfTrue="1">
      <formula>VLOOKUP(D71,Jumpers,8)&lt;&gt;C71</formula>
    </cfRule>
  </conditionalFormatting>
  <conditionalFormatting sqref="K71:K90">
    <cfRule type="expression" dxfId="303" priority="18" stopIfTrue="1">
      <formula>OR(CODE(K71)&lt;48,CODE(K71)&gt;57)</formula>
    </cfRule>
    <cfRule type="expression" dxfId="302" priority="19" stopIfTrue="1">
      <formula>VLOOKUP(K71,Jumpers,5)&lt;&gt;LEFT($A$1,1)</formula>
    </cfRule>
    <cfRule type="expression" dxfId="301" priority="20" stopIfTrue="1">
      <formula>VLOOKUP(K71,Jumpers,8)&lt;&gt;J71</formula>
    </cfRule>
  </conditionalFormatting>
  <conditionalFormatting sqref="D93:D112">
    <cfRule type="expression" dxfId="300" priority="15" stopIfTrue="1">
      <formula>OR(CODE(D93)&lt;48,CODE(D93)&gt;57)</formula>
    </cfRule>
    <cfRule type="expression" dxfId="299" priority="16" stopIfTrue="1">
      <formula>VLOOKUP(D93,Jumpers,5)&lt;&gt;LEFT($A$1,1)</formula>
    </cfRule>
    <cfRule type="expression" dxfId="298" priority="17" stopIfTrue="1">
      <formula>VLOOKUP(D93,Jumpers,8)&lt;&gt;C93</formula>
    </cfRule>
  </conditionalFormatting>
  <conditionalFormatting sqref="K93:K112">
    <cfRule type="expression" dxfId="297" priority="12" stopIfTrue="1">
      <formula>OR(CODE(K93)&lt;48,CODE(K93)&gt;57)</formula>
    </cfRule>
    <cfRule type="expression" dxfId="296" priority="13" stopIfTrue="1">
      <formula>VLOOKUP(K93,Jumpers,5)&lt;&gt;LEFT($A$1,1)</formula>
    </cfRule>
    <cfRule type="expression" dxfId="295" priority="14" stopIfTrue="1">
      <formula>VLOOKUP(K93,Jumpers,8)&lt;&gt;J93</formula>
    </cfRule>
  </conditionalFormatting>
  <conditionalFormatting sqref="D115:D122">
    <cfRule type="expression" dxfId="294" priority="8" stopIfTrue="1">
      <formula>OR(CODE(D115)&lt;48,CODE(D115)&gt;57)</formula>
    </cfRule>
    <cfRule type="expression" dxfId="293" priority="9" stopIfTrue="1">
      <formula>VLOOKUP(D115,Jumpers,5)&lt;&gt;LEFT($A$1,1)</formula>
    </cfRule>
    <cfRule type="expression" dxfId="292" priority="10" stopIfTrue="1">
      <formula>VLOOKUP(D115,Jumpers,8)&lt;&gt;C115</formula>
    </cfRule>
  </conditionalFormatting>
  <conditionalFormatting sqref="D125:D129">
    <cfRule type="expression" dxfId="291" priority="4" stopIfTrue="1">
      <formula>OR(CODE(D125)&lt;48,CODE(D125)&gt;57)</formula>
    </cfRule>
    <cfRule type="expression" dxfId="290" priority="5" stopIfTrue="1">
      <formula>VLOOKUP(D125,Jumpers,5)&lt;&gt;LEFT($A$1,1)</formula>
    </cfRule>
    <cfRule type="expression" dxfId="289" priority="6" stopIfTrue="1">
      <formula>VLOOKUP(D125,Jumpers,8)&lt;&gt;C125</formula>
    </cfRule>
  </conditionalFormatting>
  <conditionalFormatting sqref="K120:K122">
    <cfRule type="expression" dxfId="288" priority="1" stopIfTrue="1">
      <formula>OR(CODE(K120)&lt;48,CODE(K120)&gt;57)</formula>
    </cfRule>
    <cfRule type="expression" dxfId="287" priority="2" stopIfTrue="1">
      <formula>VLOOKUP(K120,Jumpers,5)&lt;&gt;LEFT($A$1,1)</formula>
    </cfRule>
    <cfRule type="expression" dxfId="286" priority="3" stopIfTrue="1">
      <formula>VLOOKUP(K120,Jumpers,8)&lt;&gt;J120</formula>
    </cfRule>
  </conditionalFormatting>
  <pageMargins left="0.25" right="0.25" top="0.75" bottom="0.75" header="0.3" footer="0.3"/>
  <pageSetup scale="69" fitToHeight="2" orientation="portrait" r:id="rId1"/>
  <headerFooter>
    <oddHeader>&amp;LUSAJR Regional Tournament&amp;R&amp;A</oddHeader>
    <oddFooter>&amp;RPage &amp;P of &amp;N</oddFooter>
  </headerFooter>
  <extLst>
    <ext xmlns:mx="http://schemas.microsoft.com/office/mac/excel/2008/main" uri="{64002731-A6B0-56B0-2670-7721B7C09600}">
      <mx:PLV Mode="0" OnePage="0" WScale="83"/>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129"/>
  <sheetViews>
    <sheetView workbookViewId="0">
      <selection activeCell="D5" sqref="D5"/>
    </sheetView>
  </sheetViews>
  <sheetFormatPr defaultColWidth="8.85546875" defaultRowHeight="15" x14ac:dyDescent="0.25"/>
  <cols>
    <col min="1" max="1" width="3.85546875" style="37" customWidth="1"/>
    <col min="2" max="2" width="4.7109375" style="60" bestFit="1" customWidth="1"/>
    <col min="3" max="3" width="7.140625" style="60" bestFit="1" customWidth="1"/>
    <col min="4" max="4" width="8.28515625" style="37" bestFit="1" customWidth="1"/>
    <col min="5" max="6" width="15.7109375" style="37" customWidth="1"/>
    <col min="7" max="7" width="1.7109375" style="37" customWidth="1"/>
    <col min="8" max="8" width="3.7109375" style="37" customWidth="1"/>
    <col min="9" max="9" width="4.7109375" style="60" bestFit="1" customWidth="1"/>
    <col min="10" max="10" width="6.28515625" style="60" bestFit="1" customWidth="1"/>
    <col min="11" max="11" width="8.28515625" style="37" bestFit="1" customWidth="1"/>
    <col min="12" max="13" width="15.7109375" style="37" customWidth="1"/>
    <col min="14" max="16384" width="8.85546875" style="37"/>
  </cols>
  <sheetData>
    <row r="1" spans="1:13" ht="18.75" x14ac:dyDescent="0.25">
      <c r="A1" s="5" t="s">
        <v>69</v>
      </c>
      <c r="B1" s="10"/>
      <c r="C1" s="10"/>
      <c r="D1"/>
      <c r="E1"/>
      <c r="F1"/>
      <c r="G1"/>
      <c r="H1"/>
      <c r="I1" s="14"/>
      <c r="J1" s="14"/>
      <c r="K1"/>
      <c r="L1"/>
      <c r="M1" s="21" t="str">
        <f>CONCATENATE("Team: ",'Team Info'!$B$3)</f>
        <v xml:space="preserve">Team: </v>
      </c>
    </row>
    <row r="2" spans="1:13" x14ac:dyDescent="0.25">
      <c r="A2" s="6" t="s">
        <v>133</v>
      </c>
      <c r="B2" s="11"/>
      <c r="C2" s="11"/>
      <c r="D2"/>
      <c r="E2"/>
      <c r="F2"/>
      <c r="G2"/>
      <c r="H2"/>
      <c r="I2" s="14"/>
      <c r="J2" s="14"/>
      <c r="K2"/>
      <c r="L2"/>
      <c r="M2"/>
    </row>
    <row r="3" spans="1:13" x14ac:dyDescent="0.25">
      <c r="A3" s="4" t="s">
        <v>170</v>
      </c>
      <c r="B3" s="12"/>
      <c r="C3" s="12"/>
      <c r="D3" s="4"/>
      <c r="E3" s="4"/>
      <c r="F3" s="4"/>
      <c r="G3"/>
      <c r="H3" s="4" t="s">
        <v>171</v>
      </c>
      <c r="I3" s="12"/>
      <c r="J3" s="12"/>
      <c r="K3" s="4"/>
      <c r="L3" s="4"/>
      <c r="M3" s="4"/>
    </row>
    <row r="4" spans="1:13" ht="23.25" x14ac:dyDescent="0.25">
      <c r="A4" s="15" t="s">
        <v>0</v>
      </c>
      <c r="B4" s="15" t="s">
        <v>55</v>
      </c>
      <c r="C4" s="15" t="s">
        <v>56</v>
      </c>
      <c r="D4" s="16" t="s">
        <v>8</v>
      </c>
      <c r="E4" s="15" t="s">
        <v>2</v>
      </c>
      <c r="F4" s="15" t="s">
        <v>1</v>
      </c>
      <c r="G4"/>
      <c r="H4" s="15" t="s">
        <v>0</v>
      </c>
      <c r="I4" s="15" t="s">
        <v>55</v>
      </c>
      <c r="J4" s="15" t="s">
        <v>56</v>
      </c>
      <c r="K4" s="16" t="s">
        <v>8</v>
      </c>
      <c r="L4" s="15" t="s">
        <v>2</v>
      </c>
      <c r="M4" s="15" t="s">
        <v>1</v>
      </c>
    </row>
    <row r="5" spans="1:13" x14ac:dyDescent="0.25">
      <c r="A5" s="13">
        <v>1</v>
      </c>
      <c r="B5" s="91" t="s">
        <v>76</v>
      </c>
      <c r="C5" s="91" t="s">
        <v>146</v>
      </c>
      <c r="D5" s="35"/>
      <c r="E5" s="17" t="str">
        <f t="shared" ref="E5:E24" si="0">IF(D5&gt;0,VLOOKUP(D5,Jumpers,3),"")</f>
        <v/>
      </c>
      <c r="F5" s="17" t="str">
        <f t="shared" ref="F5:F24" si="1">IF(D5&gt;0,VLOOKUP(D5,Jumpers,2),"")</f>
        <v/>
      </c>
      <c r="G5"/>
      <c r="H5" s="13">
        <v>1</v>
      </c>
      <c r="I5" s="91" t="s">
        <v>76</v>
      </c>
      <c r="J5" s="13">
        <v>9</v>
      </c>
      <c r="K5" s="35"/>
      <c r="L5" s="17" t="str">
        <f t="shared" ref="L5:L24" si="2">IF(K5&gt;0,VLOOKUP(K5,Jumpers,3),"")</f>
        <v/>
      </c>
      <c r="M5" s="17" t="str">
        <f t="shared" ref="M5:M24" si="3">IF(K5&gt;0,VLOOKUP(K5,Jumpers,2),"")</f>
        <v/>
      </c>
    </row>
    <row r="6" spans="1:13" x14ac:dyDescent="0.25">
      <c r="A6" s="13">
        <v>2</v>
      </c>
      <c r="B6" s="91" t="s">
        <v>76</v>
      </c>
      <c r="C6" s="91" t="s">
        <v>146</v>
      </c>
      <c r="D6" s="35"/>
      <c r="E6" s="17" t="str">
        <f t="shared" si="0"/>
        <v/>
      </c>
      <c r="F6" s="17" t="str">
        <f t="shared" si="1"/>
        <v/>
      </c>
      <c r="G6"/>
      <c r="H6" s="13">
        <v>2</v>
      </c>
      <c r="I6" s="91" t="s">
        <v>76</v>
      </c>
      <c r="J6" s="13">
        <v>9</v>
      </c>
      <c r="K6" s="35"/>
      <c r="L6" s="17" t="str">
        <f t="shared" si="2"/>
        <v/>
      </c>
      <c r="M6" s="17" t="str">
        <f t="shared" si="3"/>
        <v/>
      </c>
    </row>
    <row r="7" spans="1:13" x14ac:dyDescent="0.25">
      <c r="A7" s="13">
        <v>3</v>
      </c>
      <c r="B7" s="91" t="s">
        <v>76</v>
      </c>
      <c r="C7" s="91" t="s">
        <v>146</v>
      </c>
      <c r="D7" s="35"/>
      <c r="E7" s="17" t="str">
        <f t="shared" si="0"/>
        <v/>
      </c>
      <c r="F7" s="17" t="str">
        <f t="shared" si="1"/>
        <v/>
      </c>
      <c r="G7"/>
      <c r="H7" s="13">
        <v>3</v>
      </c>
      <c r="I7" s="91" t="s">
        <v>76</v>
      </c>
      <c r="J7" s="13">
        <v>9</v>
      </c>
      <c r="K7" s="35"/>
      <c r="L7" s="17" t="str">
        <f t="shared" si="2"/>
        <v/>
      </c>
      <c r="M7" s="17" t="str">
        <f t="shared" si="3"/>
        <v/>
      </c>
    </row>
    <row r="8" spans="1:13" x14ac:dyDescent="0.25">
      <c r="A8" s="13">
        <v>4</v>
      </c>
      <c r="B8" s="91" t="s">
        <v>76</v>
      </c>
      <c r="C8" s="91" t="s">
        <v>146</v>
      </c>
      <c r="D8" s="35"/>
      <c r="E8" s="17" t="str">
        <f t="shared" si="0"/>
        <v/>
      </c>
      <c r="F8" s="17" t="str">
        <f t="shared" si="1"/>
        <v/>
      </c>
      <c r="G8"/>
      <c r="H8" s="13">
        <v>4</v>
      </c>
      <c r="I8" s="91" t="s">
        <v>76</v>
      </c>
      <c r="J8" s="13">
        <v>9</v>
      </c>
      <c r="K8" s="35"/>
      <c r="L8" s="17" t="str">
        <f t="shared" si="2"/>
        <v/>
      </c>
      <c r="M8" s="17" t="str">
        <f t="shared" si="3"/>
        <v/>
      </c>
    </row>
    <row r="9" spans="1:13" x14ac:dyDescent="0.25">
      <c r="A9" s="13">
        <v>5</v>
      </c>
      <c r="B9" s="91" t="s">
        <v>76</v>
      </c>
      <c r="C9" s="91" t="s">
        <v>146</v>
      </c>
      <c r="D9" s="35"/>
      <c r="E9" s="17" t="str">
        <f t="shared" si="0"/>
        <v/>
      </c>
      <c r="F9" s="17" t="str">
        <f t="shared" si="1"/>
        <v/>
      </c>
      <c r="G9"/>
      <c r="H9" s="13">
        <v>5</v>
      </c>
      <c r="I9" s="91" t="s">
        <v>76</v>
      </c>
      <c r="J9" s="13">
        <v>9</v>
      </c>
      <c r="K9" s="35"/>
      <c r="L9" s="17" t="str">
        <f t="shared" si="2"/>
        <v/>
      </c>
      <c r="M9" s="17" t="str">
        <f t="shared" si="3"/>
        <v/>
      </c>
    </row>
    <row r="10" spans="1:13" x14ac:dyDescent="0.25">
      <c r="A10" s="13">
        <v>6</v>
      </c>
      <c r="B10" s="91" t="s">
        <v>76</v>
      </c>
      <c r="C10" s="91" t="s">
        <v>146</v>
      </c>
      <c r="D10" s="35"/>
      <c r="E10" s="17" t="str">
        <f t="shared" si="0"/>
        <v/>
      </c>
      <c r="F10" s="17" t="str">
        <f t="shared" si="1"/>
        <v/>
      </c>
      <c r="G10"/>
      <c r="H10" s="13">
        <v>6</v>
      </c>
      <c r="I10" s="91" t="s">
        <v>76</v>
      </c>
      <c r="J10" s="13">
        <v>9</v>
      </c>
      <c r="K10" s="35"/>
      <c r="L10" s="17" t="str">
        <f t="shared" si="2"/>
        <v/>
      </c>
      <c r="M10" s="17" t="str">
        <f t="shared" si="3"/>
        <v/>
      </c>
    </row>
    <row r="11" spans="1:13" x14ac:dyDescent="0.25">
      <c r="A11" s="13">
        <v>7</v>
      </c>
      <c r="B11" s="91" t="s">
        <v>76</v>
      </c>
      <c r="C11" s="91" t="s">
        <v>146</v>
      </c>
      <c r="D11" s="35"/>
      <c r="E11" s="17" t="str">
        <f t="shared" si="0"/>
        <v/>
      </c>
      <c r="F11" s="17" t="str">
        <f t="shared" si="1"/>
        <v/>
      </c>
      <c r="G11"/>
      <c r="H11" s="13">
        <v>7</v>
      </c>
      <c r="I11" s="91" t="s">
        <v>76</v>
      </c>
      <c r="J11" s="13">
        <v>9</v>
      </c>
      <c r="K11" s="35"/>
      <c r="L11" s="17" t="str">
        <f t="shared" si="2"/>
        <v/>
      </c>
      <c r="M11" s="17" t="str">
        <f t="shared" si="3"/>
        <v/>
      </c>
    </row>
    <row r="12" spans="1:13" x14ac:dyDescent="0.25">
      <c r="A12" s="13">
        <v>8</v>
      </c>
      <c r="B12" s="91" t="s">
        <v>76</v>
      </c>
      <c r="C12" s="91" t="s">
        <v>146</v>
      </c>
      <c r="D12" s="35"/>
      <c r="E12" s="17" t="str">
        <f t="shared" si="0"/>
        <v/>
      </c>
      <c r="F12" s="17" t="str">
        <f t="shared" si="1"/>
        <v/>
      </c>
      <c r="G12"/>
      <c r="H12" s="13">
        <v>8</v>
      </c>
      <c r="I12" s="91" t="s">
        <v>76</v>
      </c>
      <c r="J12" s="13">
        <v>9</v>
      </c>
      <c r="K12" s="35"/>
      <c r="L12" s="17" t="str">
        <f t="shared" si="2"/>
        <v/>
      </c>
      <c r="M12" s="17" t="str">
        <f t="shared" si="3"/>
        <v/>
      </c>
    </row>
    <row r="13" spans="1:13" x14ac:dyDescent="0.25">
      <c r="A13" s="13">
        <v>9</v>
      </c>
      <c r="B13" s="91" t="s">
        <v>76</v>
      </c>
      <c r="C13" s="91" t="s">
        <v>146</v>
      </c>
      <c r="D13" s="35"/>
      <c r="E13" s="17" t="str">
        <f t="shared" si="0"/>
        <v/>
      </c>
      <c r="F13" s="17" t="str">
        <f t="shared" si="1"/>
        <v/>
      </c>
      <c r="G13"/>
      <c r="H13" s="13">
        <v>9</v>
      </c>
      <c r="I13" s="91" t="s">
        <v>76</v>
      </c>
      <c r="J13" s="13">
        <v>9</v>
      </c>
      <c r="K13" s="35"/>
      <c r="L13" s="17" t="str">
        <f t="shared" si="2"/>
        <v/>
      </c>
      <c r="M13" s="17" t="str">
        <f t="shared" si="3"/>
        <v/>
      </c>
    </row>
    <row r="14" spans="1:13" x14ac:dyDescent="0.25">
      <c r="A14" s="13">
        <v>10</v>
      </c>
      <c r="B14" s="91" t="s">
        <v>76</v>
      </c>
      <c r="C14" s="91" t="s">
        <v>146</v>
      </c>
      <c r="D14" s="35"/>
      <c r="E14" s="17" t="str">
        <f t="shared" si="0"/>
        <v/>
      </c>
      <c r="F14" s="17" t="str">
        <f t="shared" si="1"/>
        <v/>
      </c>
      <c r="G14"/>
      <c r="H14" s="13">
        <v>10</v>
      </c>
      <c r="I14" s="91" t="s">
        <v>76</v>
      </c>
      <c r="J14" s="13">
        <v>9</v>
      </c>
      <c r="K14" s="35"/>
      <c r="L14" s="17" t="str">
        <f t="shared" si="2"/>
        <v/>
      </c>
      <c r="M14" s="17" t="str">
        <f t="shared" si="3"/>
        <v/>
      </c>
    </row>
    <row r="15" spans="1:13" x14ac:dyDescent="0.25">
      <c r="A15" s="13">
        <v>11</v>
      </c>
      <c r="B15" s="91" t="s">
        <v>76</v>
      </c>
      <c r="C15" s="91" t="s">
        <v>146</v>
      </c>
      <c r="D15" s="35"/>
      <c r="E15" s="17" t="str">
        <f t="shared" si="0"/>
        <v/>
      </c>
      <c r="F15" s="17" t="str">
        <f t="shared" si="1"/>
        <v/>
      </c>
      <c r="G15"/>
      <c r="H15" s="13">
        <v>11</v>
      </c>
      <c r="I15" s="91" t="s">
        <v>76</v>
      </c>
      <c r="J15" s="13">
        <v>9</v>
      </c>
      <c r="K15" s="35"/>
      <c r="L15" s="17" t="str">
        <f t="shared" si="2"/>
        <v/>
      </c>
      <c r="M15" s="17" t="str">
        <f t="shared" si="3"/>
        <v/>
      </c>
    </row>
    <row r="16" spans="1:13" x14ac:dyDescent="0.25">
      <c r="A16" s="13">
        <v>12</v>
      </c>
      <c r="B16" s="91" t="s">
        <v>76</v>
      </c>
      <c r="C16" s="91" t="s">
        <v>146</v>
      </c>
      <c r="D16" s="35"/>
      <c r="E16" s="17" t="str">
        <f t="shared" si="0"/>
        <v/>
      </c>
      <c r="F16" s="17" t="str">
        <f t="shared" si="1"/>
        <v/>
      </c>
      <c r="G16"/>
      <c r="H16" s="13">
        <v>12</v>
      </c>
      <c r="I16" s="91" t="s">
        <v>76</v>
      </c>
      <c r="J16" s="13">
        <v>9</v>
      </c>
      <c r="K16" s="35"/>
      <c r="L16" s="17" t="str">
        <f t="shared" si="2"/>
        <v/>
      </c>
      <c r="M16" s="17" t="str">
        <f t="shared" si="3"/>
        <v/>
      </c>
    </row>
    <row r="17" spans="1:13" x14ac:dyDescent="0.25">
      <c r="A17" s="13">
        <v>13</v>
      </c>
      <c r="B17" s="91" t="s">
        <v>76</v>
      </c>
      <c r="C17" s="91" t="s">
        <v>146</v>
      </c>
      <c r="D17" s="35"/>
      <c r="E17" s="17" t="str">
        <f t="shared" si="0"/>
        <v/>
      </c>
      <c r="F17" s="17" t="str">
        <f t="shared" si="1"/>
        <v/>
      </c>
      <c r="G17"/>
      <c r="H17" s="13">
        <v>13</v>
      </c>
      <c r="I17" s="91" t="s">
        <v>76</v>
      </c>
      <c r="J17" s="13">
        <v>9</v>
      </c>
      <c r="K17" s="35"/>
      <c r="L17" s="17" t="str">
        <f t="shared" si="2"/>
        <v/>
      </c>
      <c r="M17" s="17" t="str">
        <f t="shared" si="3"/>
        <v/>
      </c>
    </row>
    <row r="18" spans="1:13" x14ac:dyDescent="0.25">
      <c r="A18" s="13">
        <v>14</v>
      </c>
      <c r="B18" s="91" t="s">
        <v>76</v>
      </c>
      <c r="C18" s="91" t="s">
        <v>146</v>
      </c>
      <c r="D18" s="35"/>
      <c r="E18" s="17" t="str">
        <f t="shared" si="0"/>
        <v/>
      </c>
      <c r="F18" s="17" t="str">
        <f t="shared" si="1"/>
        <v/>
      </c>
      <c r="G18"/>
      <c r="H18" s="13">
        <v>14</v>
      </c>
      <c r="I18" s="91" t="s">
        <v>76</v>
      </c>
      <c r="J18" s="13">
        <v>9</v>
      </c>
      <c r="K18" s="35"/>
      <c r="L18" s="17" t="str">
        <f t="shared" si="2"/>
        <v/>
      </c>
      <c r="M18" s="17" t="str">
        <f t="shared" si="3"/>
        <v/>
      </c>
    </row>
    <row r="19" spans="1:13" x14ac:dyDescent="0.25">
      <c r="A19" s="13">
        <v>15</v>
      </c>
      <c r="B19" s="91" t="s">
        <v>76</v>
      </c>
      <c r="C19" s="91" t="s">
        <v>146</v>
      </c>
      <c r="D19" s="35"/>
      <c r="E19" s="17" t="str">
        <f t="shared" si="0"/>
        <v/>
      </c>
      <c r="F19" s="17" t="str">
        <f t="shared" si="1"/>
        <v/>
      </c>
      <c r="G19"/>
      <c r="H19" s="13">
        <v>15</v>
      </c>
      <c r="I19" s="91" t="s">
        <v>76</v>
      </c>
      <c r="J19" s="13">
        <v>9</v>
      </c>
      <c r="K19" s="35"/>
      <c r="L19" s="17" t="str">
        <f t="shared" si="2"/>
        <v/>
      </c>
      <c r="M19" s="17" t="str">
        <f t="shared" si="3"/>
        <v/>
      </c>
    </row>
    <row r="20" spans="1:13" x14ac:dyDescent="0.25">
      <c r="A20" s="13">
        <v>16</v>
      </c>
      <c r="B20" s="91" t="s">
        <v>76</v>
      </c>
      <c r="C20" s="91" t="s">
        <v>146</v>
      </c>
      <c r="D20" s="35"/>
      <c r="E20" s="17" t="str">
        <f t="shared" si="0"/>
        <v/>
      </c>
      <c r="F20" s="17" t="str">
        <f t="shared" si="1"/>
        <v/>
      </c>
      <c r="G20"/>
      <c r="H20" s="13">
        <v>16</v>
      </c>
      <c r="I20" s="91" t="s">
        <v>76</v>
      </c>
      <c r="J20" s="13">
        <v>9</v>
      </c>
      <c r="K20" s="35"/>
      <c r="L20" s="17" t="str">
        <f t="shared" si="2"/>
        <v/>
      </c>
      <c r="M20" s="17" t="str">
        <f t="shared" si="3"/>
        <v/>
      </c>
    </row>
    <row r="21" spans="1:13" x14ac:dyDescent="0.25">
      <c r="A21" s="13">
        <v>17</v>
      </c>
      <c r="B21" s="91" t="s">
        <v>76</v>
      </c>
      <c r="C21" s="91" t="s">
        <v>146</v>
      </c>
      <c r="D21" s="35"/>
      <c r="E21" s="17" t="str">
        <f t="shared" si="0"/>
        <v/>
      </c>
      <c r="F21" s="17" t="str">
        <f t="shared" si="1"/>
        <v/>
      </c>
      <c r="G21"/>
      <c r="H21" s="13">
        <v>17</v>
      </c>
      <c r="I21" s="91" t="s">
        <v>76</v>
      </c>
      <c r="J21" s="13">
        <v>9</v>
      </c>
      <c r="K21" s="35"/>
      <c r="L21" s="17" t="str">
        <f t="shared" si="2"/>
        <v/>
      </c>
      <c r="M21" s="17" t="str">
        <f t="shared" si="3"/>
        <v/>
      </c>
    </row>
    <row r="22" spans="1:13" x14ac:dyDescent="0.25">
      <c r="A22" s="13">
        <v>18</v>
      </c>
      <c r="B22" s="91" t="s">
        <v>76</v>
      </c>
      <c r="C22" s="91" t="s">
        <v>146</v>
      </c>
      <c r="D22" s="35"/>
      <c r="E22" s="17" t="str">
        <f t="shared" si="0"/>
        <v/>
      </c>
      <c r="F22" s="17" t="str">
        <f t="shared" si="1"/>
        <v/>
      </c>
      <c r="G22"/>
      <c r="H22" s="13">
        <v>18</v>
      </c>
      <c r="I22" s="91" t="s">
        <v>76</v>
      </c>
      <c r="J22" s="13">
        <v>9</v>
      </c>
      <c r="K22" s="35"/>
      <c r="L22" s="17" t="str">
        <f t="shared" si="2"/>
        <v/>
      </c>
      <c r="M22" s="17" t="str">
        <f t="shared" si="3"/>
        <v/>
      </c>
    </row>
    <row r="23" spans="1:13" x14ac:dyDescent="0.25">
      <c r="A23" s="13">
        <v>19</v>
      </c>
      <c r="B23" s="91" t="s">
        <v>76</v>
      </c>
      <c r="C23" s="91" t="s">
        <v>146</v>
      </c>
      <c r="D23" s="35"/>
      <c r="E23" s="17" t="str">
        <f t="shared" si="0"/>
        <v/>
      </c>
      <c r="F23" s="17" t="str">
        <f t="shared" si="1"/>
        <v/>
      </c>
      <c r="G23"/>
      <c r="H23" s="13">
        <v>19</v>
      </c>
      <c r="I23" s="91" t="s">
        <v>76</v>
      </c>
      <c r="J23" s="13">
        <v>9</v>
      </c>
      <c r="K23" s="35"/>
      <c r="L23" s="17" t="str">
        <f t="shared" si="2"/>
        <v/>
      </c>
      <c r="M23" s="17" t="str">
        <f t="shared" si="3"/>
        <v/>
      </c>
    </row>
    <row r="24" spans="1:13" x14ac:dyDescent="0.25">
      <c r="A24" s="13">
        <v>20</v>
      </c>
      <c r="B24" s="91" t="s">
        <v>76</v>
      </c>
      <c r="C24" s="91" t="s">
        <v>146</v>
      </c>
      <c r="D24" s="35"/>
      <c r="E24" s="17" t="str">
        <f t="shared" si="0"/>
        <v/>
      </c>
      <c r="F24" s="17" t="str">
        <f t="shared" si="1"/>
        <v/>
      </c>
      <c r="G24"/>
      <c r="H24" s="13">
        <v>20</v>
      </c>
      <c r="I24" s="91" t="s">
        <v>76</v>
      </c>
      <c r="J24" s="13">
        <v>9</v>
      </c>
      <c r="K24" s="35"/>
      <c r="L24" s="17" t="str">
        <f t="shared" si="2"/>
        <v/>
      </c>
      <c r="M24" s="17" t="str">
        <f t="shared" si="3"/>
        <v/>
      </c>
    </row>
    <row r="25" spans="1:13" x14ac:dyDescent="0.25">
      <c r="A25" s="4" t="s">
        <v>172</v>
      </c>
      <c r="B25" s="12"/>
      <c r="C25" s="12"/>
      <c r="D25" s="4"/>
      <c r="E25" s="4"/>
      <c r="F25" s="4"/>
      <c r="G25"/>
      <c r="H25" s="4" t="s">
        <v>173</v>
      </c>
      <c r="I25" s="12"/>
      <c r="J25" s="12"/>
      <c r="K25" s="4"/>
      <c r="L25" s="4"/>
      <c r="M25" s="4"/>
    </row>
    <row r="26" spans="1:13" ht="23.25" x14ac:dyDescent="0.25">
      <c r="A26" s="15" t="s">
        <v>0</v>
      </c>
      <c r="B26" s="15" t="s">
        <v>55</v>
      </c>
      <c r="C26" s="15" t="s">
        <v>56</v>
      </c>
      <c r="D26" s="16" t="s">
        <v>8</v>
      </c>
      <c r="E26" s="15" t="s">
        <v>2</v>
      </c>
      <c r="F26" s="15" t="s">
        <v>1</v>
      </c>
      <c r="G26"/>
      <c r="H26" s="15" t="s">
        <v>0</v>
      </c>
      <c r="I26" s="15" t="s">
        <v>55</v>
      </c>
      <c r="J26" s="15" t="s">
        <v>56</v>
      </c>
      <c r="K26" s="16" t="s">
        <v>8</v>
      </c>
      <c r="L26" s="15" t="s">
        <v>2</v>
      </c>
      <c r="M26" s="15" t="s">
        <v>1</v>
      </c>
    </row>
    <row r="27" spans="1:13" x14ac:dyDescent="0.25">
      <c r="A27" s="13">
        <v>1</v>
      </c>
      <c r="B27" s="91" t="s">
        <v>76</v>
      </c>
      <c r="C27" s="13">
        <v>10</v>
      </c>
      <c r="D27" s="35"/>
      <c r="E27" s="17" t="str">
        <f t="shared" ref="E27:E46" si="4">IF(D27&gt;0,VLOOKUP(D27,Jumpers,3),"")</f>
        <v/>
      </c>
      <c r="F27" s="17" t="str">
        <f t="shared" ref="F27:F46" si="5">IF(D27&gt;0,VLOOKUP(D27,Jumpers,2),"")</f>
        <v/>
      </c>
      <c r="G27"/>
      <c r="H27" s="13">
        <v>1</v>
      </c>
      <c r="I27" s="91" t="s">
        <v>76</v>
      </c>
      <c r="J27" s="13">
        <v>11</v>
      </c>
      <c r="K27" s="35"/>
      <c r="L27" s="17" t="str">
        <f t="shared" ref="L27:L46" si="6">IF(K27&gt;0,VLOOKUP(K27,Jumpers,3),"")</f>
        <v/>
      </c>
      <c r="M27" s="17" t="str">
        <f t="shared" ref="M27:M46" si="7">IF(K27&gt;0,VLOOKUP(K27,Jumpers,2),"")</f>
        <v/>
      </c>
    </row>
    <row r="28" spans="1:13" x14ac:dyDescent="0.25">
      <c r="A28" s="13">
        <v>2</v>
      </c>
      <c r="B28" s="91" t="s">
        <v>76</v>
      </c>
      <c r="C28" s="13">
        <v>10</v>
      </c>
      <c r="D28" s="35"/>
      <c r="E28" s="17" t="str">
        <f t="shared" si="4"/>
        <v/>
      </c>
      <c r="F28" s="17" t="str">
        <f t="shared" si="5"/>
        <v/>
      </c>
      <c r="G28"/>
      <c r="H28" s="13">
        <v>2</v>
      </c>
      <c r="I28" s="91" t="s">
        <v>76</v>
      </c>
      <c r="J28" s="13">
        <v>11</v>
      </c>
      <c r="K28" s="35"/>
      <c r="L28" s="17" t="str">
        <f t="shared" si="6"/>
        <v/>
      </c>
      <c r="M28" s="17" t="str">
        <f t="shared" si="7"/>
        <v/>
      </c>
    </row>
    <row r="29" spans="1:13" x14ac:dyDescent="0.25">
      <c r="A29" s="13">
        <v>3</v>
      </c>
      <c r="B29" s="91" t="s">
        <v>76</v>
      </c>
      <c r="C29" s="13">
        <v>10</v>
      </c>
      <c r="D29" s="35"/>
      <c r="E29" s="17" t="str">
        <f t="shared" si="4"/>
        <v/>
      </c>
      <c r="F29" s="17" t="str">
        <f t="shared" si="5"/>
        <v/>
      </c>
      <c r="G29"/>
      <c r="H29" s="13">
        <v>3</v>
      </c>
      <c r="I29" s="91" t="s">
        <v>76</v>
      </c>
      <c r="J29" s="13">
        <v>11</v>
      </c>
      <c r="K29" s="35"/>
      <c r="L29" s="17" t="str">
        <f t="shared" si="6"/>
        <v/>
      </c>
      <c r="M29" s="17" t="str">
        <f t="shared" si="7"/>
        <v/>
      </c>
    </row>
    <row r="30" spans="1:13" x14ac:dyDescent="0.25">
      <c r="A30" s="13">
        <v>4</v>
      </c>
      <c r="B30" s="91" t="s">
        <v>76</v>
      </c>
      <c r="C30" s="13">
        <v>10</v>
      </c>
      <c r="D30" s="35"/>
      <c r="E30" s="17" t="str">
        <f t="shared" si="4"/>
        <v/>
      </c>
      <c r="F30" s="17" t="str">
        <f t="shared" si="5"/>
        <v/>
      </c>
      <c r="G30"/>
      <c r="H30" s="13">
        <v>4</v>
      </c>
      <c r="I30" s="91" t="s">
        <v>76</v>
      </c>
      <c r="J30" s="13">
        <v>11</v>
      </c>
      <c r="K30" s="35"/>
      <c r="L30" s="17" t="str">
        <f t="shared" si="6"/>
        <v/>
      </c>
      <c r="M30" s="17" t="str">
        <f t="shared" si="7"/>
        <v/>
      </c>
    </row>
    <row r="31" spans="1:13" x14ac:dyDescent="0.25">
      <c r="A31" s="13">
        <v>5</v>
      </c>
      <c r="B31" s="91" t="s">
        <v>76</v>
      </c>
      <c r="C31" s="13">
        <v>10</v>
      </c>
      <c r="D31" s="35"/>
      <c r="E31" s="17" t="str">
        <f t="shared" si="4"/>
        <v/>
      </c>
      <c r="F31" s="17" t="str">
        <f t="shared" si="5"/>
        <v/>
      </c>
      <c r="G31"/>
      <c r="H31" s="13">
        <v>5</v>
      </c>
      <c r="I31" s="91" t="s">
        <v>76</v>
      </c>
      <c r="J31" s="13">
        <v>11</v>
      </c>
      <c r="K31" s="35"/>
      <c r="L31" s="17" t="str">
        <f t="shared" si="6"/>
        <v/>
      </c>
      <c r="M31" s="17" t="str">
        <f t="shared" si="7"/>
        <v/>
      </c>
    </row>
    <row r="32" spans="1:13" x14ac:dyDescent="0.25">
      <c r="A32" s="13">
        <v>6</v>
      </c>
      <c r="B32" s="91" t="s">
        <v>76</v>
      </c>
      <c r="C32" s="13">
        <v>10</v>
      </c>
      <c r="D32" s="35"/>
      <c r="E32" s="17" t="str">
        <f t="shared" si="4"/>
        <v/>
      </c>
      <c r="F32" s="17" t="str">
        <f t="shared" si="5"/>
        <v/>
      </c>
      <c r="G32"/>
      <c r="H32" s="13">
        <v>6</v>
      </c>
      <c r="I32" s="91" t="s">
        <v>76</v>
      </c>
      <c r="J32" s="13">
        <v>11</v>
      </c>
      <c r="K32" s="35"/>
      <c r="L32" s="17" t="str">
        <f t="shared" si="6"/>
        <v/>
      </c>
      <c r="M32" s="17" t="str">
        <f t="shared" si="7"/>
        <v/>
      </c>
    </row>
    <row r="33" spans="1:13" x14ac:dyDescent="0.25">
      <c r="A33" s="13">
        <v>7</v>
      </c>
      <c r="B33" s="91" t="s">
        <v>76</v>
      </c>
      <c r="C33" s="13">
        <v>10</v>
      </c>
      <c r="D33" s="35"/>
      <c r="E33" s="17" t="str">
        <f t="shared" si="4"/>
        <v/>
      </c>
      <c r="F33" s="17" t="str">
        <f t="shared" si="5"/>
        <v/>
      </c>
      <c r="G33"/>
      <c r="H33" s="13">
        <v>7</v>
      </c>
      <c r="I33" s="91" t="s">
        <v>76</v>
      </c>
      <c r="J33" s="13">
        <v>11</v>
      </c>
      <c r="K33" s="35"/>
      <c r="L33" s="17" t="str">
        <f t="shared" si="6"/>
        <v/>
      </c>
      <c r="M33" s="17" t="str">
        <f t="shared" si="7"/>
        <v/>
      </c>
    </row>
    <row r="34" spans="1:13" x14ac:dyDescent="0.25">
      <c r="A34" s="13">
        <v>8</v>
      </c>
      <c r="B34" s="91" t="s">
        <v>76</v>
      </c>
      <c r="C34" s="13">
        <v>10</v>
      </c>
      <c r="D34" s="35"/>
      <c r="E34" s="17" t="str">
        <f t="shared" si="4"/>
        <v/>
      </c>
      <c r="F34" s="17" t="str">
        <f t="shared" si="5"/>
        <v/>
      </c>
      <c r="G34"/>
      <c r="H34" s="13">
        <v>8</v>
      </c>
      <c r="I34" s="91" t="s">
        <v>76</v>
      </c>
      <c r="J34" s="13">
        <v>11</v>
      </c>
      <c r="K34" s="35"/>
      <c r="L34" s="17" t="str">
        <f t="shared" si="6"/>
        <v/>
      </c>
      <c r="M34" s="17" t="str">
        <f t="shared" si="7"/>
        <v/>
      </c>
    </row>
    <row r="35" spans="1:13" x14ac:dyDescent="0.25">
      <c r="A35" s="13">
        <v>9</v>
      </c>
      <c r="B35" s="91" t="s">
        <v>76</v>
      </c>
      <c r="C35" s="13">
        <v>10</v>
      </c>
      <c r="D35" s="35"/>
      <c r="E35" s="17" t="str">
        <f t="shared" si="4"/>
        <v/>
      </c>
      <c r="F35" s="17" t="str">
        <f t="shared" si="5"/>
        <v/>
      </c>
      <c r="G35"/>
      <c r="H35" s="13">
        <v>9</v>
      </c>
      <c r="I35" s="91" t="s">
        <v>76</v>
      </c>
      <c r="J35" s="13">
        <v>11</v>
      </c>
      <c r="K35" s="35"/>
      <c r="L35" s="17" t="str">
        <f t="shared" si="6"/>
        <v/>
      </c>
      <c r="M35" s="17" t="str">
        <f t="shared" si="7"/>
        <v/>
      </c>
    </row>
    <row r="36" spans="1:13" x14ac:dyDescent="0.25">
      <c r="A36" s="13">
        <v>10</v>
      </c>
      <c r="B36" s="91" t="s">
        <v>76</v>
      </c>
      <c r="C36" s="13">
        <v>10</v>
      </c>
      <c r="D36" s="35"/>
      <c r="E36" s="17" t="str">
        <f t="shared" si="4"/>
        <v/>
      </c>
      <c r="F36" s="17" t="str">
        <f t="shared" si="5"/>
        <v/>
      </c>
      <c r="G36"/>
      <c r="H36" s="13">
        <v>10</v>
      </c>
      <c r="I36" s="91" t="s">
        <v>76</v>
      </c>
      <c r="J36" s="13">
        <v>11</v>
      </c>
      <c r="K36" s="35"/>
      <c r="L36" s="17" t="str">
        <f t="shared" si="6"/>
        <v/>
      </c>
      <c r="M36" s="17" t="str">
        <f t="shared" si="7"/>
        <v/>
      </c>
    </row>
    <row r="37" spans="1:13" x14ac:dyDescent="0.25">
      <c r="A37" s="13">
        <v>11</v>
      </c>
      <c r="B37" s="91" t="s">
        <v>76</v>
      </c>
      <c r="C37" s="13">
        <v>10</v>
      </c>
      <c r="D37" s="35"/>
      <c r="E37" s="17" t="str">
        <f t="shared" si="4"/>
        <v/>
      </c>
      <c r="F37" s="17" t="str">
        <f t="shared" si="5"/>
        <v/>
      </c>
      <c r="G37"/>
      <c r="H37" s="13">
        <v>11</v>
      </c>
      <c r="I37" s="91" t="s">
        <v>76</v>
      </c>
      <c r="J37" s="13">
        <v>11</v>
      </c>
      <c r="K37" s="35"/>
      <c r="L37" s="17" t="str">
        <f t="shared" si="6"/>
        <v/>
      </c>
      <c r="M37" s="17" t="str">
        <f t="shared" si="7"/>
        <v/>
      </c>
    </row>
    <row r="38" spans="1:13" x14ac:dyDescent="0.25">
      <c r="A38" s="13">
        <v>12</v>
      </c>
      <c r="B38" s="91" t="s">
        <v>76</v>
      </c>
      <c r="C38" s="13">
        <v>10</v>
      </c>
      <c r="D38" s="35"/>
      <c r="E38" s="17" t="str">
        <f t="shared" si="4"/>
        <v/>
      </c>
      <c r="F38" s="17" t="str">
        <f t="shared" si="5"/>
        <v/>
      </c>
      <c r="G38"/>
      <c r="H38" s="13">
        <v>12</v>
      </c>
      <c r="I38" s="91" t="s">
        <v>76</v>
      </c>
      <c r="J38" s="13">
        <v>11</v>
      </c>
      <c r="K38" s="35"/>
      <c r="L38" s="17" t="str">
        <f t="shared" si="6"/>
        <v/>
      </c>
      <c r="M38" s="17" t="str">
        <f t="shared" si="7"/>
        <v/>
      </c>
    </row>
    <row r="39" spans="1:13" x14ac:dyDescent="0.25">
      <c r="A39" s="13">
        <v>13</v>
      </c>
      <c r="B39" s="91" t="s">
        <v>76</v>
      </c>
      <c r="C39" s="13">
        <v>10</v>
      </c>
      <c r="D39" s="35"/>
      <c r="E39" s="17" t="str">
        <f t="shared" si="4"/>
        <v/>
      </c>
      <c r="F39" s="17" t="str">
        <f t="shared" si="5"/>
        <v/>
      </c>
      <c r="G39"/>
      <c r="H39" s="13">
        <v>13</v>
      </c>
      <c r="I39" s="91" t="s">
        <v>76</v>
      </c>
      <c r="J39" s="13">
        <v>11</v>
      </c>
      <c r="K39" s="35"/>
      <c r="L39" s="17" t="str">
        <f t="shared" si="6"/>
        <v/>
      </c>
      <c r="M39" s="17" t="str">
        <f t="shared" si="7"/>
        <v/>
      </c>
    </row>
    <row r="40" spans="1:13" x14ac:dyDescent="0.25">
      <c r="A40" s="13">
        <v>14</v>
      </c>
      <c r="B40" s="91" t="s">
        <v>76</v>
      </c>
      <c r="C40" s="13">
        <v>10</v>
      </c>
      <c r="D40" s="35"/>
      <c r="E40" s="17" t="str">
        <f t="shared" si="4"/>
        <v/>
      </c>
      <c r="F40" s="17" t="str">
        <f t="shared" si="5"/>
        <v/>
      </c>
      <c r="G40"/>
      <c r="H40" s="13">
        <v>14</v>
      </c>
      <c r="I40" s="91" t="s">
        <v>76</v>
      </c>
      <c r="J40" s="13">
        <v>11</v>
      </c>
      <c r="K40" s="35"/>
      <c r="L40" s="17" t="str">
        <f t="shared" si="6"/>
        <v/>
      </c>
      <c r="M40" s="17" t="str">
        <f t="shared" si="7"/>
        <v/>
      </c>
    </row>
    <row r="41" spans="1:13" x14ac:dyDescent="0.25">
      <c r="A41" s="13">
        <v>15</v>
      </c>
      <c r="B41" s="91" t="s">
        <v>76</v>
      </c>
      <c r="C41" s="13">
        <v>10</v>
      </c>
      <c r="D41" s="35"/>
      <c r="E41" s="17" t="str">
        <f t="shared" si="4"/>
        <v/>
      </c>
      <c r="F41" s="17" t="str">
        <f t="shared" si="5"/>
        <v/>
      </c>
      <c r="G41"/>
      <c r="H41" s="13">
        <v>15</v>
      </c>
      <c r="I41" s="91" t="s">
        <v>76</v>
      </c>
      <c r="J41" s="13">
        <v>11</v>
      </c>
      <c r="K41" s="35"/>
      <c r="L41" s="17" t="str">
        <f t="shared" si="6"/>
        <v/>
      </c>
      <c r="M41" s="17" t="str">
        <f t="shared" si="7"/>
        <v/>
      </c>
    </row>
    <row r="42" spans="1:13" x14ac:dyDescent="0.25">
      <c r="A42" s="13">
        <v>16</v>
      </c>
      <c r="B42" s="91" t="s">
        <v>76</v>
      </c>
      <c r="C42" s="13">
        <v>10</v>
      </c>
      <c r="D42" s="35"/>
      <c r="E42" s="17" t="str">
        <f t="shared" si="4"/>
        <v/>
      </c>
      <c r="F42" s="17" t="str">
        <f t="shared" si="5"/>
        <v/>
      </c>
      <c r="G42"/>
      <c r="H42" s="13">
        <v>16</v>
      </c>
      <c r="I42" s="91" t="s">
        <v>76</v>
      </c>
      <c r="J42" s="13">
        <v>11</v>
      </c>
      <c r="K42" s="35"/>
      <c r="L42" s="17" t="str">
        <f t="shared" si="6"/>
        <v/>
      </c>
      <c r="M42" s="17" t="str">
        <f t="shared" si="7"/>
        <v/>
      </c>
    </row>
    <row r="43" spans="1:13" x14ac:dyDescent="0.25">
      <c r="A43" s="13">
        <v>17</v>
      </c>
      <c r="B43" s="91" t="s">
        <v>76</v>
      </c>
      <c r="C43" s="13">
        <v>10</v>
      </c>
      <c r="D43" s="35"/>
      <c r="E43" s="17" t="str">
        <f t="shared" si="4"/>
        <v/>
      </c>
      <c r="F43" s="17" t="str">
        <f t="shared" si="5"/>
        <v/>
      </c>
      <c r="G43"/>
      <c r="H43" s="13">
        <v>17</v>
      </c>
      <c r="I43" s="91" t="s">
        <v>76</v>
      </c>
      <c r="J43" s="13">
        <v>11</v>
      </c>
      <c r="K43" s="35"/>
      <c r="L43" s="17" t="str">
        <f t="shared" si="6"/>
        <v/>
      </c>
      <c r="M43" s="17" t="str">
        <f t="shared" si="7"/>
        <v/>
      </c>
    </row>
    <row r="44" spans="1:13" x14ac:dyDescent="0.25">
      <c r="A44" s="13">
        <v>18</v>
      </c>
      <c r="B44" s="91" t="s">
        <v>76</v>
      </c>
      <c r="C44" s="13">
        <v>10</v>
      </c>
      <c r="D44" s="35"/>
      <c r="E44" s="17" t="str">
        <f t="shared" si="4"/>
        <v/>
      </c>
      <c r="F44" s="17" t="str">
        <f t="shared" si="5"/>
        <v/>
      </c>
      <c r="G44"/>
      <c r="H44" s="13">
        <v>18</v>
      </c>
      <c r="I44" s="91" t="s">
        <v>76</v>
      </c>
      <c r="J44" s="13">
        <v>11</v>
      </c>
      <c r="K44" s="35"/>
      <c r="L44" s="17" t="str">
        <f t="shared" si="6"/>
        <v/>
      </c>
      <c r="M44" s="17" t="str">
        <f t="shared" si="7"/>
        <v/>
      </c>
    </row>
    <row r="45" spans="1:13" x14ac:dyDescent="0.25">
      <c r="A45" s="13">
        <v>19</v>
      </c>
      <c r="B45" s="91" t="s">
        <v>76</v>
      </c>
      <c r="C45" s="13">
        <v>10</v>
      </c>
      <c r="D45" s="35"/>
      <c r="E45" s="17" t="str">
        <f t="shared" si="4"/>
        <v/>
      </c>
      <c r="F45" s="17" t="str">
        <f t="shared" si="5"/>
        <v/>
      </c>
      <c r="G45"/>
      <c r="H45" s="13">
        <v>19</v>
      </c>
      <c r="I45" s="91" t="s">
        <v>76</v>
      </c>
      <c r="J45" s="13">
        <v>11</v>
      </c>
      <c r="K45" s="35"/>
      <c r="L45" s="17" t="str">
        <f t="shared" si="6"/>
        <v/>
      </c>
      <c r="M45" s="17" t="str">
        <f t="shared" si="7"/>
        <v/>
      </c>
    </row>
    <row r="46" spans="1:13" x14ac:dyDescent="0.25">
      <c r="A46" s="13">
        <v>20</v>
      </c>
      <c r="B46" s="91" t="s">
        <v>76</v>
      </c>
      <c r="C46" s="13">
        <v>10</v>
      </c>
      <c r="D46" s="35"/>
      <c r="E46" s="17" t="str">
        <f t="shared" si="4"/>
        <v/>
      </c>
      <c r="F46" s="17" t="str">
        <f t="shared" si="5"/>
        <v/>
      </c>
      <c r="G46"/>
      <c r="H46" s="13">
        <v>20</v>
      </c>
      <c r="I46" s="91" t="s">
        <v>76</v>
      </c>
      <c r="J46" s="13">
        <v>11</v>
      </c>
      <c r="K46" s="35"/>
      <c r="L46" s="17" t="str">
        <f t="shared" si="6"/>
        <v/>
      </c>
      <c r="M46" s="17" t="str">
        <f t="shared" si="7"/>
        <v/>
      </c>
    </row>
    <row r="47" spans="1:13" x14ac:dyDescent="0.25">
      <c r="A47" s="4" t="s">
        <v>174</v>
      </c>
      <c r="B47" s="12"/>
      <c r="C47" s="12"/>
      <c r="D47" s="4"/>
      <c r="E47" s="4"/>
      <c r="F47" s="4"/>
      <c r="G47"/>
      <c r="H47" s="4" t="s">
        <v>175</v>
      </c>
      <c r="I47" s="12"/>
      <c r="J47" s="12"/>
      <c r="K47" s="4"/>
      <c r="L47" s="4"/>
      <c r="M47" s="4"/>
    </row>
    <row r="48" spans="1:13" ht="23.25" x14ac:dyDescent="0.25">
      <c r="A48" s="15" t="s">
        <v>0</v>
      </c>
      <c r="B48" s="15" t="s">
        <v>55</v>
      </c>
      <c r="C48" s="15" t="s">
        <v>56</v>
      </c>
      <c r="D48" s="16" t="s">
        <v>8</v>
      </c>
      <c r="E48" s="15" t="s">
        <v>2</v>
      </c>
      <c r="F48" s="15" t="s">
        <v>1</v>
      </c>
      <c r="G48"/>
      <c r="H48" s="15" t="s">
        <v>0</v>
      </c>
      <c r="I48" s="15" t="s">
        <v>55</v>
      </c>
      <c r="J48" s="15" t="s">
        <v>56</v>
      </c>
      <c r="K48" s="16" t="s">
        <v>8</v>
      </c>
      <c r="L48" s="15" t="s">
        <v>2</v>
      </c>
      <c r="M48" s="15" t="s">
        <v>1</v>
      </c>
    </row>
    <row r="49" spans="1:13" x14ac:dyDescent="0.25">
      <c r="A49" s="13">
        <v>1</v>
      </c>
      <c r="B49" s="91" t="s">
        <v>76</v>
      </c>
      <c r="C49" s="13">
        <v>12</v>
      </c>
      <c r="D49" s="35"/>
      <c r="E49" s="17" t="str">
        <f t="shared" ref="E49:E68" si="8">IF(D49&gt;0,VLOOKUP(D49,Jumpers,3),"")</f>
        <v/>
      </c>
      <c r="F49" s="17" t="str">
        <f t="shared" ref="F49:F68" si="9">IF(D49&gt;0,VLOOKUP(D49,Jumpers,2),"")</f>
        <v/>
      </c>
      <c r="G49"/>
      <c r="H49" s="13">
        <v>1</v>
      </c>
      <c r="I49" s="91" t="s">
        <v>76</v>
      </c>
      <c r="J49" s="13">
        <v>13</v>
      </c>
      <c r="K49" s="35"/>
      <c r="L49" s="17" t="str">
        <f t="shared" ref="L49:L68" si="10">IF(K49&gt;0,VLOOKUP(K49,Jumpers,3),"")</f>
        <v/>
      </c>
      <c r="M49" s="17" t="str">
        <f t="shared" ref="M49:M68" si="11">IF(K49&gt;0,VLOOKUP(K49,Jumpers,2),"")</f>
        <v/>
      </c>
    </row>
    <row r="50" spans="1:13" x14ac:dyDescent="0.25">
      <c r="A50" s="13">
        <v>2</v>
      </c>
      <c r="B50" s="91" t="s">
        <v>76</v>
      </c>
      <c r="C50" s="13">
        <v>12</v>
      </c>
      <c r="D50" s="35"/>
      <c r="E50" s="17" t="str">
        <f t="shared" si="8"/>
        <v/>
      </c>
      <c r="F50" s="17" t="str">
        <f t="shared" si="9"/>
        <v/>
      </c>
      <c r="G50"/>
      <c r="H50" s="13">
        <v>2</v>
      </c>
      <c r="I50" s="91" t="s">
        <v>76</v>
      </c>
      <c r="J50" s="13">
        <v>13</v>
      </c>
      <c r="K50" s="35"/>
      <c r="L50" s="17" t="str">
        <f t="shared" si="10"/>
        <v/>
      </c>
      <c r="M50" s="17" t="str">
        <f t="shared" si="11"/>
        <v/>
      </c>
    </row>
    <row r="51" spans="1:13" x14ac:dyDescent="0.25">
      <c r="A51" s="13">
        <v>3</v>
      </c>
      <c r="B51" s="91" t="s">
        <v>76</v>
      </c>
      <c r="C51" s="13">
        <v>12</v>
      </c>
      <c r="D51" s="35"/>
      <c r="E51" s="17" t="str">
        <f t="shared" si="8"/>
        <v/>
      </c>
      <c r="F51" s="17" t="str">
        <f t="shared" si="9"/>
        <v/>
      </c>
      <c r="G51"/>
      <c r="H51" s="13">
        <v>3</v>
      </c>
      <c r="I51" s="91" t="s">
        <v>76</v>
      </c>
      <c r="J51" s="13">
        <v>13</v>
      </c>
      <c r="K51" s="35"/>
      <c r="L51" s="17" t="str">
        <f t="shared" si="10"/>
        <v/>
      </c>
      <c r="M51" s="17" t="str">
        <f t="shared" si="11"/>
        <v/>
      </c>
    </row>
    <row r="52" spans="1:13" x14ac:dyDescent="0.25">
      <c r="A52" s="13">
        <v>4</v>
      </c>
      <c r="B52" s="91" t="s">
        <v>76</v>
      </c>
      <c r="C52" s="13">
        <v>12</v>
      </c>
      <c r="D52" s="35"/>
      <c r="E52" s="17" t="str">
        <f t="shared" si="8"/>
        <v/>
      </c>
      <c r="F52" s="17" t="str">
        <f t="shared" si="9"/>
        <v/>
      </c>
      <c r="G52"/>
      <c r="H52" s="13">
        <v>4</v>
      </c>
      <c r="I52" s="91" t="s">
        <v>76</v>
      </c>
      <c r="J52" s="13">
        <v>13</v>
      </c>
      <c r="K52" s="35"/>
      <c r="L52" s="17" t="str">
        <f t="shared" si="10"/>
        <v/>
      </c>
      <c r="M52" s="17" t="str">
        <f t="shared" si="11"/>
        <v/>
      </c>
    </row>
    <row r="53" spans="1:13" x14ac:dyDescent="0.25">
      <c r="A53" s="13">
        <v>5</v>
      </c>
      <c r="B53" s="91" t="s">
        <v>76</v>
      </c>
      <c r="C53" s="13">
        <v>12</v>
      </c>
      <c r="D53" s="35"/>
      <c r="E53" s="17" t="str">
        <f t="shared" si="8"/>
        <v/>
      </c>
      <c r="F53" s="17" t="str">
        <f t="shared" si="9"/>
        <v/>
      </c>
      <c r="G53"/>
      <c r="H53" s="13">
        <v>5</v>
      </c>
      <c r="I53" s="91" t="s">
        <v>76</v>
      </c>
      <c r="J53" s="13">
        <v>13</v>
      </c>
      <c r="K53" s="35"/>
      <c r="L53" s="17" t="str">
        <f t="shared" si="10"/>
        <v/>
      </c>
      <c r="M53" s="17" t="str">
        <f t="shared" si="11"/>
        <v/>
      </c>
    </row>
    <row r="54" spans="1:13" x14ac:dyDescent="0.25">
      <c r="A54" s="13">
        <v>6</v>
      </c>
      <c r="B54" s="91" t="s">
        <v>76</v>
      </c>
      <c r="C54" s="13">
        <v>12</v>
      </c>
      <c r="D54" s="35"/>
      <c r="E54" s="17" t="str">
        <f t="shared" si="8"/>
        <v/>
      </c>
      <c r="F54" s="17" t="str">
        <f t="shared" si="9"/>
        <v/>
      </c>
      <c r="G54"/>
      <c r="H54" s="13">
        <v>6</v>
      </c>
      <c r="I54" s="91" t="s">
        <v>76</v>
      </c>
      <c r="J54" s="13">
        <v>13</v>
      </c>
      <c r="K54" s="35"/>
      <c r="L54" s="17" t="str">
        <f t="shared" si="10"/>
        <v/>
      </c>
      <c r="M54" s="17" t="str">
        <f t="shared" si="11"/>
        <v/>
      </c>
    </row>
    <row r="55" spans="1:13" x14ac:dyDescent="0.25">
      <c r="A55" s="13">
        <v>7</v>
      </c>
      <c r="B55" s="91" t="s">
        <v>76</v>
      </c>
      <c r="C55" s="13">
        <v>12</v>
      </c>
      <c r="D55" s="35"/>
      <c r="E55" s="17" t="str">
        <f t="shared" si="8"/>
        <v/>
      </c>
      <c r="F55" s="17" t="str">
        <f t="shared" si="9"/>
        <v/>
      </c>
      <c r="G55"/>
      <c r="H55" s="13">
        <v>7</v>
      </c>
      <c r="I55" s="91" t="s">
        <v>76</v>
      </c>
      <c r="J55" s="13">
        <v>13</v>
      </c>
      <c r="K55" s="35"/>
      <c r="L55" s="17" t="str">
        <f t="shared" si="10"/>
        <v/>
      </c>
      <c r="M55" s="17" t="str">
        <f t="shared" si="11"/>
        <v/>
      </c>
    </row>
    <row r="56" spans="1:13" x14ac:dyDescent="0.25">
      <c r="A56" s="13">
        <v>8</v>
      </c>
      <c r="B56" s="91" t="s">
        <v>76</v>
      </c>
      <c r="C56" s="13">
        <v>12</v>
      </c>
      <c r="D56" s="35"/>
      <c r="E56" s="17" t="str">
        <f t="shared" si="8"/>
        <v/>
      </c>
      <c r="F56" s="17" t="str">
        <f t="shared" si="9"/>
        <v/>
      </c>
      <c r="G56"/>
      <c r="H56" s="13">
        <v>8</v>
      </c>
      <c r="I56" s="91" t="s">
        <v>76</v>
      </c>
      <c r="J56" s="13">
        <v>13</v>
      </c>
      <c r="K56" s="35"/>
      <c r="L56" s="17" t="str">
        <f t="shared" si="10"/>
        <v/>
      </c>
      <c r="M56" s="17" t="str">
        <f t="shared" si="11"/>
        <v/>
      </c>
    </row>
    <row r="57" spans="1:13" x14ac:dyDescent="0.25">
      <c r="A57" s="13">
        <v>9</v>
      </c>
      <c r="B57" s="91" t="s">
        <v>76</v>
      </c>
      <c r="C57" s="13">
        <v>12</v>
      </c>
      <c r="D57" s="35"/>
      <c r="E57" s="17" t="str">
        <f t="shared" si="8"/>
        <v/>
      </c>
      <c r="F57" s="17" t="str">
        <f t="shared" si="9"/>
        <v/>
      </c>
      <c r="G57"/>
      <c r="H57" s="13">
        <v>9</v>
      </c>
      <c r="I57" s="91" t="s">
        <v>76</v>
      </c>
      <c r="J57" s="13">
        <v>13</v>
      </c>
      <c r="K57" s="35"/>
      <c r="L57" s="17" t="str">
        <f t="shared" si="10"/>
        <v/>
      </c>
      <c r="M57" s="17" t="str">
        <f t="shared" si="11"/>
        <v/>
      </c>
    </row>
    <row r="58" spans="1:13" x14ac:dyDescent="0.25">
      <c r="A58" s="13">
        <v>10</v>
      </c>
      <c r="B58" s="91" t="s">
        <v>76</v>
      </c>
      <c r="C58" s="13">
        <v>12</v>
      </c>
      <c r="D58" s="35"/>
      <c r="E58" s="17" t="str">
        <f t="shared" si="8"/>
        <v/>
      </c>
      <c r="F58" s="17" t="str">
        <f t="shared" si="9"/>
        <v/>
      </c>
      <c r="G58"/>
      <c r="H58" s="13">
        <v>10</v>
      </c>
      <c r="I58" s="91" t="s">
        <v>76</v>
      </c>
      <c r="J58" s="13">
        <v>13</v>
      </c>
      <c r="K58" s="35"/>
      <c r="L58" s="17" t="str">
        <f t="shared" si="10"/>
        <v/>
      </c>
      <c r="M58" s="17" t="str">
        <f t="shared" si="11"/>
        <v/>
      </c>
    </row>
    <row r="59" spans="1:13" x14ac:dyDescent="0.25">
      <c r="A59" s="13">
        <v>11</v>
      </c>
      <c r="B59" s="91" t="s">
        <v>76</v>
      </c>
      <c r="C59" s="13">
        <v>12</v>
      </c>
      <c r="D59" s="35"/>
      <c r="E59" s="17" t="str">
        <f t="shared" si="8"/>
        <v/>
      </c>
      <c r="F59" s="17" t="str">
        <f t="shared" si="9"/>
        <v/>
      </c>
      <c r="G59"/>
      <c r="H59" s="13">
        <v>11</v>
      </c>
      <c r="I59" s="91" t="s">
        <v>76</v>
      </c>
      <c r="J59" s="13">
        <v>13</v>
      </c>
      <c r="K59" s="35"/>
      <c r="L59" s="17" t="str">
        <f t="shared" si="10"/>
        <v/>
      </c>
      <c r="M59" s="17" t="str">
        <f t="shared" si="11"/>
        <v/>
      </c>
    </row>
    <row r="60" spans="1:13" x14ac:dyDescent="0.25">
      <c r="A60" s="13">
        <v>12</v>
      </c>
      <c r="B60" s="91" t="s">
        <v>76</v>
      </c>
      <c r="C60" s="13">
        <v>12</v>
      </c>
      <c r="D60" s="35"/>
      <c r="E60" s="17" t="str">
        <f t="shared" si="8"/>
        <v/>
      </c>
      <c r="F60" s="17" t="str">
        <f t="shared" si="9"/>
        <v/>
      </c>
      <c r="G60"/>
      <c r="H60" s="13">
        <v>12</v>
      </c>
      <c r="I60" s="91" t="s">
        <v>76</v>
      </c>
      <c r="J60" s="13">
        <v>13</v>
      </c>
      <c r="K60" s="35"/>
      <c r="L60" s="17" t="str">
        <f t="shared" si="10"/>
        <v/>
      </c>
      <c r="M60" s="17" t="str">
        <f t="shared" si="11"/>
        <v/>
      </c>
    </row>
    <row r="61" spans="1:13" x14ac:dyDescent="0.25">
      <c r="A61" s="13">
        <v>13</v>
      </c>
      <c r="B61" s="91" t="s">
        <v>76</v>
      </c>
      <c r="C61" s="13">
        <v>12</v>
      </c>
      <c r="D61" s="35"/>
      <c r="E61" s="17" t="str">
        <f t="shared" si="8"/>
        <v/>
      </c>
      <c r="F61" s="17" t="str">
        <f t="shared" si="9"/>
        <v/>
      </c>
      <c r="G61"/>
      <c r="H61" s="13">
        <v>13</v>
      </c>
      <c r="I61" s="91" t="s">
        <v>76</v>
      </c>
      <c r="J61" s="13">
        <v>13</v>
      </c>
      <c r="K61" s="35"/>
      <c r="L61" s="17" t="str">
        <f t="shared" si="10"/>
        <v/>
      </c>
      <c r="M61" s="17" t="str">
        <f t="shared" si="11"/>
        <v/>
      </c>
    </row>
    <row r="62" spans="1:13" x14ac:dyDescent="0.25">
      <c r="A62" s="13">
        <v>14</v>
      </c>
      <c r="B62" s="91" t="s">
        <v>76</v>
      </c>
      <c r="C62" s="13">
        <v>12</v>
      </c>
      <c r="D62" s="35"/>
      <c r="E62" s="17" t="str">
        <f t="shared" si="8"/>
        <v/>
      </c>
      <c r="F62" s="17" t="str">
        <f t="shared" si="9"/>
        <v/>
      </c>
      <c r="G62"/>
      <c r="H62" s="13">
        <v>14</v>
      </c>
      <c r="I62" s="91" t="s">
        <v>76</v>
      </c>
      <c r="J62" s="13">
        <v>13</v>
      </c>
      <c r="K62" s="35"/>
      <c r="L62" s="17" t="str">
        <f t="shared" si="10"/>
        <v/>
      </c>
      <c r="M62" s="17" t="str">
        <f t="shared" si="11"/>
        <v/>
      </c>
    </row>
    <row r="63" spans="1:13" x14ac:dyDescent="0.25">
      <c r="A63" s="13">
        <v>15</v>
      </c>
      <c r="B63" s="91" t="s">
        <v>76</v>
      </c>
      <c r="C63" s="13">
        <v>12</v>
      </c>
      <c r="D63" s="35"/>
      <c r="E63" s="17" t="str">
        <f t="shared" si="8"/>
        <v/>
      </c>
      <c r="F63" s="17" t="str">
        <f t="shared" si="9"/>
        <v/>
      </c>
      <c r="G63"/>
      <c r="H63" s="13">
        <v>15</v>
      </c>
      <c r="I63" s="91" t="s">
        <v>76</v>
      </c>
      <c r="J63" s="13">
        <v>13</v>
      </c>
      <c r="K63" s="35"/>
      <c r="L63" s="17" t="str">
        <f t="shared" si="10"/>
        <v/>
      </c>
      <c r="M63" s="17" t="str">
        <f t="shared" si="11"/>
        <v/>
      </c>
    </row>
    <row r="64" spans="1:13" x14ac:dyDescent="0.25">
      <c r="A64" s="13">
        <v>16</v>
      </c>
      <c r="B64" s="91" t="s">
        <v>76</v>
      </c>
      <c r="C64" s="13">
        <v>12</v>
      </c>
      <c r="D64" s="35"/>
      <c r="E64" s="17" t="str">
        <f t="shared" si="8"/>
        <v/>
      </c>
      <c r="F64" s="17" t="str">
        <f t="shared" si="9"/>
        <v/>
      </c>
      <c r="G64"/>
      <c r="H64" s="13">
        <v>16</v>
      </c>
      <c r="I64" s="91" t="s">
        <v>76</v>
      </c>
      <c r="J64" s="13">
        <v>13</v>
      </c>
      <c r="K64" s="35"/>
      <c r="L64" s="17" t="str">
        <f t="shared" si="10"/>
        <v/>
      </c>
      <c r="M64" s="17" t="str">
        <f t="shared" si="11"/>
        <v/>
      </c>
    </row>
    <row r="65" spans="1:13" x14ac:dyDescent="0.25">
      <c r="A65" s="13">
        <v>17</v>
      </c>
      <c r="B65" s="91" t="s">
        <v>76</v>
      </c>
      <c r="C65" s="13">
        <v>12</v>
      </c>
      <c r="D65" s="35"/>
      <c r="E65" s="17" t="str">
        <f t="shared" si="8"/>
        <v/>
      </c>
      <c r="F65" s="17" t="str">
        <f t="shared" si="9"/>
        <v/>
      </c>
      <c r="G65"/>
      <c r="H65" s="13">
        <v>17</v>
      </c>
      <c r="I65" s="91" t="s">
        <v>76</v>
      </c>
      <c r="J65" s="13">
        <v>13</v>
      </c>
      <c r="K65" s="35"/>
      <c r="L65" s="17" t="str">
        <f t="shared" si="10"/>
        <v/>
      </c>
      <c r="M65" s="17" t="str">
        <f t="shared" si="11"/>
        <v/>
      </c>
    </row>
    <row r="66" spans="1:13" x14ac:dyDescent="0.25">
      <c r="A66" s="13">
        <v>18</v>
      </c>
      <c r="B66" s="91" t="s">
        <v>76</v>
      </c>
      <c r="C66" s="13">
        <v>12</v>
      </c>
      <c r="D66" s="35"/>
      <c r="E66" s="17" t="str">
        <f t="shared" si="8"/>
        <v/>
      </c>
      <c r="F66" s="17" t="str">
        <f t="shared" si="9"/>
        <v/>
      </c>
      <c r="G66"/>
      <c r="H66" s="13">
        <v>18</v>
      </c>
      <c r="I66" s="91" t="s">
        <v>76</v>
      </c>
      <c r="J66" s="13">
        <v>13</v>
      </c>
      <c r="K66" s="35"/>
      <c r="L66" s="17" t="str">
        <f t="shared" si="10"/>
        <v/>
      </c>
      <c r="M66" s="17" t="str">
        <f t="shared" si="11"/>
        <v/>
      </c>
    </row>
    <row r="67" spans="1:13" x14ac:dyDescent="0.25">
      <c r="A67" s="13">
        <v>19</v>
      </c>
      <c r="B67" s="91" t="s">
        <v>76</v>
      </c>
      <c r="C67" s="13">
        <v>12</v>
      </c>
      <c r="D67" s="35"/>
      <c r="E67" s="17" t="str">
        <f t="shared" si="8"/>
        <v/>
      </c>
      <c r="F67" s="17" t="str">
        <f t="shared" si="9"/>
        <v/>
      </c>
      <c r="G67"/>
      <c r="H67" s="13">
        <v>19</v>
      </c>
      <c r="I67" s="91" t="s">
        <v>76</v>
      </c>
      <c r="J67" s="13">
        <v>13</v>
      </c>
      <c r="K67" s="35"/>
      <c r="L67" s="17" t="str">
        <f t="shared" si="10"/>
        <v/>
      </c>
      <c r="M67" s="17" t="str">
        <f t="shared" si="11"/>
        <v/>
      </c>
    </row>
    <row r="68" spans="1:13" x14ac:dyDescent="0.25">
      <c r="A68" s="13">
        <v>20</v>
      </c>
      <c r="B68" s="91" t="s">
        <v>76</v>
      </c>
      <c r="C68" s="13">
        <v>12</v>
      </c>
      <c r="D68" s="35"/>
      <c r="E68" s="17" t="str">
        <f t="shared" si="8"/>
        <v/>
      </c>
      <c r="F68" s="17" t="str">
        <f t="shared" si="9"/>
        <v/>
      </c>
      <c r="G68"/>
      <c r="H68" s="13">
        <v>20</v>
      </c>
      <c r="I68" s="91" t="s">
        <v>76</v>
      </c>
      <c r="J68" s="13">
        <v>13</v>
      </c>
      <c r="K68" s="35"/>
      <c r="L68" s="17" t="str">
        <f t="shared" si="10"/>
        <v/>
      </c>
      <c r="M68" s="17" t="str">
        <f t="shared" si="11"/>
        <v/>
      </c>
    </row>
    <row r="69" spans="1:13" x14ac:dyDescent="0.25">
      <c r="A69" s="4" t="s">
        <v>176</v>
      </c>
      <c r="B69" s="12"/>
      <c r="C69" s="12"/>
      <c r="D69" s="4"/>
      <c r="E69" s="4"/>
      <c r="F69" s="4"/>
      <c r="G69"/>
      <c r="H69" s="4" t="s">
        <v>221</v>
      </c>
      <c r="I69" s="12"/>
      <c r="J69" s="12"/>
      <c r="K69" s="4"/>
      <c r="L69" s="4"/>
      <c r="M69" s="4"/>
    </row>
    <row r="70" spans="1:13" ht="23.25" x14ac:dyDescent="0.25">
      <c r="A70" s="15" t="s">
        <v>0</v>
      </c>
      <c r="B70" s="15" t="s">
        <v>55</v>
      </c>
      <c r="C70" s="15" t="s">
        <v>56</v>
      </c>
      <c r="D70" s="16" t="s">
        <v>8</v>
      </c>
      <c r="E70" s="15" t="s">
        <v>2</v>
      </c>
      <c r="F70" s="15" t="s">
        <v>1</v>
      </c>
      <c r="G70"/>
      <c r="H70" s="15" t="s">
        <v>0</v>
      </c>
      <c r="I70" s="15" t="s">
        <v>55</v>
      </c>
      <c r="J70" s="15" t="s">
        <v>56</v>
      </c>
      <c r="K70" s="16" t="s">
        <v>8</v>
      </c>
      <c r="L70" s="15" t="s">
        <v>2</v>
      </c>
      <c r="M70" s="15" t="s">
        <v>1</v>
      </c>
    </row>
    <row r="71" spans="1:13" x14ac:dyDescent="0.25">
      <c r="A71" s="13">
        <v>1</v>
      </c>
      <c r="B71" s="91" t="s">
        <v>76</v>
      </c>
      <c r="C71" s="13">
        <v>14</v>
      </c>
      <c r="D71" s="35"/>
      <c r="E71" s="17" t="str">
        <f t="shared" ref="E71:E90" si="12">IF(D71&gt;0,VLOOKUP(D71,Jumpers,3),"")</f>
        <v/>
      </c>
      <c r="F71" s="17" t="str">
        <f t="shared" ref="F71:F90" si="13">IF(D71&gt;0,VLOOKUP(D71,Jumpers,2),"")</f>
        <v/>
      </c>
      <c r="G71"/>
      <c r="H71" s="13">
        <v>1</v>
      </c>
      <c r="I71" s="91" t="s">
        <v>76</v>
      </c>
      <c r="J71" s="91" t="s">
        <v>214</v>
      </c>
      <c r="K71" s="35"/>
      <c r="L71" s="17" t="str">
        <f t="shared" ref="L71:L90" si="14">IF(K71&gt;0,VLOOKUP(K71,Jumpers,3),"")</f>
        <v/>
      </c>
      <c r="M71" s="17" t="str">
        <f t="shared" ref="M71:M90" si="15">IF(K71&gt;0,VLOOKUP(K71,Jumpers,2),"")</f>
        <v/>
      </c>
    </row>
    <row r="72" spans="1:13" x14ac:dyDescent="0.25">
      <c r="A72" s="13">
        <v>2</v>
      </c>
      <c r="B72" s="91" t="s">
        <v>76</v>
      </c>
      <c r="C72" s="13">
        <v>14</v>
      </c>
      <c r="D72" s="35"/>
      <c r="E72" s="17" t="str">
        <f t="shared" si="12"/>
        <v/>
      </c>
      <c r="F72" s="17" t="str">
        <f t="shared" si="13"/>
        <v/>
      </c>
      <c r="G72"/>
      <c r="H72" s="13">
        <v>2</v>
      </c>
      <c r="I72" s="91" t="s">
        <v>76</v>
      </c>
      <c r="J72" s="91" t="s">
        <v>214</v>
      </c>
      <c r="K72" s="35"/>
      <c r="L72" s="17" t="str">
        <f t="shared" si="14"/>
        <v/>
      </c>
      <c r="M72" s="17" t="str">
        <f t="shared" si="15"/>
        <v/>
      </c>
    </row>
    <row r="73" spans="1:13" x14ac:dyDescent="0.25">
      <c r="A73" s="13">
        <v>3</v>
      </c>
      <c r="B73" s="91" t="s">
        <v>76</v>
      </c>
      <c r="C73" s="13">
        <v>14</v>
      </c>
      <c r="D73" s="35"/>
      <c r="E73" s="17" t="str">
        <f t="shared" si="12"/>
        <v/>
      </c>
      <c r="F73" s="17" t="str">
        <f t="shared" si="13"/>
        <v/>
      </c>
      <c r="G73"/>
      <c r="H73" s="13">
        <v>3</v>
      </c>
      <c r="I73" s="91" t="s">
        <v>76</v>
      </c>
      <c r="J73" s="91" t="s">
        <v>214</v>
      </c>
      <c r="K73" s="35"/>
      <c r="L73" s="17" t="str">
        <f t="shared" si="14"/>
        <v/>
      </c>
      <c r="M73" s="17" t="str">
        <f t="shared" si="15"/>
        <v/>
      </c>
    </row>
    <row r="74" spans="1:13" x14ac:dyDescent="0.25">
      <c r="A74" s="13">
        <v>4</v>
      </c>
      <c r="B74" s="91" t="s">
        <v>76</v>
      </c>
      <c r="C74" s="13">
        <v>14</v>
      </c>
      <c r="D74" s="35"/>
      <c r="E74" s="17" t="str">
        <f t="shared" si="12"/>
        <v/>
      </c>
      <c r="F74" s="17" t="str">
        <f t="shared" si="13"/>
        <v/>
      </c>
      <c r="G74"/>
      <c r="H74" s="13">
        <v>4</v>
      </c>
      <c r="I74" s="91" t="s">
        <v>76</v>
      </c>
      <c r="J74" s="91" t="s">
        <v>214</v>
      </c>
      <c r="K74" s="35"/>
      <c r="L74" s="17" t="str">
        <f t="shared" si="14"/>
        <v/>
      </c>
      <c r="M74" s="17" t="str">
        <f t="shared" si="15"/>
        <v/>
      </c>
    </row>
    <row r="75" spans="1:13" x14ac:dyDescent="0.25">
      <c r="A75" s="13">
        <v>5</v>
      </c>
      <c r="B75" s="91" t="s">
        <v>76</v>
      </c>
      <c r="C75" s="13">
        <v>14</v>
      </c>
      <c r="D75" s="35"/>
      <c r="E75" s="17" t="str">
        <f t="shared" si="12"/>
        <v/>
      </c>
      <c r="F75" s="17" t="str">
        <f t="shared" si="13"/>
        <v/>
      </c>
      <c r="G75"/>
      <c r="H75" s="13">
        <v>5</v>
      </c>
      <c r="I75" s="91" t="s">
        <v>76</v>
      </c>
      <c r="J75" s="91" t="s">
        <v>214</v>
      </c>
      <c r="K75" s="35"/>
      <c r="L75" s="17" t="str">
        <f t="shared" si="14"/>
        <v/>
      </c>
      <c r="M75" s="17" t="str">
        <f t="shared" si="15"/>
        <v/>
      </c>
    </row>
    <row r="76" spans="1:13" x14ac:dyDescent="0.25">
      <c r="A76" s="13">
        <v>6</v>
      </c>
      <c r="B76" s="91" t="s">
        <v>76</v>
      </c>
      <c r="C76" s="13">
        <v>14</v>
      </c>
      <c r="D76" s="35"/>
      <c r="E76" s="17" t="str">
        <f t="shared" si="12"/>
        <v/>
      </c>
      <c r="F76" s="17" t="str">
        <f t="shared" si="13"/>
        <v/>
      </c>
      <c r="G76"/>
      <c r="H76" s="13">
        <v>6</v>
      </c>
      <c r="I76" s="91" t="s">
        <v>76</v>
      </c>
      <c r="J76" s="91" t="s">
        <v>214</v>
      </c>
      <c r="K76" s="35"/>
      <c r="L76" s="17" t="str">
        <f t="shared" si="14"/>
        <v/>
      </c>
      <c r="M76" s="17" t="str">
        <f t="shared" si="15"/>
        <v/>
      </c>
    </row>
    <row r="77" spans="1:13" x14ac:dyDescent="0.25">
      <c r="A77" s="13">
        <v>7</v>
      </c>
      <c r="B77" s="91" t="s">
        <v>76</v>
      </c>
      <c r="C77" s="13">
        <v>14</v>
      </c>
      <c r="D77" s="35"/>
      <c r="E77" s="17" t="str">
        <f t="shared" si="12"/>
        <v/>
      </c>
      <c r="F77" s="17" t="str">
        <f t="shared" si="13"/>
        <v/>
      </c>
      <c r="G77"/>
      <c r="H77" s="13">
        <v>7</v>
      </c>
      <c r="I77" s="91" t="s">
        <v>76</v>
      </c>
      <c r="J77" s="91" t="s">
        <v>214</v>
      </c>
      <c r="K77" s="35"/>
      <c r="L77" s="17" t="str">
        <f t="shared" si="14"/>
        <v/>
      </c>
      <c r="M77" s="17" t="str">
        <f t="shared" si="15"/>
        <v/>
      </c>
    </row>
    <row r="78" spans="1:13" x14ac:dyDescent="0.25">
      <c r="A78" s="13">
        <v>8</v>
      </c>
      <c r="B78" s="91" t="s">
        <v>76</v>
      </c>
      <c r="C78" s="13">
        <v>14</v>
      </c>
      <c r="D78" s="35"/>
      <c r="E78" s="17" t="str">
        <f t="shared" si="12"/>
        <v/>
      </c>
      <c r="F78" s="17" t="str">
        <f t="shared" si="13"/>
        <v/>
      </c>
      <c r="G78"/>
      <c r="H78" s="13">
        <v>8</v>
      </c>
      <c r="I78" s="91" t="s">
        <v>76</v>
      </c>
      <c r="J78" s="91" t="s">
        <v>214</v>
      </c>
      <c r="K78" s="35"/>
      <c r="L78" s="17" t="str">
        <f t="shared" si="14"/>
        <v/>
      </c>
      <c r="M78" s="17" t="str">
        <f t="shared" si="15"/>
        <v/>
      </c>
    </row>
    <row r="79" spans="1:13" x14ac:dyDescent="0.25">
      <c r="A79" s="13">
        <v>9</v>
      </c>
      <c r="B79" s="91" t="s">
        <v>76</v>
      </c>
      <c r="C79" s="13">
        <v>14</v>
      </c>
      <c r="D79" s="35"/>
      <c r="E79" s="17" t="str">
        <f t="shared" si="12"/>
        <v/>
      </c>
      <c r="F79" s="17" t="str">
        <f t="shared" si="13"/>
        <v/>
      </c>
      <c r="G79"/>
      <c r="H79" s="13">
        <v>9</v>
      </c>
      <c r="I79" s="91" t="s">
        <v>76</v>
      </c>
      <c r="J79" s="91" t="s">
        <v>214</v>
      </c>
      <c r="K79" s="35"/>
      <c r="L79" s="17" t="str">
        <f t="shared" si="14"/>
        <v/>
      </c>
      <c r="M79" s="17" t="str">
        <f t="shared" si="15"/>
        <v/>
      </c>
    </row>
    <row r="80" spans="1:13" x14ac:dyDescent="0.25">
      <c r="A80" s="13">
        <v>10</v>
      </c>
      <c r="B80" s="91" t="s">
        <v>76</v>
      </c>
      <c r="C80" s="13">
        <v>14</v>
      </c>
      <c r="D80" s="35"/>
      <c r="E80" s="17" t="str">
        <f t="shared" si="12"/>
        <v/>
      </c>
      <c r="F80" s="17" t="str">
        <f t="shared" si="13"/>
        <v/>
      </c>
      <c r="G80"/>
      <c r="H80" s="13">
        <v>10</v>
      </c>
      <c r="I80" s="91" t="s">
        <v>76</v>
      </c>
      <c r="J80" s="91" t="s">
        <v>214</v>
      </c>
      <c r="K80" s="35"/>
      <c r="L80" s="17" t="str">
        <f t="shared" si="14"/>
        <v/>
      </c>
      <c r="M80" s="17" t="str">
        <f t="shared" si="15"/>
        <v/>
      </c>
    </row>
    <row r="81" spans="1:13" x14ac:dyDescent="0.25">
      <c r="A81" s="13">
        <v>11</v>
      </c>
      <c r="B81" s="91" t="s">
        <v>76</v>
      </c>
      <c r="C81" s="13">
        <v>14</v>
      </c>
      <c r="D81" s="35"/>
      <c r="E81" s="17" t="str">
        <f t="shared" si="12"/>
        <v/>
      </c>
      <c r="F81" s="17" t="str">
        <f t="shared" si="13"/>
        <v/>
      </c>
      <c r="G81"/>
      <c r="H81" s="13">
        <v>11</v>
      </c>
      <c r="I81" s="91" t="s">
        <v>76</v>
      </c>
      <c r="J81" s="91" t="s">
        <v>214</v>
      </c>
      <c r="K81" s="35"/>
      <c r="L81" s="17" t="str">
        <f t="shared" si="14"/>
        <v/>
      </c>
      <c r="M81" s="17" t="str">
        <f t="shared" si="15"/>
        <v/>
      </c>
    </row>
    <row r="82" spans="1:13" x14ac:dyDescent="0.25">
      <c r="A82" s="13">
        <v>12</v>
      </c>
      <c r="B82" s="91" t="s">
        <v>76</v>
      </c>
      <c r="C82" s="13">
        <v>14</v>
      </c>
      <c r="D82" s="35"/>
      <c r="E82" s="17" t="str">
        <f t="shared" si="12"/>
        <v/>
      </c>
      <c r="F82" s="17" t="str">
        <f t="shared" si="13"/>
        <v/>
      </c>
      <c r="G82"/>
      <c r="H82" s="13">
        <v>12</v>
      </c>
      <c r="I82" s="91" t="s">
        <v>76</v>
      </c>
      <c r="J82" s="91" t="s">
        <v>214</v>
      </c>
      <c r="K82" s="35"/>
      <c r="L82" s="17" t="str">
        <f t="shared" si="14"/>
        <v/>
      </c>
      <c r="M82" s="17" t="str">
        <f t="shared" si="15"/>
        <v/>
      </c>
    </row>
    <row r="83" spans="1:13" x14ac:dyDescent="0.25">
      <c r="A83" s="13">
        <v>13</v>
      </c>
      <c r="B83" s="91" t="s">
        <v>76</v>
      </c>
      <c r="C83" s="13">
        <v>14</v>
      </c>
      <c r="D83" s="35"/>
      <c r="E83" s="17" t="str">
        <f t="shared" si="12"/>
        <v/>
      </c>
      <c r="F83" s="17" t="str">
        <f t="shared" si="13"/>
        <v/>
      </c>
      <c r="G83"/>
      <c r="H83" s="13">
        <v>13</v>
      </c>
      <c r="I83" s="91" t="s">
        <v>76</v>
      </c>
      <c r="J83" s="91" t="s">
        <v>214</v>
      </c>
      <c r="K83" s="35"/>
      <c r="L83" s="17" t="str">
        <f t="shared" si="14"/>
        <v/>
      </c>
      <c r="M83" s="17" t="str">
        <f t="shared" si="15"/>
        <v/>
      </c>
    </row>
    <row r="84" spans="1:13" x14ac:dyDescent="0.25">
      <c r="A84" s="13">
        <v>14</v>
      </c>
      <c r="B84" s="91" t="s">
        <v>76</v>
      </c>
      <c r="C84" s="13">
        <v>14</v>
      </c>
      <c r="D84" s="35"/>
      <c r="E84" s="17" t="str">
        <f t="shared" si="12"/>
        <v/>
      </c>
      <c r="F84" s="17" t="str">
        <f t="shared" si="13"/>
        <v/>
      </c>
      <c r="G84"/>
      <c r="H84" s="13">
        <v>14</v>
      </c>
      <c r="I84" s="91" t="s">
        <v>76</v>
      </c>
      <c r="J84" s="91" t="s">
        <v>214</v>
      </c>
      <c r="K84" s="35"/>
      <c r="L84" s="17" t="str">
        <f t="shared" si="14"/>
        <v/>
      </c>
      <c r="M84" s="17" t="str">
        <f t="shared" si="15"/>
        <v/>
      </c>
    </row>
    <row r="85" spans="1:13" x14ac:dyDescent="0.25">
      <c r="A85" s="13">
        <v>15</v>
      </c>
      <c r="B85" s="91" t="s">
        <v>76</v>
      </c>
      <c r="C85" s="13">
        <v>14</v>
      </c>
      <c r="D85" s="35"/>
      <c r="E85" s="17" t="str">
        <f t="shared" si="12"/>
        <v/>
      </c>
      <c r="F85" s="17" t="str">
        <f t="shared" si="13"/>
        <v/>
      </c>
      <c r="G85"/>
      <c r="H85" s="13">
        <v>15</v>
      </c>
      <c r="I85" s="91" t="s">
        <v>76</v>
      </c>
      <c r="J85" s="91" t="s">
        <v>214</v>
      </c>
      <c r="K85" s="35"/>
      <c r="L85" s="17" t="str">
        <f t="shared" si="14"/>
        <v/>
      </c>
      <c r="M85" s="17" t="str">
        <f t="shared" si="15"/>
        <v/>
      </c>
    </row>
    <row r="86" spans="1:13" x14ac:dyDescent="0.25">
      <c r="A86" s="13">
        <v>16</v>
      </c>
      <c r="B86" s="91" t="s">
        <v>76</v>
      </c>
      <c r="C86" s="13">
        <v>14</v>
      </c>
      <c r="D86" s="35"/>
      <c r="E86" s="17" t="str">
        <f t="shared" si="12"/>
        <v/>
      </c>
      <c r="F86" s="17" t="str">
        <f t="shared" si="13"/>
        <v/>
      </c>
      <c r="G86"/>
      <c r="H86" s="13">
        <v>16</v>
      </c>
      <c r="I86" s="91" t="s">
        <v>76</v>
      </c>
      <c r="J86" s="91" t="s">
        <v>214</v>
      </c>
      <c r="K86" s="35"/>
      <c r="L86" s="17" t="str">
        <f t="shared" si="14"/>
        <v/>
      </c>
      <c r="M86" s="17" t="str">
        <f t="shared" si="15"/>
        <v/>
      </c>
    </row>
    <row r="87" spans="1:13" x14ac:dyDescent="0.25">
      <c r="A87" s="13">
        <v>17</v>
      </c>
      <c r="B87" s="91" t="s">
        <v>76</v>
      </c>
      <c r="C87" s="13">
        <v>14</v>
      </c>
      <c r="D87" s="35"/>
      <c r="E87" s="17" t="str">
        <f t="shared" si="12"/>
        <v/>
      </c>
      <c r="F87" s="17" t="str">
        <f t="shared" si="13"/>
        <v/>
      </c>
      <c r="G87"/>
      <c r="H87" s="13">
        <v>17</v>
      </c>
      <c r="I87" s="91" t="s">
        <v>76</v>
      </c>
      <c r="J87" s="91" t="s">
        <v>214</v>
      </c>
      <c r="K87" s="35"/>
      <c r="L87" s="17" t="str">
        <f t="shared" si="14"/>
        <v/>
      </c>
      <c r="M87" s="17" t="str">
        <f t="shared" si="15"/>
        <v/>
      </c>
    </row>
    <row r="88" spans="1:13" x14ac:dyDescent="0.25">
      <c r="A88" s="13">
        <v>18</v>
      </c>
      <c r="B88" s="91" t="s">
        <v>76</v>
      </c>
      <c r="C88" s="13">
        <v>14</v>
      </c>
      <c r="D88" s="35"/>
      <c r="E88" s="17" t="str">
        <f t="shared" si="12"/>
        <v/>
      </c>
      <c r="F88" s="17" t="str">
        <f t="shared" si="13"/>
        <v/>
      </c>
      <c r="G88"/>
      <c r="H88" s="13">
        <v>18</v>
      </c>
      <c r="I88" s="91" t="s">
        <v>76</v>
      </c>
      <c r="J88" s="91" t="s">
        <v>214</v>
      </c>
      <c r="K88" s="35"/>
      <c r="L88" s="17" t="str">
        <f t="shared" si="14"/>
        <v/>
      </c>
      <c r="M88" s="17" t="str">
        <f t="shared" si="15"/>
        <v/>
      </c>
    </row>
    <row r="89" spans="1:13" x14ac:dyDescent="0.25">
      <c r="A89" s="13">
        <v>19</v>
      </c>
      <c r="B89" s="91" t="s">
        <v>76</v>
      </c>
      <c r="C89" s="13">
        <v>14</v>
      </c>
      <c r="D89" s="35"/>
      <c r="E89" s="17" t="str">
        <f t="shared" si="12"/>
        <v/>
      </c>
      <c r="F89" s="17" t="str">
        <f t="shared" si="13"/>
        <v/>
      </c>
      <c r="G89"/>
      <c r="H89" s="13">
        <v>19</v>
      </c>
      <c r="I89" s="91" t="s">
        <v>76</v>
      </c>
      <c r="J89" s="91" t="s">
        <v>214</v>
      </c>
      <c r="K89" s="35"/>
      <c r="L89" s="17" t="str">
        <f t="shared" si="14"/>
        <v/>
      </c>
      <c r="M89" s="17" t="str">
        <f t="shared" si="15"/>
        <v/>
      </c>
    </row>
    <row r="90" spans="1:13" x14ac:dyDescent="0.25">
      <c r="A90" s="13">
        <v>20</v>
      </c>
      <c r="B90" s="91" t="s">
        <v>76</v>
      </c>
      <c r="C90" s="13">
        <v>14</v>
      </c>
      <c r="D90" s="35"/>
      <c r="E90" s="17" t="str">
        <f t="shared" si="12"/>
        <v/>
      </c>
      <c r="F90" s="17" t="str">
        <f t="shared" si="13"/>
        <v/>
      </c>
      <c r="G90"/>
      <c r="H90" s="13">
        <v>20</v>
      </c>
      <c r="I90" s="91" t="s">
        <v>76</v>
      </c>
      <c r="J90" s="91" t="s">
        <v>214</v>
      </c>
      <c r="K90" s="35"/>
      <c r="L90" s="17" t="str">
        <f t="shared" si="14"/>
        <v/>
      </c>
      <c r="M90" s="17" t="str">
        <f t="shared" si="15"/>
        <v/>
      </c>
    </row>
    <row r="91" spans="1:13" x14ac:dyDescent="0.25">
      <c r="A91" s="4" t="s">
        <v>220</v>
      </c>
      <c r="B91" s="12"/>
      <c r="C91" s="12"/>
      <c r="D91" s="4"/>
      <c r="E91" s="4"/>
      <c r="F91" s="4"/>
      <c r="G91"/>
      <c r="H91" s="4" t="s">
        <v>224</v>
      </c>
      <c r="I91" s="12"/>
      <c r="J91" s="12"/>
      <c r="K91" s="4"/>
      <c r="L91" s="4"/>
      <c r="M91" s="4"/>
    </row>
    <row r="92" spans="1:13" ht="23.25" x14ac:dyDescent="0.25">
      <c r="A92" s="15" t="s">
        <v>0</v>
      </c>
      <c r="B92" s="15" t="s">
        <v>55</v>
      </c>
      <c r="C92" s="15" t="s">
        <v>56</v>
      </c>
      <c r="D92" s="16" t="s">
        <v>8</v>
      </c>
      <c r="E92" s="15" t="s">
        <v>2</v>
      </c>
      <c r="F92" s="15" t="s">
        <v>1</v>
      </c>
      <c r="G92"/>
      <c r="H92" s="15" t="s">
        <v>0</v>
      </c>
      <c r="I92" s="15" t="s">
        <v>55</v>
      </c>
      <c r="J92" s="15" t="s">
        <v>56</v>
      </c>
      <c r="K92" s="16" t="s">
        <v>8</v>
      </c>
      <c r="L92" s="15" t="s">
        <v>2</v>
      </c>
      <c r="M92" s="15" t="s">
        <v>1</v>
      </c>
    </row>
    <row r="93" spans="1:13" x14ac:dyDescent="0.25">
      <c r="A93" s="13">
        <v>1</v>
      </c>
      <c r="B93" s="91" t="s">
        <v>76</v>
      </c>
      <c r="C93" s="91" t="s">
        <v>215</v>
      </c>
      <c r="D93" s="35"/>
      <c r="E93" s="17" t="str">
        <f t="shared" ref="E93:E112" si="16">IF(D93&gt;0,VLOOKUP(D93,Jumpers,3),"")</f>
        <v/>
      </c>
      <c r="F93" s="17" t="str">
        <f t="shared" ref="F93:F112" si="17">IF(D93&gt;0,VLOOKUP(D93,Jumpers,2),"")</f>
        <v/>
      </c>
      <c r="G93"/>
      <c r="H93" s="13">
        <v>1</v>
      </c>
      <c r="I93" s="91" t="s">
        <v>76</v>
      </c>
      <c r="J93" s="91" t="s">
        <v>216</v>
      </c>
      <c r="K93" s="35"/>
      <c r="L93" s="17" t="str">
        <f t="shared" ref="L93:L112" si="18">IF(K93&gt;0,VLOOKUP(K93,Jumpers,3),"")</f>
        <v/>
      </c>
      <c r="M93" s="17" t="str">
        <f t="shared" ref="M93:M112" si="19">IF(K93&gt;0,VLOOKUP(K93,Jumpers,2),"")</f>
        <v/>
      </c>
    </row>
    <row r="94" spans="1:13" x14ac:dyDescent="0.25">
      <c r="A94" s="13">
        <v>2</v>
      </c>
      <c r="B94" s="91" t="s">
        <v>76</v>
      </c>
      <c r="C94" s="91" t="s">
        <v>215</v>
      </c>
      <c r="D94" s="35"/>
      <c r="E94" s="17" t="str">
        <f t="shared" si="16"/>
        <v/>
      </c>
      <c r="F94" s="17" t="str">
        <f t="shared" si="17"/>
        <v/>
      </c>
      <c r="G94"/>
      <c r="H94" s="13">
        <v>2</v>
      </c>
      <c r="I94" s="91" t="s">
        <v>76</v>
      </c>
      <c r="J94" s="91" t="s">
        <v>216</v>
      </c>
      <c r="K94" s="35"/>
      <c r="L94" s="17" t="str">
        <f t="shared" si="18"/>
        <v/>
      </c>
      <c r="M94" s="17" t="str">
        <f t="shared" si="19"/>
        <v/>
      </c>
    </row>
    <row r="95" spans="1:13" x14ac:dyDescent="0.25">
      <c r="A95" s="13">
        <v>3</v>
      </c>
      <c r="B95" s="91" t="s">
        <v>76</v>
      </c>
      <c r="C95" s="91" t="s">
        <v>215</v>
      </c>
      <c r="D95" s="35"/>
      <c r="E95" s="17" t="str">
        <f t="shared" si="16"/>
        <v/>
      </c>
      <c r="F95" s="17" t="str">
        <f t="shared" si="17"/>
        <v/>
      </c>
      <c r="G95"/>
      <c r="H95" s="13">
        <v>3</v>
      </c>
      <c r="I95" s="91" t="s">
        <v>76</v>
      </c>
      <c r="J95" s="91" t="s">
        <v>216</v>
      </c>
      <c r="K95" s="35"/>
      <c r="L95" s="17" t="str">
        <f t="shared" si="18"/>
        <v/>
      </c>
      <c r="M95" s="17" t="str">
        <f t="shared" si="19"/>
        <v/>
      </c>
    </row>
    <row r="96" spans="1:13" x14ac:dyDescent="0.25">
      <c r="A96" s="13">
        <v>4</v>
      </c>
      <c r="B96" s="91" t="s">
        <v>76</v>
      </c>
      <c r="C96" s="91" t="s">
        <v>215</v>
      </c>
      <c r="D96" s="35"/>
      <c r="E96" s="17" t="str">
        <f t="shared" si="16"/>
        <v/>
      </c>
      <c r="F96" s="17" t="str">
        <f t="shared" si="17"/>
        <v/>
      </c>
      <c r="G96"/>
      <c r="H96" s="13">
        <v>4</v>
      </c>
      <c r="I96" s="91" t="s">
        <v>76</v>
      </c>
      <c r="J96" s="91" t="s">
        <v>216</v>
      </c>
      <c r="K96" s="35"/>
      <c r="L96" s="17" t="str">
        <f t="shared" si="18"/>
        <v/>
      </c>
      <c r="M96" s="17" t="str">
        <f t="shared" si="19"/>
        <v/>
      </c>
    </row>
    <row r="97" spans="1:13" x14ac:dyDescent="0.25">
      <c r="A97" s="13">
        <v>5</v>
      </c>
      <c r="B97" s="91" t="s">
        <v>76</v>
      </c>
      <c r="C97" s="91" t="s">
        <v>215</v>
      </c>
      <c r="D97" s="35"/>
      <c r="E97" s="17" t="str">
        <f t="shared" si="16"/>
        <v/>
      </c>
      <c r="F97" s="17" t="str">
        <f t="shared" si="17"/>
        <v/>
      </c>
      <c r="G97"/>
      <c r="H97" s="13">
        <v>5</v>
      </c>
      <c r="I97" s="91" t="s">
        <v>76</v>
      </c>
      <c r="J97" s="91" t="s">
        <v>216</v>
      </c>
      <c r="K97" s="35"/>
      <c r="L97" s="17" t="str">
        <f t="shared" si="18"/>
        <v/>
      </c>
      <c r="M97" s="17" t="str">
        <f t="shared" si="19"/>
        <v/>
      </c>
    </row>
    <row r="98" spans="1:13" x14ac:dyDescent="0.25">
      <c r="A98" s="13">
        <v>6</v>
      </c>
      <c r="B98" s="91" t="s">
        <v>76</v>
      </c>
      <c r="C98" s="91" t="s">
        <v>215</v>
      </c>
      <c r="D98" s="35"/>
      <c r="E98" s="17" t="str">
        <f t="shared" si="16"/>
        <v/>
      </c>
      <c r="F98" s="17" t="str">
        <f t="shared" si="17"/>
        <v/>
      </c>
      <c r="G98"/>
      <c r="H98" s="13">
        <v>6</v>
      </c>
      <c r="I98" s="91" t="s">
        <v>76</v>
      </c>
      <c r="J98" s="91" t="s">
        <v>216</v>
      </c>
      <c r="K98" s="35"/>
      <c r="L98" s="17" t="str">
        <f t="shared" si="18"/>
        <v/>
      </c>
      <c r="M98" s="17" t="str">
        <f t="shared" si="19"/>
        <v/>
      </c>
    </row>
    <row r="99" spans="1:13" x14ac:dyDescent="0.25">
      <c r="A99" s="13">
        <v>7</v>
      </c>
      <c r="B99" s="91" t="s">
        <v>76</v>
      </c>
      <c r="C99" s="91" t="s">
        <v>215</v>
      </c>
      <c r="D99" s="35"/>
      <c r="E99" s="17" t="str">
        <f t="shared" si="16"/>
        <v/>
      </c>
      <c r="F99" s="17" t="str">
        <f t="shared" si="17"/>
        <v/>
      </c>
      <c r="G99"/>
      <c r="H99" s="13">
        <v>7</v>
      </c>
      <c r="I99" s="91" t="s">
        <v>76</v>
      </c>
      <c r="J99" s="91" t="s">
        <v>216</v>
      </c>
      <c r="K99" s="35"/>
      <c r="L99" s="17" t="str">
        <f t="shared" si="18"/>
        <v/>
      </c>
      <c r="M99" s="17" t="str">
        <f t="shared" si="19"/>
        <v/>
      </c>
    </row>
    <row r="100" spans="1:13" x14ac:dyDescent="0.25">
      <c r="A100" s="13">
        <v>8</v>
      </c>
      <c r="B100" s="91" t="s">
        <v>76</v>
      </c>
      <c r="C100" s="91" t="s">
        <v>215</v>
      </c>
      <c r="D100" s="35"/>
      <c r="E100" s="17" t="str">
        <f t="shared" si="16"/>
        <v/>
      </c>
      <c r="F100" s="17" t="str">
        <f t="shared" si="17"/>
        <v/>
      </c>
      <c r="G100"/>
      <c r="H100" s="13">
        <v>8</v>
      </c>
      <c r="I100" s="91" t="s">
        <v>76</v>
      </c>
      <c r="J100" s="91" t="s">
        <v>216</v>
      </c>
      <c r="K100" s="35"/>
      <c r="L100" s="17" t="str">
        <f t="shared" si="18"/>
        <v/>
      </c>
      <c r="M100" s="17" t="str">
        <f t="shared" si="19"/>
        <v/>
      </c>
    </row>
    <row r="101" spans="1:13" x14ac:dyDescent="0.25">
      <c r="A101" s="13">
        <v>9</v>
      </c>
      <c r="B101" s="91" t="s">
        <v>76</v>
      </c>
      <c r="C101" s="91" t="s">
        <v>215</v>
      </c>
      <c r="D101" s="35"/>
      <c r="E101" s="17" t="str">
        <f t="shared" si="16"/>
        <v/>
      </c>
      <c r="F101" s="17" t="str">
        <f t="shared" si="17"/>
        <v/>
      </c>
      <c r="G101"/>
      <c r="H101" s="13">
        <v>9</v>
      </c>
      <c r="I101" s="91" t="s">
        <v>76</v>
      </c>
      <c r="J101" s="91" t="s">
        <v>216</v>
      </c>
      <c r="K101" s="35"/>
      <c r="L101" s="17" t="str">
        <f t="shared" si="18"/>
        <v/>
      </c>
      <c r="M101" s="17" t="str">
        <f t="shared" si="19"/>
        <v/>
      </c>
    </row>
    <row r="102" spans="1:13" x14ac:dyDescent="0.25">
      <c r="A102" s="13">
        <v>10</v>
      </c>
      <c r="B102" s="91" t="s">
        <v>76</v>
      </c>
      <c r="C102" s="91" t="s">
        <v>215</v>
      </c>
      <c r="D102" s="35"/>
      <c r="E102" s="17" t="str">
        <f t="shared" si="16"/>
        <v/>
      </c>
      <c r="F102" s="17" t="str">
        <f t="shared" si="17"/>
        <v/>
      </c>
      <c r="G102"/>
      <c r="H102" s="13">
        <v>10</v>
      </c>
      <c r="I102" s="91" t="s">
        <v>76</v>
      </c>
      <c r="J102" s="91" t="s">
        <v>216</v>
      </c>
      <c r="K102" s="35"/>
      <c r="L102" s="17" t="str">
        <f t="shared" si="18"/>
        <v/>
      </c>
      <c r="M102" s="17" t="str">
        <f t="shared" si="19"/>
        <v/>
      </c>
    </row>
    <row r="103" spans="1:13" x14ac:dyDescent="0.25">
      <c r="A103" s="13">
        <v>11</v>
      </c>
      <c r="B103" s="91" t="s">
        <v>76</v>
      </c>
      <c r="C103" s="91" t="s">
        <v>215</v>
      </c>
      <c r="D103" s="35"/>
      <c r="E103" s="17" t="str">
        <f t="shared" si="16"/>
        <v/>
      </c>
      <c r="F103" s="17" t="str">
        <f t="shared" si="17"/>
        <v/>
      </c>
      <c r="G103"/>
      <c r="H103" s="13">
        <v>11</v>
      </c>
      <c r="I103" s="91" t="s">
        <v>76</v>
      </c>
      <c r="J103" s="91" t="s">
        <v>216</v>
      </c>
      <c r="K103" s="35"/>
      <c r="L103" s="17" t="str">
        <f t="shared" si="18"/>
        <v/>
      </c>
      <c r="M103" s="17" t="str">
        <f t="shared" si="19"/>
        <v/>
      </c>
    </row>
    <row r="104" spans="1:13" x14ac:dyDescent="0.25">
      <c r="A104" s="13">
        <v>12</v>
      </c>
      <c r="B104" s="91" t="s">
        <v>76</v>
      </c>
      <c r="C104" s="91" t="s">
        <v>215</v>
      </c>
      <c r="D104" s="35"/>
      <c r="E104" s="17" t="str">
        <f t="shared" si="16"/>
        <v/>
      </c>
      <c r="F104" s="17" t="str">
        <f t="shared" si="17"/>
        <v/>
      </c>
      <c r="G104"/>
      <c r="H104" s="13">
        <v>12</v>
      </c>
      <c r="I104" s="91" t="s">
        <v>76</v>
      </c>
      <c r="J104" s="91" t="s">
        <v>216</v>
      </c>
      <c r="K104" s="35"/>
      <c r="L104" s="17" t="str">
        <f t="shared" si="18"/>
        <v/>
      </c>
      <c r="M104" s="17" t="str">
        <f t="shared" si="19"/>
        <v/>
      </c>
    </row>
    <row r="105" spans="1:13" x14ac:dyDescent="0.25">
      <c r="A105" s="13">
        <v>13</v>
      </c>
      <c r="B105" s="91" t="s">
        <v>76</v>
      </c>
      <c r="C105" s="91" t="s">
        <v>215</v>
      </c>
      <c r="D105" s="35"/>
      <c r="E105" s="17" t="str">
        <f t="shared" si="16"/>
        <v/>
      </c>
      <c r="F105" s="17" t="str">
        <f t="shared" si="17"/>
        <v/>
      </c>
      <c r="G105"/>
      <c r="H105" s="13">
        <v>13</v>
      </c>
      <c r="I105" s="91" t="s">
        <v>76</v>
      </c>
      <c r="J105" s="91" t="s">
        <v>216</v>
      </c>
      <c r="K105" s="35"/>
      <c r="L105" s="17" t="str">
        <f t="shared" si="18"/>
        <v/>
      </c>
      <c r="M105" s="17" t="str">
        <f t="shared" si="19"/>
        <v/>
      </c>
    </row>
    <row r="106" spans="1:13" x14ac:dyDescent="0.25">
      <c r="A106" s="13">
        <v>14</v>
      </c>
      <c r="B106" s="91" t="s">
        <v>76</v>
      </c>
      <c r="C106" s="91" t="s">
        <v>215</v>
      </c>
      <c r="D106" s="35"/>
      <c r="E106" s="17" t="str">
        <f t="shared" si="16"/>
        <v/>
      </c>
      <c r="F106" s="17" t="str">
        <f t="shared" si="17"/>
        <v/>
      </c>
      <c r="G106"/>
      <c r="H106" s="13">
        <v>14</v>
      </c>
      <c r="I106" s="91" t="s">
        <v>76</v>
      </c>
      <c r="J106" s="91" t="s">
        <v>216</v>
      </c>
      <c r="K106" s="35"/>
      <c r="L106" s="17" t="str">
        <f t="shared" si="18"/>
        <v/>
      </c>
      <c r="M106" s="17" t="str">
        <f t="shared" si="19"/>
        <v/>
      </c>
    </row>
    <row r="107" spans="1:13" x14ac:dyDescent="0.25">
      <c r="A107" s="13">
        <v>15</v>
      </c>
      <c r="B107" s="91" t="s">
        <v>76</v>
      </c>
      <c r="C107" s="91" t="s">
        <v>215</v>
      </c>
      <c r="D107" s="35"/>
      <c r="E107" s="17" t="str">
        <f t="shared" si="16"/>
        <v/>
      </c>
      <c r="F107" s="17" t="str">
        <f t="shared" si="17"/>
        <v/>
      </c>
      <c r="G107"/>
      <c r="H107" s="13">
        <v>15</v>
      </c>
      <c r="I107" s="91" t="s">
        <v>76</v>
      </c>
      <c r="J107" s="91" t="s">
        <v>216</v>
      </c>
      <c r="K107" s="35"/>
      <c r="L107" s="17" t="str">
        <f t="shared" si="18"/>
        <v/>
      </c>
      <c r="M107" s="17" t="str">
        <f t="shared" si="19"/>
        <v/>
      </c>
    </row>
    <row r="108" spans="1:13" x14ac:dyDescent="0.25">
      <c r="A108" s="13">
        <v>16</v>
      </c>
      <c r="B108" s="91" t="s">
        <v>76</v>
      </c>
      <c r="C108" s="91" t="s">
        <v>215</v>
      </c>
      <c r="D108" s="35"/>
      <c r="E108" s="17" t="str">
        <f t="shared" si="16"/>
        <v/>
      </c>
      <c r="F108" s="17" t="str">
        <f t="shared" si="17"/>
        <v/>
      </c>
      <c r="G108"/>
      <c r="H108" s="13">
        <v>16</v>
      </c>
      <c r="I108" s="91" t="s">
        <v>76</v>
      </c>
      <c r="J108" s="91" t="s">
        <v>216</v>
      </c>
      <c r="K108" s="35"/>
      <c r="L108" s="17" t="str">
        <f t="shared" si="18"/>
        <v/>
      </c>
      <c r="M108" s="17" t="str">
        <f t="shared" si="19"/>
        <v/>
      </c>
    </row>
    <row r="109" spans="1:13" x14ac:dyDescent="0.25">
      <c r="A109" s="13">
        <v>17</v>
      </c>
      <c r="B109" s="91" t="s">
        <v>76</v>
      </c>
      <c r="C109" s="91" t="s">
        <v>215</v>
      </c>
      <c r="D109" s="35"/>
      <c r="E109" s="17" t="str">
        <f t="shared" si="16"/>
        <v/>
      </c>
      <c r="F109" s="17" t="str">
        <f t="shared" si="17"/>
        <v/>
      </c>
      <c r="G109"/>
      <c r="H109" s="13">
        <v>17</v>
      </c>
      <c r="I109" s="91" t="s">
        <v>76</v>
      </c>
      <c r="J109" s="91" t="s">
        <v>216</v>
      </c>
      <c r="K109" s="35"/>
      <c r="L109" s="17" t="str">
        <f t="shared" si="18"/>
        <v/>
      </c>
      <c r="M109" s="17" t="str">
        <f t="shared" si="19"/>
        <v/>
      </c>
    </row>
    <row r="110" spans="1:13" x14ac:dyDescent="0.25">
      <c r="A110" s="13">
        <v>18</v>
      </c>
      <c r="B110" s="91" t="s">
        <v>76</v>
      </c>
      <c r="C110" s="91" t="s">
        <v>215</v>
      </c>
      <c r="D110" s="35"/>
      <c r="E110" s="17" t="str">
        <f t="shared" si="16"/>
        <v/>
      </c>
      <c r="F110" s="17" t="str">
        <f t="shared" si="17"/>
        <v/>
      </c>
      <c r="G110"/>
      <c r="H110" s="13">
        <v>18</v>
      </c>
      <c r="I110" s="91" t="s">
        <v>76</v>
      </c>
      <c r="J110" s="91" t="s">
        <v>216</v>
      </c>
      <c r="K110" s="35"/>
      <c r="L110" s="17" t="str">
        <f t="shared" si="18"/>
        <v/>
      </c>
      <c r="M110" s="17" t="str">
        <f t="shared" si="19"/>
        <v/>
      </c>
    </row>
    <row r="111" spans="1:13" x14ac:dyDescent="0.25">
      <c r="A111" s="13">
        <v>19</v>
      </c>
      <c r="B111" s="91" t="s">
        <v>76</v>
      </c>
      <c r="C111" s="91" t="s">
        <v>215</v>
      </c>
      <c r="D111" s="35"/>
      <c r="E111" s="17" t="str">
        <f t="shared" si="16"/>
        <v/>
      </c>
      <c r="F111" s="17" t="str">
        <f t="shared" si="17"/>
        <v/>
      </c>
      <c r="G111"/>
      <c r="H111" s="13">
        <v>19</v>
      </c>
      <c r="I111" s="91" t="s">
        <v>76</v>
      </c>
      <c r="J111" s="91" t="s">
        <v>216</v>
      </c>
      <c r="K111" s="35"/>
      <c r="L111" s="17" t="str">
        <f t="shared" si="18"/>
        <v/>
      </c>
      <c r="M111" s="17" t="str">
        <f t="shared" si="19"/>
        <v/>
      </c>
    </row>
    <row r="112" spans="1:13" x14ac:dyDescent="0.25">
      <c r="A112" s="13">
        <v>20</v>
      </c>
      <c r="B112" s="91" t="s">
        <v>76</v>
      </c>
      <c r="C112" s="91" t="s">
        <v>215</v>
      </c>
      <c r="D112" s="35"/>
      <c r="E112" s="17" t="str">
        <f t="shared" si="16"/>
        <v/>
      </c>
      <c r="F112" s="17" t="str">
        <f t="shared" si="17"/>
        <v/>
      </c>
      <c r="G112"/>
      <c r="H112" s="13">
        <v>20</v>
      </c>
      <c r="I112" s="91" t="s">
        <v>76</v>
      </c>
      <c r="J112" s="91" t="s">
        <v>216</v>
      </c>
      <c r="K112" s="35"/>
      <c r="L112" s="17" t="str">
        <f t="shared" si="18"/>
        <v/>
      </c>
      <c r="M112" s="17" t="str">
        <f t="shared" si="19"/>
        <v/>
      </c>
    </row>
    <row r="113" spans="1:13" x14ac:dyDescent="0.25">
      <c r="A113" s="4" t="s">
        <v>12</v>
      </c>
      <c r="B113" s="12"/>
      <c r="C113" s="12"/>
      <c r="D113" s="4"/>
      <c r="E113" s="4"/>
      <c r="F113" s="4"/>
      <c r="G113"/>
      <c r="H113" s="4" t="s">
        <v>58</v>
      </c>
      <c r="I113" s="12"/>
      <c r="J113" s="12"/>
      <c r="K113" s="4"/>
      <c r="L113" s="4"/>
      <c r="M113" s="4"/>
    </row>
    <row r="114" spans="1:13" ht="23.25" x14ac:dyDescent="0.25">
      <c r="A114" s="15" t="s">
        <v>0</v>
      </c>
      <c r="B114" s="15" t="s">
        <v>55</v>
      </c>
      <c r="C114" s="15" t="s">
        <v>56</v>
      </c>
      <c r="D114" s="16" t="s">
        <v>8</v>
      </c>
      <c r="E114" s="15" t="s">
        <v>2</v>
      </c>
      <c r="F114" s="15" t="s">
        <v>1</v>
      </c>
      <c r="G114"/>
      <c r="H114" s="15" t="s">
        <v>0</v>
      </c>
      <c r="I114" s="15" t="s">
        <v>55</v>
      </c>
      <c r="J114" s="15" t="s">
        <v>56</v>
      </c>
      <c r="K114" s="16" t="s">
        <v>8</v>
      </c>
      <c r="L114" s="15" t="s">
        <v>2</v>
      </c>
      <c r="M114" s="15" t="s">
        <v>1</v>
      </c>
    </row>
    <row r="115" spans="1:13" x14ac:dyDescent="0.25">
      <c r="A115" s="3">
        <v>1</v>
      </c>
      <c r="B115" s="91" t="s">
        <v>76</v>
      </c>
      <c r="C115" s="13" t="s">
        <v>50</v>
      </c>
      <c r="D115" s="35"/>
      <c r="E115" s="17" t="str">
        <f t="shared" ref="E115:E122" si="20">IF(D115&gt;0,VLOOKUP(D115,Jumpers,3),"")</f>
        <v/>
      </c>
      <c r="F115" s="17" t="str">
        <f t="shared" ref="F115:F122" si="21">IF(D115&gt;0,VLOOKUP(D115,Jumpers,2),"")</f>
        <v/>
      </c>
      <c r="G115"/>
      <c r="H115" s="3">
        <v>1</v>
      </c>
      <c r="I115" s="91" t="s">
        <v>76</v>
      </c>
      <c r="J115" s="13" t="s">
        <v>51</v>
      </c>
      <c r="K115" s="35"/>
      <c r="L115" s="17" t="str">
        <f t="shared" ref="L115:L122" si="22">IF(K115&gt;0,VLOOKUP(K115,Jumpers,3),"")</f>
        <v/>
      </c>
      <c r="M115" s="17" t="str">
        <f t="shared" ref="M115:M122" si="23">IF(K115&gt;0,VLOOKUP(K115,Jumpers,2),"")</f>
        <v/>
      </c>
    </row>
    <row r="116" spans="1:13" x14ac:dyDescent="0.25">
      <c r="A116" s="3">
        <v>2</v>
      </c>
      <c r="B116" s="91" t="s">
        <v>76</v>
      </c>
      <c r="C116" s="13" t="s">
        <v>50</v>
      </c>
      <c r="D116" s="35"/>
      <c r="E116" s="17" t="str">
        <f t="shared" si="20"/>
        <v/>
      </c>
      <c r="F116" s="17" t="str">
        <f t="shared" si="21"/>
        <v/>
      </c>
      <c r="G116"/>
      <c r="H116" s="3">
        <v>2</v>
      </c>
      <c r="I116" s="91" t="s">
        <v>76</v>
      </c>
      <c r="J116" s="13" t="s">
        <v>51</v>
      </c>
      <c r="K116" s="35"/>
      <c r="L116" s="17" t="str">
        <f t="shared" si="22"/>
        <v/>
      </c>
      <c r="M116" s="17" t="str">
        <f t="shared" si="23"/>
        <v/>
      </c>
    </row>
    <row r="117" spans="1:13" x14ac:dyDescent="0.25">
      <c r="A117" s="3">
        <v>3</v>
      </c>
      <c r="B117" s="91" t="s">
        <v>76</v>
      </c>
      <c r="C117" s="13" t="s">
        <v>50</v>
      </c>
      <c r="D117" s="35"/>
      <c r="E117" s="17" t="str">
        <f t="shared" si="20"/>
        <v/>
      </c>
      <c r="F117" s="17" t="str">
        <f t="shared" si="21"/>
        <v/>
      </c>
      <c r="G117"/>
      <c r="H117" s="3">
        <v>3</v>
      </c>
      <c r="I117" s="91" t="s">
        <v>76</v>
      </c>
      <c r="J117" s="13" t="s">
        <v>51</v>
      </c>
      <c r="K117" s="35"/>
      <c r="L117" s="17" t="str">
        <f t="shared" si="22"/>
        <v/>
      </c>
      <c r="M117" s="17" t="str">
        <f t="shared" si="23"/>
        <v/>
      </c>
    </row>
    <row r="118" spans="1:13" x14ac:dyDescent="0.25">
      <c r="A118" s="3">
        <v>4</v>
      </c>
      <c r="B118" s="91" t="s">
        <v>76</v>
      </c>
      <c r="C118" s="13" t="s">
        <v>50</v>
      </c>
      <c r="D118" s="35"/>
      <c r="E118" s="17" t="str">
        <f t="shared" si="20"/>
        <v/>
      </c>
      <c r="F118" s="17" t="str">
        <f t="shared" si="21"/>
        <v/>
      </c>
      <c r="G118"/>
      <c r="H118" s="3">
        <v>4</v>
      </c>
      <c r="I118" s="91" t="s">
        <v>76</v>
      </c>
      <c r="J118" s="13" t="s">
        <v>51</v>
      </c>
      <c r="K118" s="35"/>
      <c r="L118" s="17" t="str">
        <f t="shared" si="22"/>
        <v/>
      </c>
      <c r="M118" s="17" t="str">
        <f t="shared" si="23"/>
        <v/>
      </c>
    </row>
    <row r="119" spans="1:13" x14ac:dyDescent="0.25">
      <c r="A119" s="3">
        <v>5</v>
      </c>
      <c r="B119" s="91" t="s">
        <v>76</v>
      </c>
      <c r="C119" s="13" t="s">
        <v>50</v>
      </c>
      <c r="D119" s="35"/>
      <c r="E119" s="17" t="str">
        <f t="shared" si="20"/>
        <v/>
      </c>
      <c r="F119" s="17" t="str">
        <f t="shared" si="21"/>
        <v/>
      </c>
      <c r="G119"/>
      <c r="H119" s="3">
        <v>5</v>
      </c>
      <c r="I119" s="91" t="s">
        <v>76</v>
      </c>
      <c r="J119" s="13" t="s">
        <v>51</v>
      </c>
      <c r="K119" s="35"/>
      <c r="L119" s="17" t="str">
        <f t="shared" si="22"/>
        <v/>
      </c>
      <c r="M119" s="17" t="str">
        <f t="shared" si="23"/>
        <v/>
      </c>
    </row>
    <row r="120" spans="1:13" x14ac:dyDescent="0.25">
      <c r="A120" s="3">
        <v>6</v>
      </c>
      <c r="B120" s="91" t="s">
        <v>76</v>
      </c>
      <c r="C120" s="13" t="s">
        <v>50</v>
      </c>
      <c r="D120" s="35"/>
      <c r="E120" s="17" t="str">
        <f t="shared" si="20"/>
        <v/>
      </c>
      <c r="F120" s="17" t="str">
        <f t="shared" si="21"/>
        <v/>
      </c>
      <c r="G120"/>
      <c r="H120" s="3">
        <v>6</v>
      </c>
      <c r="I120" s="91" t="s">
        <v>76</v>
      </c>
      <c r="J120" s="13" t="s">
        <v>51</v>
      </c>
      <c r="K120" s="35"/>
      <c r="L120" s="17" t="str">
        <f t="shared" si="22"/>
        <v/>
      </c>
      <c r="M120" s="17" t="str">
        <f t="shared" si="23"/>
        <v/>
      </c>
    </row>
    <row r="121" spans="1:13" x14ac:dyDescent="0.25">
      <c r="A121" s="3">
        <v>7</v>
      </c>
      <c r="B121" s="91" t="s">
        <v>76</v>
      </c>
      <c r="C121" s="13" t="s">
        <v>50</v>
      </c>
      <c r="D121" s="35"/>
      <c r="E121" s="17" t="str">
        <f t="shared" si="20"/>
        <v/>
      </c>
      <c r="F121" s="17" t="str">
        <f t="shared" si="21"/>
        <v/>
      </c>
      <c r="G121"/>
      <c r="H121" s="3">
        <v>7</v>
      </c>
      <c r="I121" s="91" t="s">
        <v>76</v>
      </c>
      <c r="J121" s="13" t="s">
        <v>51</v>
      </c>
      <c r="K121" s="35"/>
      <c r="L121" s="17" t="str">
        <f t="shared" si="22"/>
        <v/>
      </c>
      <c r="M121" s="17" t="str">
        <f t="shared" si="23"/>
        <v/>
      </c>
    </row>
    <row r="122" spans="1:13" x14ac:dyDescent="0.25">
      <c r="A122" s="3">
        <v>8</v>
      </c>
      <c r="B122" s="91" t="s">
        <v>76</v>
      </c>
      <c r="C122" s="13" t="s">
        <v>50</v>
      </c>
      <c r="D122" s="35"/>
      <c r="E122" s="17" t="str">
        <f t="shared" si="20"/>
        <v/>
      </c>
      <c r="F122" s="17" t="str">
        <f t="shared" si="21"/>
        <v/>
      </c>
      <c r="G122"/>
      <c r="H122" s="3">
        <v>8</v>
      </c>
      <c r="I122" s="91" t="s">
        <v>76</v>
      </c>
      <c r="J122" s="13" t="s">
        <v>51</v>
      </c>
      <c r="K122" s="35"/>
      <c r="L122" s="17" t="str">
        <f t="shared" si="22"/>
        <v/>
      </c>
      <c r="M122" s="17" t="str">
        <f t="shared" si="23"/>
        <v/>
      </c>
    </row>
    <row r="123" spans="1:13" x14ac:dyDescent="0.25">
      <c r="A123" s="4" t="s">
        <v>13</v>
      </c>
      <c r="B123" s="12"/>
      <c r="C123" s="12"/>
      <c r="D123" s="4"/>
      <c r="E123" s="4"/>
      <c r="F123" s="4"/>
      <c r="G123"/>
    </row>
    <row r="124" spans="1:13" ht="23.25" x14ac:dyDescent="0.25">
      <c r="A124" s="15" t="s">
        <v>0</v>
      </c>
      <c r="B124" s="15" t="s">
        <v>55</v>
      </c>
      <c r="C124" s="15" t="s">
        <v>56</v>
      </c>
      <c r="D124" s="16" t="s">
        <v>8</v>
      </c>
      <c r="E124" s="15" t="s">
        <v>2</v>
      </c>
      <c r="F124" s="15" t="s">
        <v>1</v>
      </c>
      <c r="G124"/>
    </row>
    <row r="125" spans="1:13" x14ac:dyDescent="0.25">
      <c r="A125" s="3">
        <v>1</v>
      </c>
      <c r="B125" s="91" t="s">
        <v>76</v>
      </c>
      <c r="C125" s="13" t="s">
        <v>52</v>
      </c>
      <c r="D125" s="35"/>
      <c r="E125" s="17" t="str">
        <f>IF(D125&gt;0,VLOOKUP(D125,Jumpers,3),"")</f>
        <v/>
      </c>
      <c r="F125" s="17" t="str">
        <f>IF(D125&gt;0,VLOOKUP(D125,Jumpers,2),"")</f>
        <v/>
      </c>
      <c r="G125"/>
    </row>
    <row r="126" spans="1:13" x14ac:dyDescent="0.25">
      <c r="A126" s="3">
        <v>2</v>
      </c>
      <c r="B126" s="91" t="s">
        <v>76</v>
      </c>
      <c r="C126" s="13" t="s">
        <v>52</v>
      </c>
      <c r="D126" s="35"/>
      <c r="E126" s="17" t="str">
        <f>IF(D126&gt;0,VLOOKUP(D126,Jumpers,3),"")</f>
        <v/>
      </c>
      <c r="F126" s="17" t="str">
        <f>IF(D126&gt;0,VLOOKUP(D126,Jumpers,2),"")</f>
        <v/>
      </c>
      <c r="G126"/>
    </row>
    <row r="127" spans="1:13" x14ac:dyDescent="0.25">
      <c r="A127" s="3">
        <v>3</v>
      </c>
      <c r="B127" s="91" t="s">
        <v>76</v>
      </c>
      <c r="C127" s="13" t="s">
        <v>52</v>
      </c>
      <c r="D127" s="35"/>
      <c r="E127" s="17" t="str">
        <f>IF(D127&gt;0,VLOOKUP(D127,Jumpers,3),"")</f>
        <v/>
      </c>
      <c r="F127" s="17" t="str">
        <f>IF(D127&gt;0,VLOOKUP(D127,Jumpers,2),"")</f>
        <v/>
      </c>
      <c r="G127"/>
    </row>
    <row r="128" spans="1:13" x14ac:dyDescent="0.25">
      <c r="A128" s="3">
        <v>4</v>
      </c>
      <c r="B128" s="91" t="s">
        <v>76</v>
      </c>
      <c r="C128" s="13" t="s">
        <v>52</v>
      </c>
      <c r="D128" s="35"/>
      <c r="E128" s="17" t="str">
        <f>IF(D128&gt;0,VLOOKUP(D128,Jumpers,3),"")</f>
        <v/>
      </c>
      <c r="F128" s="17" t="str">
        <f>IF(D128&gt;0,VLOOKUP(D128,Jumpers,2),"")</f>
        <v/>
      </c>
      <c r="G128"/>
    </row>
    <row r="129" spans="1:7" x14ac:dyDescent="0.25">
      <c r="A129" s="3">
        <v>5</v>
      </c>
      <c r="B129" s="91" t="s">
        <v>76</v>
      </c>
      <c r="C129" s="13" t="s">
        <v>52</v>
      </c>
      <c r="D129" s="35"/>
      <c r="E129" s="17" t="str">
        <f>IF(D129&gt;0,VLOOKUP(D129,Jumpers,3),"")</f>
        <v/>
      </c>
      <c r="F129" s="17" t="str">
        <f>IF(D129&gt;0,VLOOKUP(D129,Jumpers,2),"")</f>
        <v/>
      </c>
      <c r="G129"/>
    </row>
  </sheetData>
  <sheetProtection password="CE88" sheet="1" objects="1" scenarios="1" selectLockedCells="1"/>
  <phoneticPr fontId="23" type="noConversion"/>
  <conditionalFormatting sqref="D5:D24">
    <cfRule type="expression" dxfId="285" priority="35" stopIfTrue="1">
      <formula>OR(CODE(D5)&lt;48,CODE(D5)&gt;57)</formula>
    </cfRule>
    <cfRule type="expression" dxfId="284" priority="47" stopIfTrue="1">
      <formula>VLOOKUP(D5,Jumpers,5)&lt;&gt;LEFT($A$1,1)</formula>
    </cfRule>
    <cfRule type="expression" dxfId="283" priority="48" stopIfTrue="1">
      <formula>VLOOKUP(D5,Jumpers,8)&lt;&gt;C5</formula>
    </cfRule>
  </conditionalFormatting>
  <conditionalFormatting sqref="D27:D46">
    <cfRule type="expression" dxfId="282" priority="33" stopIfTrue="1">
      <formula>OR(CODE(D27)&lt;48,CODE(D27)&gt;57)</formula>
    </cfRule>
    <cfRule type="expression" dxfId="281" priority="45" stopIfTrue="1">
      <formula>VLOOKUP(D27,Jumpers,5)&lt;&gt;LEFT($A$1,1)</formula>
    </cfRule>
    <cfRule type="expression" dxfId="280" priority="46" stopIfTrue="1">
      <formula>VLOOKUP(D27,Jumpers,8)&lt;&gt;C27</formula>
    </cfRule>
  </conditionalFormatting>
  <conditionalFormatting sqref="K28:K46">
    <cfRule type="expression" dxfId="279" priority="43" stopIfTrue="1">
      <formula>VLOOKUP(K28,Jumpers,5)&lt;&gt;LEFT($A$1,1)</formula>
    </cfRule>
    <cfRule type="expression" dxfId="278" priority="44" stopIfTrue="1">
      <formula>VLOOKUP(K28,Jumpers,8)&lt;&gt;J28</formula>
    </cfRule>
  </conditionalFormatting>
  <conditionalFormatting sqref="K115:K119">
    <cfRule type="expression" dxfId="277" priority="7" stopIfTrue="1">
      <formula>OR(CODE(K115)&lt;48,CODE(K115)&gt;57)</formula>
    </cfRule>
    <cfRule type="expression" dxfId="276" priority="39" stopIfTrue="1">
      <formula>VLOOKUP(K115,Jumpers,5)&lt;&gt;LEFT($A$1,1)</formula>
    </cfRule>
    <cfRule type="expression" dxfId="275" priority="40" stopIfTrue="1">
      <formula>VLOOKUP(K115,Jumpers,8)&lt;&gt;J115</formula>
    </cfRule>
  </conditionalFormatting>
  <conditionalFormatting sqref="K5:K24">
    <cfRule type="expression" dxfId="274" priority="34" stopIfTrue="1">
      <formula>OR(CODE(K5)&lt;48,CODE(K5)&gt;57)</formula>
    </cfRule>
    <cfRule type="expression" dxfId="273" priority="36" stopIfTrue="1">
      <formula>VLOOKUP(K5,Jumpers,8)="8-Under"</formula>
    </cfRule>
    <cfRule type="expression" dxfId="272" priority="37" stopIfTrue="1">
      <formula>VLOOKUP(K5,Jumpers,5)&lt;&gt;LEFT($A$1,1)</formula>
    </cfRule>
    <cfRule type="expression" dxfId="271" priority="38" stopIfTrue="1">
      <formula>VLOOKUP(K5,Jumpers,7)&gt;9</formula>
    </cfRule>
  </conditionalFormatting>
  <conditionalFormatting sqref="K27:K46">
    <cfRule type="expression" dxfId="270" priority="30" stopIfTrue="1">
      <formula>OR(CODE(K27)&lt;48,CODE(K27)&gt;57)</formula>
    </cfRule>
    <cfRule type="expression" dxfId="269" priority="31" stopIfTrue="1">
      <formula>VLOOKUP(K27,Jumpers,5)&lt;&gt;LEFT($A$1,1)</formula>
    </cfRule>
    <cfRule type="expression" dxfId="268" priority="32" stopIfTrue="1">
      <formula>VLOOKUP(K27,Jumpers,8)&lt;&gt;J27</formula>
    </cfRule>
  </conditionalFormatting>
  <conditionalFormatting sqref="D49:D68">
    <cfRule type="expression" dxfId="267" priority="27" stopIfTrue="1">
      <formula>OR(CODE(D49)&lt;48,CODE(D49)&gt;57)</formula>
    </cfRule>
    <cfRule type="expression" dxfId="266" priority="28" stopIfTrue="1">
      <formula>VLOOKUP(D49,Jumpers,5)&lt;&gt;LEFT($A$1,1)</formula>
    </cfRule>
    <cfRule type="expression" dxfId="265" priority="29" stopIfTrue="1">
      <formula>VLOOKUP(D49,Jumpers,8)&lt;&gt;C49</formula>
    </cfRule>
  </conditionalFormatting>
  <conditionalFormatting sqref="K49:K68">
    <cfRule type="expression" dxfId="264" priority="24" stopIfTrue="1">
      <formula>OR(CODE(K49)&lt;48,CODE(K49)&gt;57)</formula>
    </cfRule>
    <cfRule type="expression" dxfId="263" priority="25" stopIfTrue="1">
      <formula>VLOOKUP(K49,Jumpers,5)&lt;&gt;LEFT($A$1,1)</formula>
    </cfRule>
    <cfRule type="expression" dxfId="262" priority="26" stopIfTrue="1">
      <formula>VLOOKUP(K49,Jumpers,8)&lt;&gt;J49</formula>
    </cfRule>
  </conditionalFormatting>
  <conditionalFormatting sqref="D71:D90">
    <cfRule type="expression" dxfId="261" priority="21" stopIfTrue="1">
      <formula>OR(CODE(D71)&lt;48,CODE(D71)&gt;57)</formula>
    </cfRule>
    <cfRule type="expression" dxfId="260" priority="22" stopIfTrue="1">
      <formula>VLOOKUP(D71,Jumpers,5)&lt;&gt;LEFT($A$1,1)</formula>
    </cfRule>
    <cfRule type="expression" dxfId="259" priority="23" stopIfTrue="1">
      <formula>VLOOKUP(D71,Jumpers,8)&lt;&gt;C71</formula>
    </cfRule>
  </conditionalFormatting>
  <conditionalFormatting sqref="K71:K90">
    <cfRule type="expression" dxfId="258" priority="18" stopIfTrue="1">
      <formula>OR(CODE(K71)&lt;48,CODE(K71)&gt;57)</formula>
    </cfRule>
    <cfRule type="expression" dxfId="257" priority="19" stopIfTrue="1">
      <formula>VLOOKUP(K71,Jumpers,5)&lt;&gt;LEFT($A$1,1)</formula>
    </cfRule>
    <cfRule type="expression" dxfId="256" priority="20" stopIfTrue="1">
      <formula>VLOOKUP(K71,Jumpers,8)&lt;&gt;J71</formula>
    </cfRule>
  </conditionalFormatting>
  <conditionalFormatting sqref="D93:D112">
    <cfRule type="expression" dxfId="255" priority="15" stopIfTrue="1">
      <formula>OR(CODE(D93)&lt;48,CODE(D93)&gt;57)</formula>
    </cfRule>
    <cfRule type="expression" dxfId="254" priority="16" stopIfTrue="1">
      <formula>VLOOKUP(D93,Jumpers,5)&lt;&gt;LEFT($A$1,1)</formula>
    </cfRule>
    <cfRule type="expression" dxfId="253" priority="17" stopIfTrue="1">
      <formula>VLOOKUP(D93,Jumpers,8)&lt;&gt;C93</formula>
    </cfRule>
  </conditionalFormatting>
  <conditionalFormatting sqref="K93:K112">
    <cfRule type="expression" dxfId="252" priority="12" stopIfTrue="1">
      <formula>OR(CODE(K93)&lt;48,CODE(K93)&gt;57)</formula>
    </cfRule>
    <cfRule type="expression" dxfId="251" priority="13" stopIfTrue="1">
      <formula>VLOOKUP(K93,Jumpers,5)&lt;&gt;LEFT($A$1,1)</formula>
    </cfRule>
    <cfRule type="expression" dxfId="250" priority="14" stopIfTrue="1">
      <formula>VLOOKUP(K93,Jumpers,8)&lt;&gt;J93</formula>
    </cfRule>
  </conditionalFormatting>
  <conditionalFormatting sqref="D115:D122">
    <cfRule type="expression" dxfId="249" priority="8" stopIfTrue="1">
      <formula>OR(CODE(D115)&lt;48,CODE(D115)&gt;57)</formula>
    </cfRule>
    <cfRule type="expression" dxfId="248" priority="9" stopIfTrue="1">
      <formula>VLOOKUP(D115,Jumpers,5)&lt;&gt;LEFT($A$1,1)</formula>
    </cfRule>
    <cfRule type="expression" dxfId="247" priority="10" stopIfTrue="1">
      <formula>VLOOKUP(D115,Jumpers,8)&lt;&gt;C115</formula>
    </cfRule>
  </conditionalFormatting>
  <conditionalFormatting sqref="D125:D129">
    <cfRule type="expression" dxfId="246" priority="4" stopIfTrue="1">
      <formula>OR(CODE(D125)&lt;48,CODE(D125)&gt;57)</formula>
    </cfRule>
    <cfRule type="expression" dxfId="245" priority="5" stopIfTrue="1">
      <formula>VLOOKUP(D125,Jumpers,5)&lt;&gt;LEFT($A$1,1)</formula>
    </cfRule>
    <cfRule type="expression" dxfId="244" priority="6" stopIfTrue="1">
      <formula>VLOOKUP(D125,Jumpers,8)&lt;&gt;C125</formula>
    </cfRule>
  </conditionalFormatting>
  <conditionalFormatting sqref="K120:K122">
    <cfRule type="expression" dxfId="243" priority="1" stopIfTrue="1">
      <formula>OR(CODE(K120)&lt;48,CODE(K120)&gt;57)</formula>
    </cfRule>
    <cfRule type="expression" dxfId="242" priority="2" stopIfTrue="1">
      <formula>VLOOKUP(K120,Jumpers,5)&lt;&gt;LEFT($A$1,1)</formula>
    </cfRule>
    <cfRule type="expression" dxfId="241" priority="3" stopIfTrue="1">
      <formula>VLOOKUP(K120,Jumpers,8)&lt;&gt;J120</formula>
    </cfRule>
  </conditionalFormatting>
  <pageMargins left="0.25" right="0.25" top="0.75" bottom="0.75" header="0.3" footer="0.3"/>
  <pageSetup scale="70" fitToHeight="2" orientation="portrait" r:id="rId1"/>
  <headerFooter>
    <oddHeader>&amp;LUSAJR Regional Tournament&amp;R&amp;A</oddHeader>
    <oddFooter>&amp;RPage &amp;P of &amp;N</oddFooter>
  </headerFooter>
  <customProperties>
    <customPr name="DVSECTIONID" r:id="rId2"/>
  </customProperties>
  <extLst>
    <ext xmlns:mx="http://schemas.microsoft.com/office/mac/excel/2008/main" uri="{64002731-A6B0-56B0-2670-7721B7C09600}">
      <mx:PLV Mode="0" OnePage="0" WScale="83"/>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130"/>
  <sheetViews>
    <sheetView workbookViewId="0">
      <selection activeCell="D6" sqref="D6"/>
    </sheetView>
  </sheetViews>
  <sheetFormatPr defaultColWidth="8.85546875" defaultRowHeight="15" x14ac:dyDescent="0.25"/>
  <cols>
    <col min="1" max="1" width="2.7109375" style="37" customWidth="1"/>
    <col min="2" max="2" width="4.7109375" style="60" bestFit="1" customWidth="1"/>
    <col min="3" max="3" width="7.140625" style="60" bestFit="1" customWidth="1"/>
    <col min="4" max="4" width="8.28515625" style="37" bestFit="1" customWidth="1"/>
    <col min="5" max="6" width="20.7109375" style="37" customWidth="1"/>
    <col min="7" max="7" width="1.7109375" style="37" customWidth="1"/>
    <col min="8" max="8" width="2.7109375" style="37" bestFit="1" customWidth="1"/>
    <col min="9" max="9" width="4.7109375" style="60" bestFit="1" customWidth="1"/>
    <col min="10" max="10" width="6.28515625" style="60" bestFit="1" customWidth="1"/>
    <col min="11" max="11" width="8.28515625" style="37" bestFit="1" customWidth="1"/>
    <col min="12" max="13" width="20.7109375" style="37" customWidth="1"/>
    <col min="14" max="14" width="1.7109375" style="37" customWidth="1"/>
    <col min="15" max="15" width="2.7109375" style="37" customWidth="1"/>
    <col min="16" max="16" width="4.7109375" style="37" bestFit="1" customWidth="1"/>
    <col min="17" max="17" width="4.85546875" style="37" bestFit="1" customWidth="1"/>
    <col min="18" max="18" width="8.85546875" style="37"/>
    <col min="19" max="20" width="12.7109375" style="37" customWidth="1"/>
    <col min="21" max="21" width="1.7109375" style="37" customWidth="1"/>
    <col min="22" max="22" width="2.7109375" style="37" customWidth="1"/>
    <col min="23" max="23" width="4.7109375" style="37" bestFit="1" customWidth="1"/>
    <col min="24" max="24" width="4.85546875" style="37" bestFit="1" customWidth="1"/>
    <col min="25" max="25" width="8.85546875" style="37"/>
    <col min="26" max="27" width="12.7109375" style="37" customWidth="1"/>
    <col min="28" max="16384" width="8.85546875" style="37"/>
  </cols>
  <sheetData>
    <row r="1" spans="1:13" ht="18.75" x14ac:dyDescent="0.25">
      <c r="A1" s="58" t="s">
        <v>103</v>
      </c>
      <c r="B1" s="59"/>
      <c r="C1" s="59"/>
      <c r="M1" s="43" t="str">
        <f>CONCATENATE("Team: ",'Team Info'!$B$3)</f>
        <v xml:space="preserve">Team: </v>
      </c>
    </row>
    <row r="2" spans="1:13" x14ac:dyDescent="0.25">
      <c r="A2" s="170" t="s">
        <v>135</v>
      </c>
      <c r="B2" s="170"/>
      <c r="C2" s="170"/>
      <c r="D2" s="170"/>
      <c r="E2" s="170"/>
      <c r="F2" s="170"/>
      <c r="G2" s="170"/>
      <c r="H2" s="170"/>
      <c r="I2" s="170"/>
    </row>
    <row r="3" spans="1:13" x14ac:dyDescent="0.25">
      <c r="A3" s="170" t="s">
        <v>136</v>
      </c>
      <c r="B3" s="170"/>
      <c r="C3" s="170"/>
      <c r="D3" s="170"/>
      <c r="E3" s="170"/>
      <c r="F3" s="170"/>
      <c r="G3" s="170"/>
      <c r="H3" s="170"/>
    </row>
    <row r="4" spans="1:13" x14ac:dyDescent="0.25">
      <c r="A4" s="4" t="s">
        <v>170</v>
      </c>
      <c r="B4" s="12"/>
      <c r="C4" s="12"/>
      <c r="D4" s="4"/>
      <c r="E4" s="4"/>
      <c r="F4" s="4"/>
      <c r="G4"/>
      <c r="H4" s="4" t="s">
        <v>171</v>
      </c>
      <c r="I4" s="12"/>
      <c r="J4" s="12"/>
      <c r="K4" s="4"/>
      <c r="L4" s="4"/>
      <c r="M4" s="4"/>
    </row>
    <row r="5" spans="1:13" ht="23.25" x14ac:dyDescent="0.25">
      <c r="A5" s="15" t="s">
        <v>0</v>
      </c>
      <c r="B5" s="15" t="s">
        <v>55</v>
      </c>
      <c r="C5" s="15" t="s">
        <v>56</v>
      </c>
      <c r="D5" s="16" t="s">
        <v>8</v>
      </c>
      <c r="E5" s="15" t="s">
        <v>2</v>
      </c>
      <c r="F5" s="15" t="s">
        <v>1</v>
      </c>
      <c r="G5"/>
      <c r="H5" s="15" t="s">
        <v>0</v>
      </c>
      <c r="I5" s="15" t="s">
        <v>55</v>
      </c>
      <c r="J5" s="15" t="s">
        <v>56</v>
      </c>
      <c r="K5" s="16" t="s">
        <v>8</v>
      </c>
      <c r="L5" s="15" t="s">
        <v>2</v>
      </c>
      <c r="M5" s="15" t="s">
        <v>1</v>
      </c>
    </row>
    <row r="6" spans="1:13" x14ac:dyDescent="0.25">
      <c r="A6" s="13">
        <v>1</v>
      </c>
      <c r="B6" s="91" t="s">
        <v>116</v>
      </c>
      <c r="C6" s="91" t="s">
        <v>146</v>
      </c>
      <c r="D6" s="35"/>
      <c r="E6" s="17" t="str">
        <f t="shared" ref="E6:E25" si="0">IF(D6&gt;0,VLOOKUP(D6,Jumpers,3),"")</f>
        <v/>
      </c>
      <c r="F6" s="17" t="str">
        <f t="shared" ref="F6:F25" si="1">IF(D6&gt;0,VLOOKUP(D6,Jumpers,2),"")</f>
        <v/>
      </c>
      <c r="G6"/>
      <c r="H6" s="13">
        <v>1</v>
      </c>
      <c r="I6" s="91" t="s">
        <v>116</v>
      </c>
      <c r="J6" s="13">
        <v>9</v>
      </c>
      <c r="K6" s="35"/>
      <c r="L6" s="17" t="str">
        <f t="shared" ref="L6:L25" si="2">IF(K6&gt;0,VLOOKUP(K6,Jumpers,3),"")</f>
        <v/>
      </c>
      <c r="M6" s="17" t="str">
        <f t="shared" ref="M6:M25" si="3">IF(K6&gt;0,VLOOKUP(K6,Jumpers,2),"")</f>
        <v/>
      </c>
    </row>
    <row r="7" spans="1:13" x14ac:dyDescent="0.25">
      <c r="A7" s="13">
        <v>2</v>
      </c>
      <c r="B7" s="91" t="s">
        <v>116</v>
      </c>
      <c r="C7" s="91" t="s">
        <v>146</v>
      </c>
      <c r="D7" s="35"/>
      <c r="E7" s="17" t="str">
        <f t="shared" si="0"/>
        <v/>
      </c>
      <c r="F7" s="17" t="str">
        <f t="shared" si="1"/>
        <v/>
      </c>
      <c r="G7"/>
      <c r="H7" s="13">
        <v>2</v>
      </c>
      <c r="I7" s="91" t="s">
        <v>116</v>
      </c>
      <c r="J7" s="13">
        <v>9</v>
      </c>
      <c r="K7" s="35"/>
      <c r="L7" s="17" t="str">
        <f t="shared" si="2"/>
        <v/>
      </c>
      <c r="M7" s="17" t="str">
        <f t="shared" si="3"/>
        <v/>
      </c>
    </row>
    <row r="8" spans="1:13" x14ac:dyDescent="0.25">
      <c r="A8" s="13">
        <v>3</v>
      </c>
      <c r="B8" s="91" t="s">
        <v>116</v>
      </c>
      <c r="C8" s="91" t="s">
        <v>146</v>
      </c>
      <c r="D8" s="35"/>
      <c r="E8" s="17" t="str">
        <f t="shared" si="0"/>
        <v/>
      </c>
      <c r="F8" s="17" t="str">
        <f t="shared" si="1"/>
        <v/>
      </c>
      <c r="G8"/>
      <c r="H8" s="13">
        <v>3</v>
      </c>
      <c r="I8" s="91" t="s">
        <v>116</v>
      </c>
      <c r="J8" s="13">
        <v>9</v>
      </c>
      <c r="K8" s="35"/>
      <c r="L8" s="17" t="str">
        <f t="shared" si="2"/>
        <v/>
      </c>
      <c r="M8" s="17" t="str">
        <f t="shared" si="3"/>
        <v/>
      </c>
    </row>
    <row r="9" spans="1:13" x14ac:dyDescent="0.25">
      <c r="A9" s="13">
        <v>4</v>
      </c>
      <c r="B9" s="91" t="s">
        <v>116</v>
      </c>
      <c r="C9" s="91" t="s">
        <v>146</v>
      </c>
      <c r="D9" s="35"/>
      <c r="E9" s="17" t="str">
        <f t="shared" si="0"/>
        <v/>
      </c>
      <c r="F9" s="17" t="str">
        <f t="shared" si="1"/>
        <v/>
      </c>
      <c r="G9"/>
      <c r="H9" s="13">
        <v>4</v>
      </c>
      <c r="I9" s="91" t="s">
        <v>116</v>
      </c>
      <c r="J9" s="13">
        <v>9</v>
      </c>
      <c r="K9" s="35"/>
      <c r="L9" s="17" t="str">
        <f t="shared" si="2"/>
        <v/>
      </c>
      <c r="M9" s="17" t="str">
        <f t="shared" si="3"/>
        <v/>
      </c>
    </row>
    <row r="10" spans="1:13" x14ac:dyDescent="0.25">
      <c r="A10" s="13">
        <v>5</v>
      </c>
      <c r="B10" s="91" t="s">
        <v>116</v>
      </c>
      <c r="C10" s="91" t="s">
        <v>146</v>
      </c>
      <c r="D10" s="35"/>
      <c r="E10" s="17" t="str">
        <f t="shared" si="0"/>
        <v/>
      </c>
      <c r="F10" s="17" t="str">
        <f t="shared" si="1"/>
        <v/>
      </c>
      <c r="G10"/>
      <c r="H10" s="13">
        <v>5</v>
      </c>
      <c r="I10" s="91" t="s">
        <v>116</v>
      </c>
      <c r="J10" s="13">
        <v>9</v>
      </c>
      <c r="K10" s="35"/>
      <c r="L10" s="17" t="str">
        <f t="shared" si="2"/>
        <v/>
      </c>
      <c r="M10" s="17" t="str">
        <f t="shared" si="3"/>
        <v/>
      </c>
    </row>
    <row r="11" spans="1:13" x14ac:dyDescent="0.25">
      <c r="A11" s="13">
        <v>6</v>
      </c>
      <c r="B11" s="91" t="s">
        <v>116</v>
      </c>
      <c r="C11" s="91" t="s">
        <v>146</v>
      </c>
      <c r="D11" s="35"/>
      <c r="E11" s="17" t="str">
        <f t="shared" si="0"/>
        <v/>
      </c>
      <c r="F11" s="17" t="str">
        <f t="shared" si="1"/>
        <v/>
      </c>
      <c r="G11"/>
      <c r="H11" s="13">
        <v>6</v>
      </c>
      <c r="I11" s="91" t="s">
        <v>116</v>
      </c>
      <c r="J11" s="13">
        <v>9</v>
      </c>
      <c r="K11" s="35"/>
      <c r="L11" s="17" t="str">
        <f t="shared" si="2"/>
        <v/>
      </c>
      <c r="M11" s="17" t="str">
        <f t="shared" si="3"/>
        <v/>
      </c>
    </row>
    <row r="12" spans="1:13" x14ac:dyDescent="0.25">
      <c r="A12" s="13">
        <v>7</v>
      </c>
      <c r="B12" s="91" t="s">
        <v>116</v>
      </c>
      <c r="C12" s="91" t="s">
        <v>146</v>
      </c>
      <c r="D12" s="35"/>
      <c r="E12" s="17" t="str">
        <f t="shared" si="0"/>
        <v/>
      </c>
      <c r="F12" s="17" t="str">
        <f t="shared" si="1"/>
        <v/>
      </c>
      <c r="G12"/>
      <c r="H12" s="13">
        <v>7</v>
      </c>
      <c r="I12" s="91" t="s">
        <v>116</v>
      </c>
      <c r="J12" s="13">
        <v>9</v>
      </c>
      <c r="K12" s="35"/>
      <c r="L12" s="17" t="str">
        <f t="shared" si="2"/>
        <v/>
      </c>
      <c r="M12" s="17" t="str">
        <f t="shared" si="3"/>
        <v/>
      </c>
    </row>
    <row r="13" spans="1:13" x14ac:dyDescent="0.25">
      <c r="A13" s="13">
        <v>8</v>
      </c>
      <c r="B13" s="91" t="s">
        <v>116</v>
      </c>
      <c r="C13" s="91" t="s">
        <v>146</v>
      </c>
      <c r="D13" s="35"/>
      <c r="E13" s="17" t="str">
        <f t="shared" si="0"/>
        <v/>
      </c>
      <c r="F13" s="17" t="str">
        <f t="shared" si="1"/>
        <v/>
      </c>
      <c r="G13"/>
      <c r="H13" s="13">
        <v>8</v>
      </c>
      <c r="I13" s="91" t="s">
        <v>116</v>
      </c>
      <c r="J13" s="13">
        <v>9</v>
      </c>
      <c r="K13" s="35"/>
      <c r="L13" s="17" t="str">
        <f t="shared" si="2"/>
        <v/>
      </c>
      <c r="M13" s="17" t="str">
        <f t="shared" si="3"/>
        <v/>
      </c>
    </row>
    <row r="14" spans="1:13" x14ac:dyDescent="0.25">
      <c r="A14" s="13">
        <v>9</v>
      </c>
      <c r="B14" s="91" t="s">
        <v>116</v>
      </c>
      <c r="C14" s="91" t="s">
        <v>146</v>
      </c>
      <c r="D14" s="35"/>
      <c r="E14" s="17" t="str">
        <f t="shared" si="0"/>
        <v/>
      </c>
      <c r="F14" s="17" t="str">
        <f t="shared" si="1"/>
        <v/>
      </c>
      <c r="G14"/>
      <c r="H14" s="13">
        <v>9</v>
      </c>
      <c r="I14" s="91" t="s">
        <v>116</v>
      </c>
      <c r="J14" s="13">
        <v>9</v>
      </c>
      <c r="K14" s="35"/>
      <c r="L14" s="17" t="str">
        <f t="shared" si="2"/>
        <v/>
      </c>
      <c r="M14" s="17" t="str">
        <f t="shared" si="3"/>
        <v/>
      </c>
    </row>
    <row r="15" spans="1:13" x14ac:dyDescent="0.25">
      <c r="A15" s="13">
        <v>10</v>
      </c>
      <c r="B15" s="91" t="s">
        <v>116</v>
      </c>
      <c r="C15" s="91" t="s">
        <v>146</v>
      </c>
      <c r="D15" s="35"/>
      <c r="E15" s="17" t="str">
        <f t="shared" si="0"/>
        <v/>
      </c>
      <c r="F15" s="17" t="str">
        <f t="shared" si="1"/>
        <v/>
      </c>
      <c r="G15"/>
      <c r="H15" s="13">
        <v>10</v>
      </c>
      <c r="I15" s="91" t="s">
        <v>116</v>
      </c>
      <c r="J15" s="13">
        <v>9</v>
      </c>
      <c r="K15" s="35"/>
      <c r="L15" s="17" t="str">
        <f t="shared" si="2"/>
        <v/>
      </c>
      <c r="M15" s="17" t="str">
        <f t="shared" si="3"/>
        <v/>
      </c>
    </row>
    <row r="16" spans="1:13" x14ac:dyDescent="0.25">
      <c r="A16" s="13">
        <v>11</v>
      </c>
      <c r="B16" s="91" t="s">
        <v>116</v>
      </c>
      <c r="C16" s="91" t="s">
        <v>146</v>
      </c>
      <c r="D16" s="35"/>
      <c r="E16" s="17" t="str">
        <f t="shared" si="0"/>
        <v/>
      </c>
      <c r="F16" s="17" t="str">
        <f t="shared" si="1"/>
        <v/>
      </c>
      <c r="G16"/>
      <c r="H16" s="13">
        <v>11</v>
      </c>
      <c r="I16" s="91" t="s">
        <v>116</v>
      </c>
      <c r="J16" s="13">
        <v>9</v>
      </c>
      <c r="K16" s="35"/>
      <c r="L16" s="17" t="str">
        <f t="shared" si="2"/>
        <v/>
      </c>
      <c r="M16" s="17" t="str">
        <f t="shared" si="3"/>
        <v/>
      </c>
    </row>
    <row r="17" spans="1:13" x14ac:dyDescent="0.25">
      <c r="A17" s="13">
        <v>12</v>
      </c>
      <c r="B17" s="91" t="s">
        <v>116</v>
      </c>
      <c r="C17" s="91" t="s">
        <v>146</v>
      </c>
      <c r="D17" s="35"/>
      <c r="E17" s="17" t="str">
        <f t="shared" si="0"/>
        <v/>
      </c>
      <c r="F17" s="17" t="str">
        <f t="shared" si="1"/>
        <v/>
      </c>
      <c r="G17"/>
      <c r="H17" s="13">
        <v>12</v>
      </c>
      <c r="I17" s="91" t="s">
        <v>116</v>
      </c>
      <c r="J17" s="13">
        <v>9</v>
      </c>
      <c r="K17" s="35"/>
      <c r="L17" s="17" t="str">
        <f t="shared" si="2"/>
        <v/>
      </c>
      <c r="M17" s="17" t="str">
        <f t="shared" si="3"/>
        <v/>
      </c>
    </row>
    <row r="18" spans="1:13" x14ac:dyDescent="0.25">
      <c r="A18" s="13">
        <v>13</v>
      </c>
      <c r="B18" s="91" t="s">
        <v>116</v>
      </c>
      <c r="C18" s="91" t="s">
        <v>146</v>
      </c>
      <c r="D18" s="35"/>
      <c r="E18" s="17" t="str">
        <f t="shared" si="0"/>
        <v/>
      </c>
      <c r="F18" s="17" t="str">
        <f t="shared" si="1"/>
        <v/>
      </c>
      <c r="G18"/>
      <c r="H18" s="13">
        <v>13</v>
      </c>
      <c r="I18" s="91" t="s">
        <v>116</v>
      </c>
      <c r="J18" s="13">
        <v>9</v>
      </c>
      <c r="K18" s="35"/>
      <c r="L18" s="17" t="str">
        <f t="shared" si="2"/>
        <v/>
      </c>
      <c r="M18" s="17" t="str">
        <f t="shared" si="3"/>
        <v/>
      </c>
    </row>
    <row r="19" spans="1:13" x14ac:dyDescent="0.25">
      <c r="A19" s="13">
        <v>14</v>
      </c>
      <c r="B19" s="91" t="s">
        <v>116</v>
      </c>
      <c r="C19" s="91" t="s">
        <v>146</v>
      </c>
      <c r="D19" s="35"/>
      <c r="E19" s="17" t="str">
        <f t="shared" si="0"/>
        <v/>
      </c>
      <c r="F19" s="17" t="str">
        <f t="shared" si="1"/>
        <v/>
      </c>
      <c r="G19"/>
      <c r="H19" s="13">
        <v>14</v>
      </c>
      <c r="I19" s="91" t="s">
        <v>116</v>
      </c>
      <c r="J19" s="13">
        <v>9</v>
      </c>
      <c r="K19" s="35"/>
      <c r="L19" s="17" t="str">
        <f t="shared" si="2"/>
        <v/>
      </c>
      <c r="M19" s="17" t="str">
        <f t="shared" si="3"/>
        <v/>
      </c>
    </row>
    <row r="20" spans="1:13" x14ac:dyDescent="0.25">
      <c r="A20" s="13">
        <v>15</v>
      </c>
      <c r="B20" s="91" t="s">
        <v>116</v>
      </c>
      <c r="C20" s="91" t="s">
        <v>146</v>
      </c>
      <c r="D20" s="35"/>
      <c r="E20" s="17" t="str">
        <f t="shared" si="0"/>
        <v/>
      </c>
      <c r="F20" s="17" t="str">
        <f t="shared" si="1"/>
        <v/>
      </c>
      <c r="G20"/>
      <c r="H20" s="13">
        <v>15</v>
      </c>
      <c r="I20" s="91" t="s">
        <v>116</v>
      </c>
      <c r="J20" s="13">
        <v>9</v>
      </c>
      <c r="K20" s="35"/>
      <c r="L20" s="17" t="str">
        <f t="shared" si="2"/>
        <v/>
      </c>
      <c r="M20" s="17" t="str">
        <f t="shared" si="3"/>
        <v/>
      </c>
    </row>
    <row r="21" spans="1:13" x14ac:dyDescent="0.25">
      <c r="A21" s="13">
        <v>16</v>
      </c>
      <c r="B21" s="91" t="s">
        <v>116</v>
      </c>
      <c r="C21" s="91" t="s">
        <v>146</v>
      </c>
      <c r="D21" s="35"/>
      <c r="E21" s="17" t="str">
        <f t="shared" si="0"/>
        <v/>
      </c>
      <c r="F21" s="17" t="str">
        <f t="shared" si="1"/>
        <v/>
      </c>
      <c r="G21"/>
      <c r="H21" s="13">
        <v>16</v>
      </c>
      <c r="I21" s="91" t="s">
        <v>116</v>
      </c>
      <c r="J21" s="13">
        <v>9</v>
      </c>
      <c r="K21" s="35"/>
      <c r="L21" s="17" t="str">
        <f t="shared" si="2"/>
        <v/>
      </c>
      <c r="M21" s="17" t="str">
        <f t="shared" si="3"/>
        <v/>
      </c>
    </row>
    <row r="22" spans="1:13" x14ac:dyDescent="0.25">
      <c r="A22" s="13">
        <v>17</v>
      </c>
      <c r="B22" s="91" t="s">
        <v>116</v>
      </c>
      <c r="C22" s="91" t="s">
        <v>146</v>
      </c>
      <c r="D22" s="35"/>
      <c r="E22" s="17" t="str">
        <f t="shared" si="0"/>
        <v/>
      </c>
      <c r="F22" s="17" t="str">
        <f t="shared" si="1"/>
        <v/>
      </c>
      <c r="G22"/>
      <c r="H22" s="13">
        <v>17</v>
      </c>
      <c r="I22" s="91" t="s">
        <v>116</v>
      </c>
      <c r="J22" s="13">
        <v>9</v>
      </c>
      <c r="K22" s="35"/>
      <c r="L22" s="17" t="str">
        <f t="shared" si="2"/>
        <v/>
      </c>
      <c r="M22" s="17" t="str">
        <f t="shared" si="3"/>
        <v/>
      </c>
    </row>
    <row r="23" spans="1:13" x14ac:dyDescent="0.25">
      <c r="A23" s="13">
        <v>18</v>
      </c>
      <c r="B23" s="91" t="s">
        <v>116</v>
      </c>
      <c r="C23" s="91" t="s">
        <v>146</v>
      </c>
      <c r="D23" s="35"/>
      <c r="E23" s="17" t="str">
        <f t="shared" si="0"/>
        <v/>
      </c>
      <c r="F23" s="17" t="str">
        <f t="shared" si="1"/>
        <v/>
      </c>
      <c r="G23"/>
      <c r="H23" s="13">
        <v>18</v>
      </c>
      <c r="I23" s="91" t="s">
        <v>116</v>
      </c>
      <c r="J23" s="13">
        <v>9</v>
      </c>
      <c r="K23" s="35"/>
      <c r="L23" s="17" t="str">
        <f t="shared" si="2"/>
        <v/>
      </c>
      <c r="M23" s="17" t="str">
        <f t="shared" si="3"/>
        <v/>
      </c>
    </row>
    <row r="24" spans="1:13" x14ac:dyDescent="0.25">
      <c r="A24" s="13">
        <v>19</v>
      </c>
      <c r="B24" s="91" t="s">
        <v>116</v>
      </c>
      <c r="C24" s="91" t="s">
        <v>146</v>
      </c>
      <c r="D24" s="35"/>
      <c r="E24" s="17" t="str">
        <f t="shared" si="0"/>
        <v/>
      </c>
      <c r="F24" s="17" t="str">
        <f t="shared" si="1"/>
        <v/>
      </c>
      <c r="G24"/>
      <c r="H24" s="13">
        <v>19</v>
      </c>
      <c r="I24" s="91" t="s">
        <v>116</v>
      </c>
      <c r="J24" s="13">
        <v>9</v>
      </c>
      <c r="K24" s="35"/>
      <c r="L24" s="17" t="str">
        <f t="shared" si="2"/>
        <v/>
      </c>
      <c r="M24" s="17" t="str">
        <f t="shared" si="3"/>
        <v/>
      </c>
    </row>
    <row r="25" spans="1:13" x14ac:dyDescent="0.25">
      <c r="A25" s="13">
        <v>20</v>
      </c>
      <c r="B25" s="91" t="s">
        <v>116</v>
      </c>
      <c r="C25" s="91" t="s">
        <v>146</v>
      </c>
      <c r="D25" s="35"/>
      <c r="E25" s="17" t="str">
        <f t="shared" si="0"/>
        <v/>
      </c>
      <c r="F25" s="17" t="str">
        <f t="shared" si="1"/>
        <v/>
      </c>
      <c r="G25"/>
      <c r="H25" s="13">
        <v>20</v>
      </c>
      <c r="I25" s="91" t="s">
        <v>116</v>
      </c>
      <c r="J25" s="13">
        <v>9</v>
      </c>
      <c r="K25" s="35"/>
      <c r="L25" s="17" t="str">
        <f t="shared" si="2"/>
        <v/>
      </c>
      <c r="M25" s="17" t="str">
        <f t="shared" si="3"/>
        <v/>
      </c>
    </row>
    <row r="26" spans="1:13" x14ac:dyDescent="0.25">
      <c r="A26" s="4" t="s">
        <v>172</v>
      </c>
      <c r="B26" s="12"/>
      <c r="C26" s="12"/>
      <c r="D26" s="4"/>
      <c r="E26" s="4"/>
      <c r="F26" s="4"/>
      <c r="G26"/>
      <c r="H26" s="4" t="s">
        <v>173</v>
      </c>
      <c r="I26" s="12"/>
      <c r="J26" s="12"/>
      <c r="K26" s="4"/>
      <c r="L26" s="4"/>
      <c r="M26" s="4"/>
    </row>
    <row r="27" spans="1:13" ht="23.25" x14ac:dyDescent="0.25">
      <c r="A27" s="15" t="s">
        <v>0</v>
      </c>
      <c r="B27" s="15" t="s">
        <v>55</v>
      </c>
      <c r="C27" s="15" t="s">
        <v>56</v>
      </c>
      <c r="D27" s="16" t="s">
        <v>8</v>
      </c>
      <c r="E27" s="15" t="s">
        <v>2</v>
      </c>
      <c r="F27" s="15" t="s">
        <v>1</v>
      </c>
      <c r="G27"/>
      <c r="H27" s="15" t="s">
        <v>0</v>
      </c>
      <c r="I27" s="15" t="s">
        <v>55</v>
      </c>
      <c r="J27" s="15" t="s">
        <v>56</v>
      </c>
      <c r="K27" s="16" t="s">
        <v>8</v>
      </c>
      <c r="L27" s="15" t="s">
        <v>2</v>
      </c>
      <c r="M27" s="15" t="s">
        <v>1</v>
      </c>
    </row>
    <row r="28" spans="1:13" x14ac:dyDescent="0.25">
      <c r="A28" s="13">
        <v>1</v>
      </c>
      <c r="B28" s="91" t="s">
        <v>116</v>
      </c>
      <c r="C28" s="13">
        <v>10</v>
      </c>
      <c r="D28" s="35"/>
      <c r="E28" s="17" t="str">
        <f t="shared" ref="E28:E47" si="4">IF(D28&gt;0,VLOOKUP(D28,Jumpers,3),"")</f>
        <v/>
      </c>
      <c r="F28" s="17" t="str">
        <f t="shared" ref="F28:F47" si="5">IF(D28&gt;0,VLOOKUP(D28,Jumpers,2),"")</f>
        <v/>
      </c>
      <c r="G28"/>
      <c r="H28" s="13">
        <v>1</v>
      </c>
      <c r="I28" s="91" t="s">
        <v>116</v>
      </c>
      <c r="J28" s="13">
        <v>11</v>
      </c>
      <c r="K28" s="35"/>
      <c r="L28" s="17" t="str">
        <f t="shared" ref="L28:L47" si="6">IF(K28&gt;0,VLOOKUP(K28,Jumpers,3),"")</f>
        <v/>
      </c>
      <c r="M28" s="17" t="str">
        <f t="shared" ref="M28:M47" si="7">IF(K28&gt;0,VLOOKUP(K28,Jumpers,2),"")</f>
        <v/>
      </c>
    </row>
    <row r="29" spans="1:13" x14ac:dyDescent="0.25">
      <c r="A29" s="13">
        <v>2</v>
      </c>
      <c r="B29" s="91" t="s">
        <v>116</v>
      </c>
      <c r="C29" s="13">
        <v>10</v>
      </c>
      <c r="D29" s="35"/>
      <c r="E29" s="17" t="str">
        <f t="shared" si="4"/>
        <v/>
      </c>
      <c r="F29" s="17" t="str">
        <f t="shared" si="5"/>
        <v/>
      </c>
      <c r="G29"/>
      <c r="H29" s="13">
        <v>2</v>
      </c>
      <c r="I29" s="91" t="s">
        <v>116</v>
      </c>
      <c r="J29" s="13">
        <v>11</v>
      </c>
      <c r="K29" s="35"/>
      <c r="L29" s="17" t="str">
        <f t="shared" si="6"/>
        <v/>
      </c>
      <c r="M29" s="17" t="str">
        <f t="shared" si="7"/>
        <v/>
      </c>
    </row>
    <row r="30" spans="1:13" x14ac:dyDescent="0.25">
      <c r="A30" s="13">
        <v>3</v>
      </c>
      <c r="B30" s="91" t="s">
        <v>116</v>
      </c>
      <c r="C30" s="13">
        <v>10</v>
      </c>
      <c r="D30" s="35"/>
      <c r="E30" s="17" t="str">
        <f t="shared" si="4"/>
        <v/>
      </c>
      <c r="F30" s="17" t="str">
        <f t="shared" si="5"/>
        <v/>
      </c>
      <c r="G30"/>
      <c r="H30" s="13">
        <v>3</v>
      </c>
      <c r="I30" s="91" t="s">
        <v>116</v>
      </c>
      <c r="J30" s="13">
        <v>11</v>
      </c>
      <c r="K30" s="35"/>
      <c r="L30" s="17" t="str">
        <f t="shared" si="6"/>
        <v/>
      </c>
      <c r="M30" s="17" t="str">
        <f t="shared" si="7"/>
        <v/>
      </c>
    </row>
    <row r="31" spans="1:13" x14ac:dyDescent="0.25">
      <c r="A31" s="13">
        <v>4</v>
      </c>
      <c r="B31" s="91" t="s">
        <v>116</v>
      </c>
      <c r="C31" s="13">
        <v>10</v>
      </c>
      <c r="D31" s="35"/>
      <c r="E31" s="17" t="str">
        <f t="shared" si="4"/>
        <v/>
      </c>
      <c r="F31" s="17" t="str">
        <f t="shared" si="5"/>
        <v/>
      </c>
      <c r="G31"/>
      <c r="H31" s="13">
        <v>4</v>
      </c>
      <c r="I31" s="91" t="s">
        <v>116</v>
      </c>
      <c r="J31" s="13">
        <v>11</v>
      </c>
      <c r="K31" s="35"/>
      <c r="L31" s="17" t="str">
        <f t="shared" si="6"/>
        <v/>
      </c>
      <c r="M31" s="17" t="str">
        <f t="shared" si="7"/>
        <v/>
      </c>
    </row>
    <row r="32" spans="1:13" x14ac:dyDescent="0.25">
      <c r="A32" s="13">
        <v>5</v>
      </c>
      <c r="B32" s="91" t="s">
        <v>116</v>
      </c>
      <c r="C32" s="13">
        <v>10</v>
      </c>
      <c r="D32" s="35"/>
      <c r="E32" s="17" t="str">
        <f t="shared" si="4"/>
        <v/>
      </c>
      <c r="F32" s="17" t="str">
        <f t="shared" si="5"/>
        <v/>
      </c>
      <c r="G32"/>
      <c r="H32" s="13">
        <v>5</v>
      </c>
      <c r="I32" s="91" t="s">
        <v>116</v>
      </c>
      <c r="J32" s="13">
        <v>11</v>
      </c>
      <c r="K32" s="35"/>
      <c r="L32" s="17" t="str">
        <f t="shared" si="6"/>
        <v/>
      </c>
      <c r="M32" s="17" t="str">
        <f t="shared" si="7"/>
        <v/>
      </c>
    </row>
    <row r="33" spans="1:13" x14ac:dyDescent="0.25">
      <c r="A33" s="13">
        <v>6</v>
      </c>
      <c r="B33" s="91" t="s">
        <v>116</v>
      </c>
      <c r="C33" s="13">
        <v>10</v>
      </c>
      <c r="D33" s="35"/>
      <c r="E33" s="17" t="str">
        <f t="shared" si="4"/>
        <v/>
      </c>
      <c r="F33" s="17" t="str">
        <f t="shared" si="5"/>
        <v/>
      </c>
      <c r="G33"/>
      <c r="H33" s="13">
        <v>6</v>
      </c>
      <c r="I33" s="91" t="s">
        <v>116</v>
      </c>
      <c r="J33" s="13">
        <v>11</v>
      </c>
      <c r="K33" s="35"/>
      <c r="L33" s="17" t="str">
        <f t="shared" si="6"/>
        <v/>
      </c>
      <c r="M33" s="17" t="str">
        <f t="shared" si="7"/>
        <v/>
      </c>
    </row>
    <row r="34" spans="1:13" x14ac:dyDescent="0.25">
      <c r="A34" s="13">
        <v>7</v>
      </c>
      <c r="B34" s="91" t="s">
        <v>116</v>
      </c>
      <c r="C34" s="13">
        <v>10</v>
      </c>
      <c r="D34" s="35"/>
      <c r="E34" s="17" t="str">
        <f t="shared" si="4"/>
        <v/>
      </c>
      <c r="F34" s="17" t="str">
        <f t="shared" si="5"/>
        <v/>
      </c>
      <c r="G34"/>
      <c r="H34" s="13">
        <v>7</v>
      </c>
      <c r="I34" s="91" t="s">
        <v>116</v>
      </c>
      <c r="J34" s="13">
        <v>11</v>
      </c>
      <c r="K34" s="35"/>
      <c r="L34" s="17" t="str">
        <f t="shared" si="6"/>
        <v/>
      </c>
      <c r="M34" s="17" t="str">
        <f t="shared" si="7"/>
        <v/>
      </c>
    </row>
    <row r="35" spans="1:13" x14ac:dyDescent="0.25">
      <c r="A35" s="13">
        <v>8</v>
      </c>
      <c r="B35" s="91" t="s">
        <v>116</v>
      </c>
      <c r="C35" s="13">
        <v>10</v>
      </c>
      <c r="D35" s="35"/>
      <c r="E35" s="17" t="str">
        <f t="shared" si="4"/>
        <v/>
      </c>
      <c r="F35" s="17" t="str">
        <f t="shared" si="5"/>
        <v/>
      </c>
      <c r="G35"/>
      <c r="H35" s="13">
        <v>8</v>
      </c>
      <c r="I35" s="91" t="s">
        <v>116</v>
      </c>
      <c r="J35" s="13">
        <v>11</v>
      </c>
      <c r="K35" s="35"/>
      <c r="L35" s="17" t="str">
        <f t="shared" si="6"/>
        <v/>
      </c>
      <c r="M35" s="17" t="str">
        <f t="shared" si="7"/>
        <v/>
      </c>
    </row>
    <row r="36" spans="1:13" x14ac:dyDescent="0.25">
      <c r="A36" s="13">
        <v>9</v>
      </c>
      <c r="B36" s="91" t="s">
        <v>116</v>
      </c>
      <c r="C36" s="13">
        <v>10</v>
      </c>
      <c r="D36" s="35"/>
      <c r="E36" s="17" t="str">
        <f t="shared" si="4"/>
        <v/>
      </c>
      <c r="F36" s="17" t="str">
        <f t="shared" si="5"/>
        <v/>
      </c>
      <c r="G36"/>
      <c r="H36" s="13">
        <v>9</v>
      </c>
      <c r="I36" s="91" t="s">
        <v>116</v>
      </c>
      <c r="J36" s="13">
        <v>11</v>
      </c>
      <c r="K36" s="35"/>
      <c r="L36" s="17" t="str">
        <f t="shared" si="6"/>
        <v/>
      </c>
      <c r="M36" s="17" t="str">
        <f t="shared" si="7"/>
        <v/>
      </c>
    </row>
    <row r="37" spans="1:13" x14ac:dyDescent="0.25">
      <c r="A37" s="13">
        <v>10</v>
      </c>
      <c r="B37" s="91" t="s">
        <v>116</v>
      </c>
      <c r="C37" s="13">
        <v>10</v>
      </c>
      <c r="D37" s="35"/>
      <c r="E37" s="17" t="str">
        <f t="shared" si="4"/>
        <v/>
      </c>
      <c r="F37" s="17" t="str">
        <f t="shared" si="5"/>
        <v/>
      </c>
      <c r="G37"/>
      <c r="H37" s="13">
        <v>10</v>
      </c>
      <c r="I37" s="91" t="s">
        <v>116</v>
      </c>
      <c r="J37" s="13">
        <v>11</v>
      </c>
      <c r="K37" s="35"/>
      <c r="L37" s="17" t="str">
        <f t="shared" si="6"/>
        <v/>
      </c>
      <c r="M37" s="17" t="str">
        <f t="shared" si="7"/>
        <v/>
      </c>
    </row>
    <row r="38" spans="1:13" x14ac:dyDescent="0.25">
      <c r="A38" s="13">
        <v>11</v>
      </c>
      <c r="B38" s="91" t="s">
        <v>116</v>
      </c>
      <c r="C38" s="13">
        <v>10</v>
      </c>
      <c r="D38" s="35"/>
      <c r="E38" s="17" t="str">
        <f t="shared" si="4"/>
        <v/>
      </c>
      <c r="F38" s="17" t="str">
        <f t="shared" si="5"/>
        <v/>
      </c>
      <c r="G38"/>
      <c r="H38" s="13">
        <v>11</v>
      </c>
      <c r="I38" s="91" t="s">
        <v>116</v>
      </c>
      <c r="J38" s="13">
        <v>11</v>
      </c>
      <c r="K38" s="35"/>
      <c r="L38" s="17" t="str">
        <f t="shared" si="6"/>
        <v/>
      </c>
      <c r="M38" s="17" t="str">
        <f t="shared" si="7"/>
        <v/>
      </c>
    </row>
    <row r="39" spans="1:13" x14ac:dyDescent="0.25">
      <c r="A39" s="13">
        <v>12</v>
      </c>
      <c r="B39" s="91" t="s">
        <v>116</v>
      </c>
      <c r="C39" s="13">
        <v>10</v>
      </c>
      <c r="D39" s="35"/>
      <c r="E39" s="17" t="str">
        <f t="shared" si="4"/>
        <v/>
      </c>
      <c r="F39" s="17" t="str">
        <f t="shared" si="5"/>
        <v/>
      </c>
      <c r="G39"/>
      <c r="H39" s="13">
        <v>12</v>
      </c>
      <c r="I39" s="91" t="s">
        <v>116</v>
      </c>
      <c r="J39" s="13">
        <v>11</v>
      </c>
      <c r="K39" s="35"/>
      <c r="L39" s="17" t="str">
        <f t="shared" si="6"/>
        <v/>
      </c>
      <c r="M39" s="17" t="str">
        <f t="shared" si="7"/>
        <v/>
      </c>
    </row>
    <row r="40" spans="1:13" x14ac:dyDescent="0.25">
      <c r="A40" s="13">
        <v>13</v>
      </c>
      <c r="B40" s="91" t="s">
        <v>116</v>
      </c>
      <c r="C40" s="13">
        <v>10</v>
      </c>
      <c r="D40" s="35"/>
      <c r="E40" s="17" t="str">
        <f t="shared" si="4"/>
        <v/>
      </c>
      <c r="F40" s="17" t="str">
        <f t="shared" si="5"/>
        <v/>
      </c>
      <c r="G40"/>
      <c r="H40" s="13">
        <v>13</v>
      </c>
      <c r="I40" s="91" t="s">
        <v>116</v>
      </c>
      <c r="J40" s="13">
        <v>11</v>
      </c>
      <c r="K40" s="35"/>
      <c r="L40" s="17" t="str">
        <f t="shared" si="6"/>
        <v/>
      </c>
      <c r="M40" s="17" t="str">
        <f t="shared" si="7"/>
        <v/>
      </c>
    </row>
    <row r="41" spans="1:13" x14ac:dyDescent="0.25">
      <c r="A41" s="13">
        <v>14</v>
      </c>
      <c r="B41" s="91" t="s">
        <v>116</v>
      </c>
      <c r="C41" s="13">
        <v>10</v>
      </c>
      <c r="D41" s="35"/>
      <c r="E41" s="17" t="str">
        <f t="shared" si="4"/>
        <v/>
      </c>
      <c r="F41" s="17" t="str">
        <f t="shared" si="5"/>
        <v/>
      </c>
      <c r="G41"/>
      <c r="H41" s="13">
        <v>14</v>
      </c>
      <c r="I41" s="91" t="s">
        <v>116</v>
      </c>
      <c r="J41" s="13">
        <v>11</v>
      </c>
      <c r="K41" s="35"/>
      <c r="L41" s="17" t="str">
        <f t="shared" si="6"/>
        <v/>
      </c>
      <c r="M41" s="17" t="str">
        <f t="shared" si="7"/>
        <v/>
      </c>
    </row>
    <row r="42" spans="1:13" x14ac:dyDescent="0.25">
      <c r="A42" s="13">
        <v>15</v>
      </c>
      <c r="B42" s="91" t="s">
        <v>116</v>
      </c>
      <c r="C42" s="13">
        <v>10</v>
      </c>
      <c r="D42" s="35"/>
      <c r="E42" s="17" t="str">
        <f t="shared" si="4"/>
        <v/>
      </c>
      <c r="F42" s="17" t="str">
        <f t="shared" si="5"/>
        <v/>
      </c>
      <c r="G42"/>
      <c r="H42" s="13">
        <v>15</v>
      </c>
      <c r="I42" s="91" t="s">
        <v>116</v>
      </c>
      <c r="J42" s="13">
        <v>11</v>
      </c>
      <c r="K42" s="35"/>
      <c r="L42" s="17" t="str">
        <f t="shared" si="6"/>
        <v/>
      </c>
      <c r="M42" s="17" t="str">
        <f t="shared" si="7"/>
        <v/>
      </c>
    </row>
    <row r="43" spans="1:13" x14ac:dyDescent="0.25">
      <c r="A43" s="13">
        <v>16</v>
      </c>
      <c r="B43" s="91" t="s">
        <v>116</v>
      </c>
      <c r="C43" s="13">
        <v>10</v>
      </c>
      <c r="D43" s="35"/>
      <c r="E43" s="17" t="str">
        <f t="shared" si="4"/>
        <v/>
      </c>
      <c r="F43" s="17" t="str">
        <f t="shared" si="5"/>
        <v/>
      </c>
      <c r="G43"/>
      <c r="H43" s="13">
        <v>16</v>
      </c>
      <c r="I43" s="91" t="s">
        <v>116</v>
      </c>
      <c r="J43" s="13">
        <v>11</v>
      </c>
      <c r="K43" s="35"/>
      <c r="L43" s="17" t="str">
        <f t="shared" si="6"/>
        <v/>
      </c>
      <c r="M43" s="17" t="str">
        <f t="shared" si="7"/>
        <v/>
      </c>
    </row>
    <row r="44" spans="1:13" x14ac:dyDescent="0.25">
      <c r="A44" s="13">
        <v>17</v>
      </c>
      <c r="B44" s="91" t="s">
        <v>116</v>
      </c>
      <c r="C44" s="13">
        <v>10</v>
      </c>
      <c r="D44" s="35"/>
      <c r="E44" s="17" t="str">
        <f t="shared" si="4"/>
        <v/>
      </c>
      <c r="F44" s="17" t="str">
        <f t="shared" si="5"/>
        <v/>
      </c>
      <c r="G44"/>
      <c r="H44" s="13">
        <v>17</v>
      </c>
      <c r="I44" s="91" t="s">
        <v>116</v>
      </c>
      <c r="J44" s="13">
        <v>11</v>
      </c>
      <c r="K44" s="35"/>
      <c r="L44" s="17" t="str">
        <f t="shared" si="6"/>
        <v/>
      </c>
      <c r="M44" s="17" t="str">
        <f t="shared" si="7"/>
        <v/>
      </c>
    </row>
    <row r="45" spans="1:13" x14ac:dyDescent="0.25">
      <c r="A45" s="13">
        <v>18</v>
      </c>
      <c r="B45" s="91" t="s">
        <v>116</v>
      </c>
      <c r="C45" s="13">
        <v>10</v>
      </c>
      <c r="D45" s="35"/>
      <c r="E45" s="17" t="str">
        <f t="shared" si="4"/>
        <v/>
      </c>
      <c r="F45" s="17" t="str">
        <f t="shared" si="5"/>
        <v/>
      </c>
      <c r="G45"/>
      <c r="H45" s="13">
        <v>18</v>
      </c>
      <c r="I45" s="91" t="s">
        <v>116</v>
      </c>
      <c r="J45" s="13">
        <v>11</v>
      </c>
      <c r="K45" s="35"/>
      <c r="L45" s="17" t="str">
        <f t="shared" si="6"/>
        <v/>
      </c>
      <c r="M45" s="17" t="str">
        <f t="shared" si="7"/>
        <v/>
      </c>
    </row>
    <row r="46" spans="1:13" x14ac:dyDescent="0.25">
      <c r="A46" s="13">
        <v>19</v>
      </c>
      <c r="B46" s="91" t="s">
        <v>116</v>
      </c>
      <c r="C46" s="13">
        <v>10</v>
      </c>
      <c r="D46" s="35"/>
      <c r="E46" s="17" t="str">
        <f t="shared" si="4"/>
        <v/>
      </c>
      <c r="F46" s="17" t="str">
        <f t="shared" si="5"/>
        <v/>
      </c>
      <c r="G46"/>
      <c r="H46" s="13">
        <v>19</v>
      </c>
      <c r="I46" s="91" t="s">
        <v>116</v>
      </c>
      <c r="J46" s="13">
        <v>11</v>
      </c>
      <c r="K46" s="35"/>
      <c r="L46" s="17" t="str">
        <f t="shared" si="6"/>
        <v/>
      </c>
      <c r="M46" s="17" t="str">
        <f t="shared" si="7"/>
        <v/>
      </c>
    </row>
    <row r="47" spans="1:13" x14ac:dyDescent="0.25">
      <c r="A47" s="13">
        <v>20</v>
      </c>
      <c r="B47" s="91" t="s">
        <v>116</v>
      </c>
      <c r="C47" s="13">
        <v>10</v>
      </c>
      <c r="D47" s="35"/>
      <c r="E47" s="17" t="str">
        <f t="shared" si="4"/>
        <v/>
      </c>
      <c r="F47" s="17" t="str">
        <f t="shared" si="5"/>
        <v/>
      </c>
      <c r="G47"/>
      <c r="H47" s="13">
        <v>20</v>
      </c>
      <c r="I47" s="91" t="s">
        <v>116</v>
      </c>
      <c r="J47" s="13">
        <v>11</v>
      </c>
      <c r="K47" s="35"/>
      <c r="L47" s="17" t="str">
        <f t="shared" si="6"/>
        <v/>
      </c>
      <c r="M47" s="17" t="str">
        <f t="shared" si="7"/>
        <v/>
      </c>
    </row>
    <row r="48" spans="1:13" x14ac:dyDescent="0.25">
      <c r="A48" s="4" t="s">
        <v>174</v>
      </c>
      <c r="B48" s="12"/>
      <c r="C48" s="12"/>
      <c r="D48" s="4"/>
      <c r="E48" s="4"/>
      <c r="F48" s="4"/>
      <c r="G48"/>
      <c r="H48" s="4" t="s">
        <v>175</v>
      </c>
      <c r="I48" s="12"/>
      <c r="J48" s="12"/>
      <c r="K48" s="4"/>
      <c r="L48" s="4"/>
      <c r="M48" s="4"/>
    </row>
    <row r="49" spans="1:13" ht="23.25" x14ac:dyDescent="0.25">
      <c r="A49" s="15" t="s">
        <v>0</v>
      </c>
      <c r="B49" s="15" t="s">
        <v>55</v>
      </c>
      <c r="C49" s="15" t="s">
        <v>56</v>
      </c>
      <c r="D49" s="16" t="s">
        <v>8</v>
      </c>
      <c r="E49" s="15" t="s">
        <v>2</v>
      </c>
      <c r="F49" s="15" t="s">
        <v>1</v>
      </c>
      <c r="G49"/>
      <c r="H49" s="15" t="s">
        <v>0</v>
      </c>
      <c r="I49" s="15" t="s">
        <v>55</v>
      </c>
      <c r="J49" s="15" t="s">
        <v>56</v>
      </c>
      <c r="K49" s="16" t="s">
        <v>8</v>
      </c>
      <c r="L49" s="15" t="s">
        <v>2</v>
      </c>
      <c r="M49" s="15" t="s">
        <v>1</v>
      </c>
    </row>
    <row r="50" spans="1:13" x14ac:dyDescent="0.25">
      <c r="A50" s="13">
        <v>1</v>
      </c>
      <c r="B50" s="91" t="s">
        <v>116</v>
      </c>
      <c r="C50" s="13">
        <v>12</v>
      </c>
      <c r="D50" s="35"/>
      <c r="E50" s="17" t="str">
        <f t="shared" ref="E50:E69" si="8">IF(D50&gt;0,VLOOKUP(D50,Jumpers,3),"")</f>
        <v/>
      </c>
      <c r="F50" s="17" t="str">
        <f t="shared" ref="F50:F69" si="9">IF(D50&gt;0,VLOOKUP(D50,Jumpers,2),"")</f>
        <v/>
      </c>
      <c r="G50"/>
      <c r="H50" s="13">
        <v>1</v>
      </c>
      <c r="I50" s="91" t="s">
        <v>116</v>
      </c>
      <c r="J50" s="13">
        <v>13</v>
      </c>
      <c r="K50" s="35"/>
      <c r="L50" s="17" t="str">
        <f t="shared" ref="L50:L69" si="10">IF(K50&gt;0,VLOOKUP(K50,Jumpers,3),"")</f>
        <v/>
      </c>
      <c r="M50" s="17" t="str">
        <f t="shared" ref="M50:M69" si="11">IF(K50&gt;0,VLOOKUP(K50,Jumpers,2),"")</f>
        <v/>
      </c>
    </row>
    <row r="51" spans="1:13" x14ac:dyDescent="0.25">
      <c r="A51" s="13">
        <v>2</v>
      </c>
      <c r="B51" s="91" t="s">
        <v>116</v>
      </c>
      <c r="C51" s="13">
        <v>12</v>
      </c>
      <c r="D51" s="35"/>
      <c r="E51" s="17" t="str">
        <f t="shared" si="8"/>
        <v/>
      </c>
      <c r="F51" s="17" t="str">
        <f t="shared" si="9"/>
        <v/>
      </c>
      <c r="G51"/>
      <c r="H51" s="13">
        <v>2</v>
      </c>
      <c r="I51" s="91" t="s">
        <v>116</v>
      </c>
      <c r="J51" s="13">
        <v>13</v>
      </c>
      <c r="K51" s="35"/>
      <c r="L51" s="17" t="str">
        <f t="shared" si="10"/>
        <v/>
      </c>
      <c r="M51" s="17" t="str">
        <f t="shared" si="11"/>
        <v/>
      </c>
    </row>
    <row r="52" spans="1:13" x14ac:dyDescent="0.25">
      <c r="A52" s="13">
        <v>3</v>
      </c>
      <c r="B52" s="91" t="s">
        <v>116</v>
      </c>
      <c r="C52" s="13">
        <v>12</v>
      </c>
      <c r="D52" s="35"/>
      <c r="E52" s="17" t="str">
        <f t="shared" si="8"/>
        <v/>
      </c>
      <c r="F52" s="17" t="str">
        <f t="shared" si="9"/>
        <v/>
      </c>
      <c r="G52"/>
      <c r="H52" s="13">
        <v>3</v>
      </c>
      <c r="I52" s="91" t="s">
        <v>116</v>
      </c>
      <c r="J52" s="13">
        <v>13</v>
      </c>
      <c r="K52" s="35"/>
      <c r="L52" s="17" t="str">
        <f t="shared" si="10"/>
        <v/>
      </c>
      <c r="M52" s="17" t="str">
        <f t="shared" si="11"/>
        <v/>
      </c>
    </row>
    <row r="53" spans="1:13" x14ac:dyDescent="0.25">
      <c r="A53" s="13">
        <v>4</v>
      </c>
      <c r="B53" s="91" t="s">
        <v>116</v>
      </c>
      <c r="C53" s="13">
        <v>12</v>
      </c>
      <c r="D53" s="35"/>
      <c r="E53" s="17" t="str">
        <f t="shared" si="8"/>
        <v/>
      </c>
      <c r="F53" s="17" t="str">
        <f t="shared" si="9"/>
        <v/>
      </c>
      <c r="G53"/>
      <c r="H53" s="13">
        <v>4</v>
      </c>
      <c r="I53" s="91" t="s">
        <v>116</v>
      </c>
      <c r="J53" s="13">
        <v>13</v>
      </c>
      <c r="K53" s="35"/>
      <c r="L53" s="17" t="str">
        <f t="shared" si="10"/>
        <v/>
      </c>
      <c r="M53" s="17" t="str">
        <f t="shared" si="11"/>
        <v/>
      </c>
    </row>
    <row r="54" spans="1:13" x14ac:dyDescent="0.25">
      <c r="A54" s="13">
        <v>5</v>
      </c>
      <c r="B54" s="91" t="s">
        <v>116</v>
      </c>
      <c r="C54" s="13">
        <v>12</v>
      </c>
      <c r="D54" s="35"/>
      <c r="E54" s="17" t="str">
        <f t="shared" si="8"/>
        <v/>
      </c>
      <c r="F54" s="17" t="str">
        <f t="shared" si="9"/>
        <v/>
      </c>
      <c r="G54"/>
      <c r="H54" s="13">
        <v>5</v>
      </c>
      <c r="I54" s="91" t="s">
        <v>116</v>
      </c>
      <c r="J54" s="13">
        <v>13</v>
      </c>
      <c r="K54" s="35"/>
      <c r="L54" s="17" t="str">
        <f t="shared" si="10"/>
        <v/>
      </c>
      <c r="M54" s="17" t="str">
        <f t="shared" si="11"/>
        <v/>
      </c>
    </row>
    <row r="55" spans="1:13" x14ac:dyDescent="0.25">
      <c r="A55" s="13">
        <v>6</v>
      </c>
      <c r="B55" s="91" t="s">
        <v>116</v>
      </c>
      <c r="C55" s="13">
        <v>12</v>
      </c>
      <c r="D55" s="35"/>
      <c r="E55" s="17" t="str">
        <f t="shared" si="8"/>
        <v/>
      </c>
      <c r="F55" s="17" t="str">
        <f t="shared" si="9"/>
        <v/>
      </c>
      <c r="G55"/>
      <c r="H55" s="13">
        <v>6</v>
      </c>
      <c r="I55" s="91" t="s">
        <v>116</v>
      </c>
      <c r="J55" s="13">
        <v>13</v>
      </c>
      <c r="K55" s="35"/>
      <c r="L55" s="17" t="str">
        <f t="shared" si="10"/>
        <v/>
      </c>
      <c r="M55" s="17" t="str">
        <f t="shared" si="11"/>
        <v/>
      </c>
    </row>
    <row r="56" spans="1:13" x14ac:dyDescent="0.25">
      <c r="A56" s="13">
        <v>7</v>
      </c>
      <c r="B56" s="91" t="s">
        <v>116</v>
      </c>
      <c r="C56" s="13">
        <v>12</v>
      </c>
      <c r="D56" s="35"/>
      <c r="E56" s="17" t="str">
        <f t="shared" si="8"/>
        <v/>
      </c>
      <c r="F56" s="17" t="str">
        <f t="shared" si="9"/>
        <v/>
      </c>
      <c r="G56"/>
      <c r="H56" s="13">
        <v>7</v>
      </c>
      <c r="I56" s="91" t="s">
        <v>116</v>
      </c>
      <c r="J56" s="13">
        <v>13</v>
      </c>
      <c r="K56" s="35"/>
      <c r="L56" s="17" t="str">
        <f t="shared" si="10"/>
        <v/>
      </c>
      <c r="M56" s="17" t="str">
        <f t="shared" si="11"/>
        <v/>
      </c>
    </row>
    <row r="57" spans="1:13" x14ac:dyDescent="0.25">
      <c r="A57" s="13">
        <v>8</v>
      </c>
      <c r="B57" s="91" t="s">
        <v>116</v>
      </c>
      <c r="C57" s="13">
        <v>12</v>
      </c>
      <c r="D57" s="35"/>
      <c r="E57" s="17" t="str">
        <f t="shared" si="8"/>
        <v/>
      </c>
      <c r="F57" s="17" t="str">
        <f t="shared" si="9"/>
        <v/>
      </c>
      <c r="G57"/>
      <c r="H57" s="13">
        <v>8</v>
      </c>
      <c r="I57" s="91" t="s">
        <v>116</v>
      </c>
      <c r="J57" s="13">
        <v>13</v>
      </c>
      <c r="K57" s="35"/>
      <c r="L57" s="17" t="str">
        <f t="shared" si="10"/>
        <v/>
      </c>
      <c r="M57" s="17" t="str">
        <f t="shared" si="11"/>
        <v/>
      </c>
    </row>
    <row r="58" spans="1:13" x14ac:dyDescent="0.25">
      <c r="A58" s="13">
        <v>9</v>
      </c>
      <c r="B58" s="91" t="s">
        <v>116</v>
      </c>
      <c r="C58" s="13">
        <v>12</v>
      </c>
      <c r="D58" s="35"/>
      <c r="E58" s="17" t="str">
        <f t="shared" si="8"/>
        <v/>
      </c>
      <c r="F58" s="17" t="str">
        <f t="shared" si="9"/>
        <v/>
      </c>
      <c r="G58"/>
      <c r="H58" s="13">
        <v>9</v>
      </c>
      <c r="I58" s="91" t="s">
        <v>116</v>
      </c>
      <c r="J58" s="13">
        <v>13</v>
      </c>
      <c r="K58" s="35"/>
      <c r="L58" s="17" t="str">
        <f t="shared" si="10"/>
        <v/>
      </c>
      <c r="M58" s="17" t="str">
        <f t="shared" si="11"/>
        <v/>
      </c>
    </row>
    <row r="59" spans="1:13" x14ac:dyDescent="0.25">
      <c r="A59" s="13">
        <v>10</v>
      </c>
      <c r="B59" s="91" t="s">
        <v>116</v>
      </c>
      <c r="C59" s="13">
        <v>12</v>
      </c>
      <c r="D59" s="35"/>
      <c r="E59" s="17" t="str">
        <f t="shared" si="8"/>
        <v/>
      </c>
      <c r="F59" s="17" t="str">
        <f t="shared" si="9"/>
        <v/>
      </c>
      <c r="G59"/>
      <c r="H59" s="13">
        <v>10</v>
      </c>
      <c r="I59" s="91" t="s">
        <v>116</v>
      </c>
      <c r="J59" s="13">
        <v>13</v>
      </c>
      <c r="K59" s="35"/>
      <c r="L59" s="17" t="str">
        <f t="shared" si="10"/>
        <v/>
      </c>
      <c r="M59" s="17" t="str">
        <f t="shared" si="11"/>
        <v/>
      </c>
    </row>
    <row r="60" spans="1:13" x14ac:dyDescent="0.25">
      <c r="A60" s="13">
        <v>11</v>
      </c>
      <c r="B60" s="91" t="s">
        <v>116</v>
      </c>
      <c r="C60" s="13">
        <v>12</v>
      </c>
      <c r="D60" s="35"/>
      <c r="E60" s="17" t="str">
        <f t="shared" si="8"/>
        <v/>
      </c>
      <c r="F60" s="17" t="str">
        <f t="shared" si="9"/>
        <v/>
      </c>
      <c r="G60"/>
      <c r="H60" s="13">
        <v>11</v>
      </c>
      <c r="I60" s="91" t="s">
        <v>116</v>
      </c>
      <c r="J60" s="13">
        <v>13</v>
      </c>
      <c r="K60" s="35"/>
      <c r="L60" s="17" t="str">
        <f t="shared" si="10"/>
        <v/>
      </c>
      <c r="M60" s="17" t="str">
        <f t="shared" si="11"/>
        <v/>
      </c>
    </row>
    <row r="61" spans="1:13" x14ac:dyDescent="0.25">
      <c r="A61" s="13">
        <v>12</v>
      </c>
      <c r="B61" s="91" t="s">
        <v>116</v>
      </c>
      <c r="C61" s="13">
        <v>12</v>
      </c>
      <c r="D61" s="35"/>
      <c r="E61" s="17" t="str">
        <f t="shared" si="8"/>
        <v/>
      </c>
      <c r="F61" s="17" t="str">
        <f t="shared" si="9"/>
        <v/>
      </c>
      <c r="G61"/>
      <c r="H61" s="13">
        <v>12</v>
      </c>
      <c r="I61" s="91" t="s">
        <v>116</v>
      </c>
      <c r="J61" s="13">
        <v>13</v>
      </c>
      <c r="K61" s="35"/>
      <c r="L61" s="17" t="str">
        <f t="shared" si="10"/>
        <v/>
      </c>
      <c r="M61" s="17" t="str">
        <f t="shared" si="11"/>
        <v/>
      </c>
    </row>
    <row r="62" spans="1:13" x14ac:dyDescent="0.25">
      <c r="A62" s="13">
        <v>13</v>
      </c>
      <c r="B62" s="91" t="s">
        <v>116</v>
      </c>
      <c r="C62" s="13">
        <v>12</v>
      </c>
      <c r="D62" s="35"/>
      <c r="E62" s="17" t="str">
        <f t="shared" si="8"/>
        <v/>
      </c>
      <c r="F62" s="17" t="str">
        <f t="shared" si="9"/>
        <v/>
      </c>
      <c r="G62"/>
      <c r="H62" s="13">
        <v>13</v>
      </c>
      <c r="I62" s="91" t="s">
        <v>116</v>
      </c>
      <c r="J62" s="13">
        <v>13</v>
      </c>
      <c r="K62" s="35"/>
      <c r="L62" s="17" t="str">
        <f t="shared" si="10"/>
        <v/>
      </c>
      <c r="M62" s="17" t="str">
        <f t="shared" si="11"/>
        <v/>
      </c>
    </row>
    <row r="63" spans="1:13" x14ac:dyDescent="0.25">
      <c r="A63" s="13">
        <v>14</v>
      </c>
      <c r="B63" s="91" t="s">
        <v>116</v>
      </c>
      <c r="C63" s="13">
        <v>12</v>
      </c>
      <c r="D63" s="35"/>
      <c r="E63" s="17" t="str">
        <f t="shared" si="8"/>
        <v/>
      </c>
      <c r="F63" s="17" t="str">
        <f t="shared" si="9"/>
        <v/>
      </c>
      <c r="G63"/>
      <c r="H63" s="13">
        <v>14</v>
      </c>
      <c r="I63" s="91" t="s">
        <v>116</v>
      </c>
      <c r="J63" s="13">
        <v>13</v>
      </c>
      <c r="K63" s="35"/>
      <c r="L63" s="17" t="str">
        <f t="shared" si="10"/>
        <v/>
      </c>
      <c r="M63" s="17" t="str">
        <f t="shared" si="11"/>
        <v/>
      </c>
    </row>
    <row r="64" spans="1:13" x14ac:dyDescent="0.25">
      <c r="A64" s="13">
        <v>15</v>
      </c>
      <c r="B64" s="91" t="s">
        <v>116</v>
      </c>
      <c r="C64" s="13">
        <v>12</v>
      </c>
      <c r="D64" s="35"/>
      <c r="E64" s="17" t="str">
        <f t="shared" si="8"/>
        <v/>
      </c>
      <c r="F64" s="17" t="str">
        <f t="shared" si="9"/>
        <v/>
      </c>
      <c r="G64"/>
      <c r="H64" s="13">
        <v>15</v>
      </c>
      <c r="I64" s="91" t="s">
        <v>116</v>
      </c>
      <c r="J64" s="13">
        <v>13</v>
      </c>
      <c r="K64" s="35"/>
      <c r="L64" s="17" t="str">
        <f t="shared" si="10"/>
        <v/>
      </c>
      <c r="M64" s="17" t="str">
        <f t="shared" si="11"/>
        <v/>
      </c>
    </row>
    <row r="65" spans="1:13" x14ac:dyDescent="0.25">
      <c r="A65" s="13">
        <v>16</v>
      </c>
      <c r="B65" s="91" t="s">
        <v>116</v>
      </c>
      <c r="C65" s="13">
        <v>12</v>
      </c>
      <c r="D65" s="35"/>
      <c r="E65" s="17" t="str">
        <f t="shared" si="8"/>
        <v/>
      </c>
      <c r="F65" s="17" t="str">
        <f t="shared" si="9"/>
        <v/>
      </c>
      <c r="G65"/>
      <c r="H65" s="13">
        <v>16</v>
      </c>
      <c r="I65" s="91" t="s">
        <v>116</v>
      </c>
      <c r="J65" s="13">
        <v>13</v>
      </c>
      <c r="K65" s="35"/>
      <c r="L65" s="17" t="str">
        <f t="shared" si="10"/>
        <v/>
      </c>
      <c r="M65" s="17" t="str">
        <f t="shared" si="11"/>
        <v/>
      </c>
    </row>
    <row r="66" spans="1:13" x14ac:dyDescent="0.25">
      <c r="A66" s="13">
        <v>17</v>
      </c>
      <c r="B66" s="91" t="s">
        <v>116</v>
      </c>
      <c r="C66" s="13">
        <v>12</v>
      </c>
      <c r="D66" s="35"/>
      <c r="E66" s="17" t="str">
        <f t="shared" si="8"/>
        <v/>
      </c>
      <c r="F66" s="17" t="str">
        <f t="shared" si="9"/>
        <v/>
      </c>
      <c r="G66"/>
      <c r="H66" s="13">
        <v>17</v>
      </c>
      <c r="I66" s="91" t="s">
        <v>116</v>
      </c>
      <c r="J66" s="13">
        <v>13</v>
      </c>
      <c r="K66" s="35"/>
      <c r="L66" s="17" t="str">
        <f t="shared" si="10"/>
        <v/>
      </c>
      <c r="M66" s="17" t="str">
        <f t="shared" si="11"/>
        <v/>
      </c>
    </row>
    <row r="67" spans="1:13" x14ac:dyDescent="0.25">
      <c r="A67" s="13">
        <v>18</v>
      </c>
      <c r="B67" s="91" t="s">
        <v>116</v>
      </c>
      <c r="C67" s="13">
        <v>12</v>
      </c>
      <c r="D67" s="35"/>
      <c r="E67" s="17" t="str">
        <f t="shared" si="8"/>
        <v/>
      </c>
      <c r="F67" s="17" t="str">
        <f t="shared" si="9"/>
        <v/>
      </c>
      <c r="G67"/>
      <c r="H67" s="13">
        <v>18</v>
      </c>
      <c r="I67" s="91" t="s">
        <v>116</v>
      </c>
      <c r="J67" s="13">
        <v>13</v>
      </c>
      <c r="K67" s="35"/>
      <c r="L67" s="17" t="str">
        <f t="shared" si="10"/>
        <v/>
      </c>
      <c r="M67" s="17" t="str">
        <f t="shared" si="11"/>
        <v/>
      </c>
    </row>
    <row r="68" spans="1:13" x14ac:dyDescent="0.25">
      <c r="A68" s="13">
        <v>19</v>
      </c>
      <c r="B68" s="91" t="s">
        <v>116</v>
      </c>
      <c r="C68" s="13">
        <v>12</v>
      </c>
      <c r="D68" s="35"/>
      <c r="E68" s="17" t="str">
        <f t="shared" si="8"/>
        <v/>
      </c>
      <c r="F68" s="17" t="str">
        <f t="shared" si="9"/>
        <v/>
      </c>
      <c r="G68"/>
      <c r="H68" s="13">
        <v>19</v>
      </c>
      <c r="I68" s="91" t="s">
        <v>116</v>
      </c>
      <c r="J68" s="13">
        <v>13</v>
      </c>
      <c r="K68" s="35"/>
      <c r="L68" s="17" t="str">
        <f t="shared" si="10"/>
        <v/>
      </c>
      <c r="M68" s="17" t="str">
        <f t="shared" si="11"/>
        <v/>
      </c>
    </row>
    <row r="69" spans="1:13" x14ac:dyDescent="0.25">
      <c r="A69" s="13">
        <v>20</v>
      </c>
      <c r="B69" s="91" t="s">
        <v>116</v>
      </c>
      <c r="C69" s="13">
        <v>12</v>
      </c>
      <c r="D69" s="35"/>
      <c r="E69" s="17" t="str">
        <f t="shared" si="8"/>
        <v/>
      </c>
      <c r="F69" s="17" t="str">
        <f t="shared" si="9"/>
        <v/>
      </c>
      <c r="G69"/>
      <c r="H69" s="13">
        <v>20</v>
      </c>
      <c r="I69" s="91" t="s">
        <v>116</v>
      </c>
      <c r="J69" s="13">
        <v>13</v>
      </c>
      <c r="K69" s="35"/>
      <c r="L69" s="17" t="str">
        <f t="shared" si="10"/>
        <v/>
      </c>
      <c r="M69" s="17" t="str">
        <f t="shared" si="11"/>
        <v/>
      </c>
    </row>
    <row r="70" spans="1:13" x14ac:dyDescent="0.25">
      <c r="A70" s="4" t="s">
        <v>176</v>
      </c>
      <c r="B70" s="12"/>
      <c r="C70" s="12"/>
      <c r="D70" s="4"/>
      <c r="E70" s="4"/>
      <c r="F70" s="4"/>
      <c r="G70"/>
      <c r="H70" s="4" t="s">
        <v>221</v>
      </c>
      <c r="I70" s="12"/>
      <c r="J70" s="12"/>
      <c r="K70" s="4"/>
      <c r="L70" s="4"/>
      <c r="M70" s="4"/>
    </row>
    <row r="71" spans="1:13" ht="23.25" x14ac:dyDescent="0.25">
      <c r="A71" s="15" t="s">
        <v>0</v>
      </c>
      <c r="B71" s="15" t="s">
        <v>55</v>
      </c>
      <c r="C71" s="15" t="s">
        <v>56</v>
      </c>
      <c r="D71" s="16" t="s">
        <v>8</v>
      </c>
      <c r="E71" s="15" t="s">
        <v>2</v>
      </c>
      <c r="F71" s="15" t="s">
        <v>1</v>
      </c>
      <c r="G71"/>
      <c r="H71" s="15" t="s">
        <v>0</v>
      </c>
      <c r="I71" s="15" t="s">
        <v>55</v>
      </c>
      <c r="J71" s="15" t="s">
        <v>56</v>
      </c>
      <c r="K71" s="16" t="s">
        <v>8</v>
      </c>
      <c r="L71" s="15" t="s">
        <v>2</v>
      </c>
      <c r="M71" s="15" t="s">
        <v>1</v>
      </c>
    </row>
    <row r="72" spans="1:13" x14ac:dyDescent="0.25">
      <c r="A72" s="13">
        <v>1</v>
      </c>
      <c r="B72" s="91" t="s">
        <v>116</v>
      </c>
      <c r="C72" s="13">
        <v>14</v>
      </c>
      <c r="D72" s="35"/>
      <c r="E72" s="17" t="str">
        <f t="shared" ref="E72:E91" si="12">IF(D72&gt;0,VLOOKUP(D72,Jumpers,3),"")</f>
        <v/>
      </c>
      <c r="F72" s="17" t="str">
        <f t="shared" ref="F72:F91" si="13">IF(D72&gt;0,VLOOKUP(D72,Jumpers,2),"")</f>
        <v/>
      </c>
      <c r="G72"/>
      <c r="H72" s="13">
        <v>1</v>
      </c>
      <c r="I72" s="91" t="s">
        <v>116</v>
      </c>
      <c r="J72" s="91" t="s">
        <v>214</v>
      </c>
      <c r="K72" s="35"/>
      <c r="L72" s="17" t="str">
        <f t="shared" ref="L72:L91" si="14">IF(K72&gt;0,VLOOKUP(K72,Jumpers,3),"")</f>
        <v/>
      </c>
      <c r="M72" s="17" t="str">
        <f t="shared" ref="M72:M91" si="15">IF(K72&gt;0,VLOOKUP(K72,Jumpers,2),"")</f>
        <v/>
      </c>
    </row>
    <row r="73" spans="1:13" x14ac:dyDescent="0.25">
      <c r="A73" s="13">
        <v>2</v>
      </c>
      <c r="B73" s="91" t="s">
        <v>116</v>
      </c>
      <c r="C73" s="13">
        <v>14</v>
      </c>
      <c r="D73" s="35"/>
      <c r="E73" s="17" t="str">
        <f t="shared" si="12"/>
        <v/>
      </c>
      <c r="F73" s="17" t="str">
        <f t="shared" si="13"/>
        <v/>
      </c>
      <c r="G73"/>
      <c r="H73" s="13">
        <v>2</v>
      </c>
      <c r="I73" s="91" t="s">
        <v>116</v>
      </c>
      <c r="J73" s="91" t="s">
        <v>214</v>
      </c>
      <c r="K73" s="35"/>
      <c r="L73" s="17" t="str">
        <f t="shared" si="14"/>
        <v/>
      </c>
      <c r="M73" s="17" t="str">
        <f t="shared" si="15"/>
        <v/>
      </c>
    </row>
    <row r="74" spans="1:13" x14ac:dyDescent="0.25">
      <c r="A74" s="13">
        <v>3</v>
      </c>
      <c r="B74" s="91" t="s">
        <v>116</v>
      </c>
      <c r="C74" s="13">
        <v>14</v>
      </c>
      <c r="D74" s="35"/>
      <c r="E74" s="17" t="str">
        <f t="shared" si="12"/>
        <v/>
      </c>
      <c r="F74" s="17" t="str">
        <f t="shared" si="13"/>
        <v/>
      </c>
      <c r="G74"/>
      <c r="H74" s="13">
        <v>3</v>
      </c>
      <c r="I74" s="91" t="s">
        <v>116</v>
      </c>
      <c r="J74" s="91" t="s">
        <v>214</v>
      </c>
      <c r="K74" s="35"/>
      <c r="L74" s="17" t="str">
        <f t="shared" si="14"/>
        <v/>
      </c>
      <c r="M74" s="17" t="str">
        <f t="shared" si="15"/>
        <v/>
      </c>
    </row>
    <row r="75" spans="1:13" x14ac:dyDescent="0.25">
      <c r="A75" s="13">
        <v>4</v>
      </c>
      <c r="B75" s="91" t="s">
        <v>116</v>
      </c>
      <c r="C75" s="13">
        <v>14</v>
      </c>
      <c r="D75" s="35"/>
      <c r="E75" s="17" t="str">
        <f t="shared" si="12"/>
        <v/>
      </c>
      <c r="F75" s="17" t="str">
        <f t="shared" si="13"/>
        <v/>
      </c>
      <c r="G75"/>
      <c r="H75" s="13">
        <v>4</v>
      </c>
      <c r="I75" s="91" t="s">
        <v>116</v>
      </c>
      <c r="J75" s="91" t="s">
        <v>214</v>
      </c>
      <c r="K75" s="35"/>
      <c r="L75" s="17" t="str">
        <f t="shared" si="14"/>
        <v/>
      </c>
      <c r="M75" s="17" t="str">
        <f t="shared" si="15"/>
        <v/>
      </c>
    </row>
    <row r="76" spans="1:13" x14ac:dyDescent="0.25">
      <c r="A76" s="13">
        <v>5</v>
      </c>
      <c r="B76" s="91" t="s">
        <v>116</v>
      </c>
      <c r="C76" s="13">
        <v>14</v>
      </c>
      <c r="D76" s="35"/>
      <c r="E76" s="17" t="str">
        <f t="shared" si="12"/>
        <v/>
      </c>
      <c r="F76" s="17" t="str">
        <f t="shared" si="13"/>
        <v/>
      </c>
      <c r="G76"/>
      <c r="H76" s="13">
        <v>5</v>
      </c>
      <c r="I76" s="91" t="s">
        <v>116</v>
      </c>
      <c r="J76" s="91" t="s">
        <v>214</v>
      </c>
      <c r="K76" s="35"/>
      <c r="L76" s="17" t="str">
        <f t="shared" si="14"/>
        <v/>
      </c>
      <c r="M76" s="17" t="str">
        <f t="shared" si="15"/>
        <v/>
      </c>
    </row>
    <row r="77" spans="1:13" x14ac:dyDescent="0.25">
      <c r="A77" s="13">
        <v>6</v>
      </c>
      <c r="B77" s="91" t="s">
        <v>116</v>
      </c>
      <c r="C77" s="13">
        <v>14</v>
      </c>
      <c r="D77" s="35"/>
      <c r="E77" s="17" t="str">
        <f t="shared" si="12"/>
        <v/>
      </c>
      <c r="F77" s="17" t="str">
        <f t="shared" si="13"/>
        <v/>
      </c>
      <c r="G77"/>
      <c r="H77" s="13">
        <v>6</v>
      </c>
      <c r="I77" s="91" t="s">
        <v>116</v>
      </c>
      <c r="J77" s="91" t="s">
        <v>214</v>
      </c>
      <c r="K77" s="35"/>
      <c r="L77" s="17" t="str">
        <f t="shared" si="14"/>
        <v/>
      </c>
      <c r="M77" s="17" t="str">
        <f t="shared" si="15"/>
        <v/>
      </c>
    </row>
    <row r="78" spans="1:13" x14ac:dyDescent="0.25">
      <c r="A78" s="13">
        <v>7</v>
      </c>
      <c r="B78" s="91" t="s">
        <v>116</v>
      </c>
      <c r="C78" s="13">
        <v>14</v>
      </c>
      <c r="D78" s="35"/>
      <c r="E78" s="17" t="str">
        <f t="shared" si="12"/>
        <v/>
      </c>
      <c r="F78" s="17" t="str">
        <f t="shared" si="13"/>
        <v/>
      </c>
      <c r="G78"/>
      <c r="H78" s="13">
        <v>7</v>
      </c>
      <c r="I78" s="91" t="s">
        <v>116</v>
      </c>
      <c r="J78" s="91" t="s">
        <v>214</v>
      </c>
      <c r="K78" s="35"/>
      <c r="L78" s="17" t="str">
        <f t="shared" si="14"/>
        <v/>
      </c>
      <c r="M78" s="17" t="str">
        <f t="shared" si="15"/>
        <v/>
      </c>
    </row>
    <row r="79" spans="1:13" x14ac:dyDescent="0.25">
      <c r="A79" s="13">
        <v>8</v>
      </c>
      <c r="B79" s="91" t="s">
        <v>116</v>
      </c>
      <c r="C79" s="13">
        <v>14</v>
      </c>
      <c r="D79" s="35"/>
      <c r="E79" s="17" t="str">
        <f t="shared" si="12"/>
        <v/>
      </c>
      <c r="F79" s="17" t="str">
        <f t="shared" si="13"/>
        <v/>
      </c>
      <c r="G79"/>
      <c r="H79" s="13">
        <v>8</v>
      </c>
      <c r="I79" s="91" t="s">
        <v>116</v>
      </c>
      <c r="J79" s="91" t="s">
        <v>214</v>
      </c>
      <c r="K79" s="35"/>
      <c r="L79" s="17" t="str">
        <f t="shared" si="14"/>
        <v/>
      </c>
      <c r="M79" s="17" t="str">
        <f t="shared" si="15"/>
        <v/>
      </c>
    </row>
    <row r="80" spans="1:13" x14ac:dyDescent="0.25">
      <c r="A80" s="13">
        <v>9</v>
      </c>
      <c r="B80" s="91" t="s">
        <v>116</v>
      </c>
      <c r="C80" s="13">
        <v>14</v>
      </c>
      <c r="D80" s="35"/>
      <c r="E80" s="17" t="str">
        <f t="shared" si="12"/>
        <v/>
      </c>
      <c r="F80" s="17" t="str">
        <f t="shared" si="13"/>
        <v/>
      </c>
      <c r="G80"/>
      <c r="H80" s="13">
        <v>9</v>
      </c>
      <c r="I80" s="91" t="s">
        <v>116</v>
      </c>
      <c r="J80" s="91" t="s">
        <v>214</v>
      </c>
      <c r="K80" s="35"/>
      <c r="L80" s="17" t="str">
        <f t="shared" si="14"/>
        <v/>
      </c>
      <c r="M80" s="17" t="str">
        <f t="shared" si="15"/>
        <v/>
      </c>
    </row>
    <row r="81" spans="1:13" x14ac:dyDescent="0.25">
      <c r="A81" s="13">
        <v>10</v>
      </c>
      <c r="B81" s="91" t="s">
        <v>116</v>
      </c>
      <c r="C81" s="13">
        <v>14</v>
      </c>
      <c r="D81" s="35"/>
      <c r="E81" s="17" t="str">
        <f t="shared" si="12"/>
        <v/>
      </c>
      <c r="F81" s="17" t="str">
        <f t="shared" si="13"/>
        <v/>
      </c>
      <c r="G81"/>
      <c r="H81" s="13">
        <v>10</v>
      </c>
      <c r="I81" s="91" t="s">
        <v>116</v>
      </c>
      <c r="J81" s="91" t="s">
        <v>214</v>
      </c>
      <c r="K81" s="35"/>
      <c r="L81" s="17" t="str">
        <f t="shared" si="14"/>
        <v/>
      </c>
      <c r="M81" s="17" t="str">
        <f t="shared" si="15"/>
        <v/>
      </c>
    </row>
    <row r="82" spans="1:13" x14ac:dyDescent="0.25">
      <c r="A82" s="13">
        <v>11</v>
      </c>
      <c r="B82" s="91" t="s">
        <v>116</v>
      </c>
      <c r="C82" s="13">
        <v>14</v>
      </c>
      <c r="D82" s="35"/>
      <c r="E82" s="17" t="str">
        <f t="shared" si="12"/>
        <v/>
      </c>
      <c r="F82" s="17" t="str">
        <f t="shared" si="13"/>
        <v/>
      </c>
      <c r="G82"/>
      <c r="H82" s="13">
        <v>11</v>
      </c>
      <c r="I82" s="91" t="s">
        <v>116</v>
      </c>
      <c r="J82" s="91" t="s">
        <v>214</v>
      </c>
      <c r="K82" s="35"/>
      <c r="L82" s="17" t="str">
        <f t="shared" si="14"/>
        <v/>
      </c>
      <c r="M82" s="17" t="str">
        <f t="shared" si="15"/>
        <v/>
      </c>
    </row>
    <row r="83" spans="1:13" x14ac:dyDescent="0.25">
      <c r="A83" s="13">
        <v>12</v>
      </c>
      <c r="B83" s="91" t="s">
        <v>116</v>
      </c>
      <c r="C83" s="13">
        <v>14</v>
      </c>
      <c r="D83" s="35"/>
      <c r="E83" s="17" t="str">
        <f t="shared" si="12"/>
        <v/>
      </c>
      <c r="F83" s="17" t="str">
        <f t="shared" si="13"/>
        <v/>
      </c>
      <c r="G83"/>
      <c r="H83" s="13">
        <v>12</v>
      </c>
      <c r="I83" s="91" t="s">
        <v>116</v>
      </c>
      <c r="J83" s="91" t="s">
        <v>214</v>
      </c>
      <c r="K83" s="35"/>
      <c r="L83" s="17" t="str">
        <f t="shared" si="14"/>
        <v/>
      </c>
      <c r="M83" s="17" t="str">
        <f t="shared" si="15"/>
        <v/>
      </c>
    </row>
    <row r="84" spans="1:13" x14ac:dyDescent="0.25">
      <c r="A84" s="13">
        <v>13</v>
      </c>
      <c r="B84" s="91" t="s">
        <v>116</v>
      </c>
      <c r="C84" s="13">
        <v>14</v>
      </c>
      <c r="D84" s="35"/>
      <c r="E84" s="17" t="str">
        <f t="shared" si="12"/>
        <v/>
      </c>
      <c r="F84" s="17" t="str">
        <f t="shared" si="13"/>
        <v/>
      </c>
      <c r="G84"/>
      <c r="H84" s="13">
        <v>13</v>
      </c>
      <c r="I84" s="91" t="s">
        <v>116</v>
      </c>
      <c r="J84" s="91" t="s">
        <v>214</v>
      </c>
      <c r="K84" s="35"/>
      <c r="L84" s="17" t="str">
        <f t="shared" si="14"/>
        <v/>
      </c>
      <c r="M84" s="17" t="str">
        <f t="shared" si="15"/>
        <v/>
      </c>
    </row>
    <row r="85" spans="1:13" x14ac:dyDescent="0.25">
      <c r="A85" s="13">
        <v>14</v>
      </c>
      <c r="B85" s="91" t="s">
        <v>116</v>
      </c>
      <c r="C85" s="13">
        <v>14</v>
      </c>
      <c r="D85" s="35"/>
      <c r="E85" s="17" t="str">
        <f t="shared" si="12"/>
        <v/>
      </c>
      <c r="F85" s="17" t="str">
        <f t="shared" si="13"/>
        <v/>
      </c>
      <c r="G85"/>
      <c r="H85" s="13">
        <v>14</v>
      </c>
      <c r="I85" s="91" t="s">
        <v>116</v>
      </c>
      <c r="J85" s="91" t="s">
        <v>214</v>
      </c>
      <c r="K85" s="35"/>
      <c r="L85" s="17" t="str">
        <f t="shared" si="14"/>
        <v/>
      </c>
      <c r="M85" s="17" t="str">
        <f t="shared" si="15"/>
        <v/>
      </c>
    </row>
    <row r="86" spans="1:13" x14ac:dyDescent="0.25">
      <c r="A86" s="13">
        <v>15</v>
      </c>
      <c r="B86" s="91" t="s">
        <v>116</v>
      </c>
      <c r="C86" s="13">
        <v>14</v>
      </c>
      <c r="D86" s="35"/>
      <c r="E86" s="17" t="str">
        <f t="shared" si="12"/>
        <v/>
      </c>
      <c r="F86" s="17" t="str">
        <f t="shared" si="13"/>
        <v/>
      </c>
      <c r="G86"/>
      <c r="H86" s="13">
        <v>15</v>
      </c>
      <c r="I86" s="91" t="s">
        <v>116</v>
      </c>
      <c r="J86" s="91" t="s">
        <v>214</v>
      </c>
      <c r="K86" s="35"/>
      <c r="L86" s="17" t="str">
        <f t="shared" si="14"/>
        <v/>
      </c>
      <c r="M86" s="17" t="str">
        <f t="shared" si="15"/>
        <v/>
      </c>
    </row>
    <row r="87" spans="1:13" x14ac:dyDescent="0.25">
      <c r="A87" s="13">
        <v>16</v>
      </c>
      <c r="B87" s="91" t="s">
        <v>116</v>
      </c>
      <c r="C87" s="13">
        <v>14</v>
      </c>
      <c r="D87" s="35"/>
      <c r="E87" s="17" t="str">
        <f t="shared" si="12"/>
        <v/>
      </c>
      <c r="F87" s="17" t="str">
        <f t="shared" si="13"/>
        <v/>
      </c>
      <c r="G87"/>
      <c r="H87" s="13">
        <v>16</v>
      </c>
      <c r="I87" s="91" t="s">
        <v>116</v>
      </c>
      <c r="J87" s="91" t="s">
        <v>214</v>
      </c>
      <c r="K87" s="35"/>
      <c r="L87" s="17" t="str">
        <f t="shared" si="14"/>
        <v/>
      </c>
      <c r="M87" s="17" t="str">
        <f t="shared" si="15"/>
        <v/>
      </c>
    </row>
    <row r="88" spans="1:13" x14ac:dyDescent="0.25">
      <c r="A88" s="13">
        <v>17</v>
      </c>
      <c r="B88" s="91" t="s">
        <v>116</v>
      </c>
      <c r="C88" s="13">
        <v>14</v>
      </c>
      <c r="D88" s="35"/>
      <c r="E88" s="17" t="str">
        <f t="shared" si="12"/>
        <v/>
      </c>
      <c r="F88" s="17" t="str">
        <f t="shared" si="13"/>
        <v/>
      </c>
      <c r="G88"/>
      <c r="H88" s="13">
        <v>17</v>
      </c>
      <c r="I88" s="91" t="s">
        <v>116</v>
      </c>
      <c r="J88" s="91" t="s">
        <v>214</v>
      </c>
      <c r="K88" s="35"/>
      <c r="L88" s="17" t="str">
        <f t="shared" si="14"/>
        <v/>
      </c>
      <c r="M88" s="17" t="str">
        <f t="shared" si="15"/>
        <v/>
      </c>
    </row>
    <row r="89" spans="1:13" x14ac:dyDescent="0.25">
      <c r="A89" s="13">
        <v>18</v>
      </c>
      <c r="B89" s="91" t="s">
        <v>116</v>
      </c>
      <c r="C89" s="13">
        <v>14</v>
      </c>
      <c r="D89" s="35"/>
      <c r="E89" s="17" t="str">
        <f t="shared" si="12"/>
        <v/>
      </c>
      <c r="F89" s="17" t="str">
        <f t="shared" si="13"/>
        <v/>
      </c>
      <c r="G89"/>
      <c r="H89" s="13">
        <v>18</v>
      </c>
      <c r="I89" s="91" t="s">
        <v>116</v>
      </c>
      <c r="J89" s="91" t="s">
        <v>214</v>
      </c>
      <c r="K89" s="35"/>
      <c r="L89" s="17" t="str">
        <f t="shared" si="14"/>
        <v/>
      </c>
      <c r="M89" s="17" t="str">
        <f t="shared" si="15"/>
        <v/>
      </c>
    </row>
    <row r="90" spans="1:13" x14ac:dyDescent="0.25">
      <c r="A90" s="13">
        <v>19</v>
      </c>
      <c r="B90" s="91" t="s">
        <v>116</v>
      </c>
      <c r="C90" s="13">
        <v>14</v>
      </c>
      <c r="D90" s="35"/>
      <c r="E90" s="17" t="str">
        <f t="shared" si="12"/>
        <v/>
      </c>
      <c r="F90" s="17" t="str">
        <f t="shared" si="13"/>
        <v/>
      </c>
      <c r="G90"/>
      <c r="H90" s="13">
        <v>19</v>
      </c>
      <c r="I90" s="91" t="s">
        <v>116</v>
      </c>
      <c r="J90" s="91" t="s">
        <v>214</v>
      </c>
      <c r="K90" s="35"/>
      <c r="L90" s="17" t="str">
        <f t="shared" si="14"/>
        <v/>
      </c>
      <c r="M90" s="17" t="str">
        <f t="shared" si="15"/>
        <v/>
      </c>
    </row>
    <row r="91" spans="1:13" x14ac:dyDescent="0.25">
      <c r="A91" s="13">
        <v>20</v>
      </c>
      <c r="B91" s="91" t="s">
        <v>116</v>
      </c>
      <c r="C91" s="13">
        <v>14</v>
      </c>
      <c r="D91" s="35"/>
      <c r="E91" s="17" t="str">
        <f t="shared" si="12"/>
        <v/>
      </c>
      <c r="F91" s="17" t="str">
        <f t="shared" si="13"/>
        <v/>
      </c>
      <c r="G91"/>
      <c r="H91" s="13">
        <v>20</v>
      </c>
      <c r="I91" s="91" t="s">
        <v>116</v>
      </c>
      <c r="J91" s="91" t="s">
        <v>214</v>
      </c>
      <c r="K91" s="35"/>
      <c r="L91" s="17" t="str">
        <f t="shared" si="14"/>
        <v/>
      </c>
      <c r="M91" s="17" t="str">
        <f t="shared" si="15"/>
        <v/>
      </c>
    </row>
    <row r="92" spans="1:13" x14ac:dyDescent="0.25">
      <c r="A92" s="4" t="s">
        <v>220</v>
      </c>
      <c r="B92" s="12"/>
      <c r="C92" s="12"/>
      <c r="D92" s="4"/>
      <c r="E92" s="4"/>
      <c r="F92" s="4"/>
      <c r="G92"/>
      <c r="H92" s="4" t="s">
        <v>224</v>
      </c>
      <c r="I92" s="12"/>
      <c r="J92" s="12"/>
      <c r="K92" s="4"/>
      <c r="L92" s="4"/>
      <c r="M92" s="4"/>
    </row>
    <row r="93" spans="1:13" ht="23.25" x14ac:dyDescent="0.25">
      <c r="A93" s="15" t="s">
        <v>0</v>
      </c>
      <c r="B93" s="15" t="s">
        <v>55</v>
      </c>
      <c r="C93" s="15" t="s">
        <v>56</v>
      </c>
      <c r="D93" s="16" t="s">
        <v>8</v>
      </c>
      <c r="E93" s="15" t="s">
        <v>2</v>
      </c>
      <c r="F93" s="15" t="s">
        <v>1</v>
      </c>
      <c r="G93"/>
      <c r="H93" s="15" t="s">
        <v>0</v>
      </c>
      <c r="I93" s="15" t="s">
        <v>55</v>
      </c>
      <c r="J93" s="15" t="s">
        <v>56</v>
      </c>
      <c r="K93" s="16" t="s">
        <v>8</v>
      </c>
      <c r="L93" s="15" t="s">
        <v>2</v>
      </c>
      <c r="M93" s="15" t="s">
        <v>1</v>
      </c>
    </row>
    <row r="94" spans="1:13" x14ac:dyDescent="0.25">
      <c r="A94" s="13">
        <v>1</v>
      </c>
      <c r="B94" s="91" t="s">
        <v>116</v>
      </c>
      <c r="C94" s="91" t="s">
        <v>215</v>
      </c>
      <c r="D94" s="35"/>
      <c r="E94" s="17" t="str">
        <f t="shared" ref="E94:E113" si="16">IF(D94&gt;0,VLOOKUP(D94,Jumpers,3),"")</f>
        <v/>
      </c>
      <c r="F94" s="17" t="str">
        <f t="shared" ref="F94:F113" si="17">IF(D94&gt;0,VLOOKUP(D94,Jumpers,2),"")</f>
        <v/>
      </c>
      <c r="G94"/>
      <c r="H94" s="13">
        <v>1</v>
      </c>
      <c r="I94" s="91" t="s">
        <v>116</v>
      </c>
      <c r="J94" s="91" t="s">
        <v>216</v>
      </c>
      <c r="K94" s="35"/>
      <c r="L94" s="17" t="str">
        <f t="shared" ref="L94:L113" si="18">IF(K94&gt;0,VLOOKUP(K94,Jumpers,3),"")</f>
        <v/>
      </c>
      <c r="M94" s="17" t="str">
        <f t="shared" ref="M94:M113" si="19">IF(K94&gt;0,VLOOKUP(K94,Jumpers,2),"")</f>
        <v/>
      </c>
    </row>
    <row r="95" spans="1:13" x14ac:dyDescent="0.25">
      <c r="A95" s="13">
        <v>2</v>
      </c>
      <c r="B95" s="91" t="s">
        <v>116</v>
      </c>
      <c r="C95" s="91" t="s">
        <v>215</v>
      </c>
      <c r="D95" s="35"/>
      <c r="E95" s="17" t="str">
        <f t="shared" si="16"/>
        <v/>
      </c>
      <c r="F95" s="17" t="str">
        <f t="shared" si="17"/>
        <v/>
      </c>
      <c r="G95"/>
      <c r="H95" s="13">
        <v>2</v>
      </c>
      <c r="I95" s="91" t="s">
        <v>116</v>
      </c>
      <c r="J95" s="91" t="s">
        <v>216</v>
      </c>
      <c r="K95" s="35"/>
      <c r="L95" s="17" t="str">
        <f t="shared" si="18"/>
        <v/>
      </c>
      <c r="M95" s="17" t="str">
        <f t="shared" si="19"/>
        <v/>
      </c>
    </row>
    <row r="96" spans="1:13" x14ac:dyDescent="0.25">
      <c r="A96" s="13">
        <v>3</v>
      </c>
      <c r="B96" s="91" t="s">
        <v>116</v>
      </c>
      <c r="C96" s="91" t="s">
        <v>215</v>
      </c>
      <c r="D96" s="35"/>
      <c r="E96" s="17" t="str">
        <f t="shared" si="16"/>
        <v/>
      </c>
      <c r="F96" s="17" t="str">
        <f t="shared" si="17"/>
        <v/>
      </c>
      <c r="G96"/>
      <c r="H96" s="13">
        <v>3</v>
      </c>
      <c r="I96" s="91" t="s">
        <v>116</v>
      </c>
      <c r="J96" s="91" t="s">
        <v>216</v>
      </c>
      <c r="K96" s="35"/>
      <c r="L96" s="17" t="str">
        <f t="shared" si="18"/>
        <v/>
      </c>
      <c r="M96" s="17" t="str">
        <f t="shared" si="19"/>
        <v/>
      </c>
    </row>
    <row r="97" spans="1:13" x14ac:dyDescent="0.25">
      <c r="A97" s="13">
        <v>4</v>
      </c>
      <c r="B97" s="91" t="s">
        <v>116</v>
      </c>
      <c r="C97" s="91" t="s">
        <v>215</v>
      </c>
      <c r="D97" s="35"/>
      <c r="E97" s="17" t="str">
        <f t="shared" si="16"/>
        <v/>
      </c>
      <c r="F97" s="17" t="str">
        <f t="shared" si="17"/>
        <v/>
      </c>
      <c r="G97"/>
      <c r="H97" s="13">
        <v>4</v>
      </c>
      <c r="I97" s="91" t="s">
        <v>116</v>
      </c>
      <c r="J97" s="91" t="s">
        <v>216</v>
      </c>
      <c r="K97" s="35"/>
      <c r="L97" s="17" t="str">
        <f t="shared" si="18"/>
        <v/>
      </c>
      <c r="M97" s="17" t="str">
        <f t="shared" si="19"/>
        <v/>
      </c>
    </row>
    <row r="98" spans="1:13" x14ac:dyDescent="0.25">
      <c r="A98" s="13">
        <v>5</v>
      </c>
      <c r="B98" s="91" t="s">
        <v>116</v>
      </c>
      <c r="C98" s="91" t="s">
        <v>215</v>
      </c>
      <c r="D98" s="35"/>
      <c r="E98" s="17" t="str">
        <f t="shared" si="16"/>
        <v/>
      </c>
      <c r="F98" s="17" t="str">
        <f t="shared" si="17"/>
        <v/>
      </c>
      <c r="G98"/>
      <c r="H98" s="13">
        <v>5</v>
      </c>
      <c r="I98" s="91" t="s">
        <v>116</v>
      </c>
      <c r="J98" s="91" t="s">
        <v>216</v>
      </c>
      <c r="K98" s="35"/>
      <c r="L98" s="17" t="str">
        <f t="shared" si="18"/>
        <v/>
      </c>
      <c r="M98" s="17" t="str">
        <f t="shared" si="19"/>
        <v/>
      </c>
    </row>
    <row r="99" spans="1:13" x14ac:dyDescent="0.25">
      <c r="A99" s="13">
        <v>6</v>
      </c>
      <c r="B99" s="91" t="s">
        <v>116</v>
      </c>
      <c r="C99" s="91" t="s">
        <v>215</v>
      </c>
      <c r="D99" s="35"/>
      <c r="E99" s="17" t="str">
        <f t="shared" si="16"/>
        <v/>
      </c>
      <c r="F99" s="17" t="str">
        <f t="shared" si="17"/>
        <v/>
      </c>
      <c r="G99"/>
      <c r="H99" s="13">
        <v>6</v>
      </c>
      <c r="I99" s="91" t="s">
        <v>116</v>
      </c>
      <c r="J99" s="91" t="s">
        <v>216</v>
      </c>
      <c r="K99" s="35"/>
      <c r="L99" s="17" t="str">
        <f t="shared" si="18"/>
        <v/>
      </c>
      <c r="M99" s="17" t="str">
        <f t="shared" si="19"/>
        <v/>
      </c>
    </row>
    <row r="100" spans="1:13" x14ac:dyDescent="0.25">
      <c r="A100" s="13">
        <v>7</v>
      </c>
      <c r="B100" s="91" t="s">
        <v>116</v>
      </c>
      <c r="C100" s="91" t="s">
        <v>215</v>
      </c>
      <c r="D100" s="35"/>
      <c r="E100" s="17" t="str">
        <f t="shared" si="16"/>
        <v/>
      </c>
      <c r="F100" s="17" t="str">
        <f t="shared" si="17"/>
        <v/>
      </c>
      <c r="G100"/>
      <c r="H100" s="13">
        <v>7</v>
      </c>
      <c r="I100" s="91" t="s">
        <v>116</v>
      </c>
      <c r="J100" s="91" t="s">
        <v>216</v>
      </c>
      <c r="K100" s="35"/>
      <c r="L100" s="17" t="str">
        <f t="shared" si="18"/>
        <v/>
      </c>
      <c r="M100" s="17" t="str">
        <f t="shared" si="19"/>
        <v/>
      </c>
    </row>
    <row r="101" spans="1:13" x14ac:dyDescent="0.25">
      <c r="A101" s="13">
        <v>8</v>
      </c>
      <c r="B101" s="91" t="s">
        <v>116</v>
      </c>
      <c r="C101" s="91" t="s">
        <v>215</v>
      </c>
      <c r="D101" s="35"/>
      <c r="E101" s="17" t="str">
        <f t="shared" si="16"/>
        <v/>
      </c>
      <c r="F101" s="17" t="str">
        <f t="shared" si="17"/>
        <v/>
      </c>
      <c r="G101"/>
      <c r="H101" s="13">
        <v>8</v>
      </c>
      <c r="I101" s="91" t="s">
        <v>116</v>
      </c>
      <c r="J101" s="91" t="s">
        <v>216</v>
      </c>
      <c r="K101" s="35"/>
      <c r="L101" s="17" t="str">
        <f t="shared" si="18"/>
        <v/>
      </c>
      <c r="M101" s="17" t="str">
        <f t="shared" si="19"/>
        <v/>
      </c>
    </row>
    <row r="102" spans="1:13" x14ac:dyDescent="0.25">
      <c r="A102" s="13">
        <v>9</v>
      </c>
      <c r="B102" s="91" t="s">
        <v>116</v>
      </c>
      <c r="C102" s="91" t="s">
        <v>215</v>
      </c>
      <c r="D102" s="35"/>
      <c r="E102" s="17" t="str">
        <f t="shared" si="16"/>
        <v/>
      </c>
      <c r="F102" s="17" t="str">
        <f t="shared" si="17"/>
        <v/>
      </c>
      <c r="G102"/>
      <c r="H102" s="13">
        <v>9</v>
      </c>
      <c r="I102" s="91" t="s">
        <v>116</v>
      </c>
      <c r="J102" s="91" t="s">
        <v>216</v>
      </c>
      <c r="K102" s="35"/>
      <c r="L102" s="17" t="str">
        <f t="shared" si="18"/>
        <v/>
      </c>
      <c r="M102" s="17" t="str">
        <f t="shared" si="19"/>
        <v/>
      </c>
    </row>
    <row r="103" spans="1:13" x14ac:dyDescent="0.25">
      <c r="A103" s="13">
        <v>10</v>
      </c>
      <c r="B103" s="91" t="s">
        <v>116</v>
      </c>
      <c r="C103" s="91" t="s">
        <v>215</v>
      </c>
      <c r="D103" s="35"/>
      <c r="E103" s="17" t="str">
        <f t="shared" si="16"/>
        <v/>
      </c>
      <c r="F103" s="17" t="str">
        <f t="shared" si="17"/>
        <v/>
      </c>
      <c r="G103"/>
      <c r="H103" s="13">
        <v>10</v>
      </c>
      <c r="I103" s="91" t="s">
        <v>116</v>
      </c>
      <c r="J103" s="91" t="s">
        <v>216</v>
      </c>
      <c r="K103" s="35"/>
      <c r="L103" s="17" t="str">
        <f t="shared" si="18"/>
        <v/>
      </c>
      <c r="M103" s="17" t="str">
        <f t="shared" si="19"/>
        <v/>
      </c>
    </row>
    <row r="104" spans="1:13" x14ac:dyDescent="0.25">
      <c r="A104" s="13">
        <v>11</v>
      </c>
      <c r="B104" s="91" t="s">
        <v>116</v>
      </c>
      <c r="C104" s="91" t="s">
        <v>215</v>
      </c>
      <c r="D104" s="35"/>
      <c r="E104" s="17" t="str">
        <f t="shared" si="16"/>
        <v/>
      </c>
      <c r="F104" s="17" t="str">
        <f t="shared" si="17"/>
        <v/>
      </c>
      <c r="G104"/>
      <c r="H104" s="13">
        <v>11</v>
      </c>
      <c r="I104" s="91" t="s">
        <v>116</v>
      </c>
      <c r="J104" s="91" t="s">
        <v>216</v>
      </c>
      <c r="K104" s="35"/>
      <c r="L104" s="17" t="str">
        <f t="shared" si="18"/>
        <v/>
      </c>
      <c r="M104" s="17" t="str">
        <f t="shared" si="19"/>
        <v/>
      </c>
    </row>
    <row r="105" spans="1:13" x14ac:dyDescent="0.25">
      <c r="A105" s="13">
        <v>12</v>
      </c>
      <c r="B105" s="91" t="s">
        <v>116</v>
      </c>
      <c r="C105" s="91" t="s">
        <v>215</v>
      </c>
      <c r="D105" s="35"/>
      <c r="E105" s="17" t="str">
        <f t="shared" si="16"/>
        <v/>
      </c>
      <c r="F105" s="17" t="str">
        <f t="shared" si="17"/>
        <v/>
      </c>
      <c r="G105"/>
      <c r="H105" s="13">
        <v>12</v>
      </c>
      <c r="I105" s="91" t="s">
        <v>116</v>
      </c>
      <c r="J105" s="91" t="s">
        <v>216</v>
      </c>
      <c r="K105" s="35"/>
      <c r="L105" s="17" t="str">
        <f t="shared" si="18"/>
        <v/>
      </c>
      <c r="M105" s="17" t="str">
        <f t="shared" si="19"/>
        <v/>
      </c>
    </row>
    <row r="106" spans="1:13" x14ac:dyDescent="0.25">
      <c r="A106" s="13">
        <v>13</v>
      </c>
      <c r="B106" s="91" t="s">
        <v>116</v>
      </c>
      <c r="C106" s="91" t="s">
        <v>215</v>
      </c>
      <c r="D106" s="35"/>
      <c r="E106" s="17" t="str">
        <f t="shared" si="16"/>
        <v/>
      </c>
      <c r="F106" s="17" t="str">
        <f t="shared" si="17"/>
        <v/>
      </c>
      <c r="G106"/>
      <c r="H106" s="13">
        <v>13</v>
      </c>
      <c r="I106" s="91" t="s">
        <v>116</v>
      </c>
      <c r="J106" s="91" t="s">
        <v>216</v>
      </c>
      <c r="K106" s="35"/>
      <c r="L106" s="17" t="str">
        <f t="shared" si="18"/>
        <v/>
      </c>
      <c r="M106" s="17" t="str">
        <f t="shared" si="19"/>
        <v/>
      </c>
    </row>
    <row r="107" spans="1:13" x14ac:dyDescent="0.25">
      <c r="A107" s="13">
        <v>14</v>
      </c>
      <c r="B107" s="91" t="s">
        <v>116</v>
      </c>
      <c r="C107" s="91" t="s">
        <v>215</v>
      </c>
      <c r="D107" s="35"/>
      <c r="E107" s="17" t="str">
        <f t="shared" si="16"/>
        <v/>
      </c>
      <c r="F107" s="17" t="str">
        <f t="shared" si="17"/>
        <v/>
      </c>
      <c r="G107"/>
      <c r="H107" s="13">
        <v>14</v>
      </c>
      <c r="I107" s="91" t="s">
        <v>116</v>
      </c>
      <c r="J107" s="91" t="s">
        <v>216</v>
      </c>
      <c r="K107" s="35"/>
      <c r="L107" s="17" t="str">
        <f t="shared" si="18"/>
        <v/>
      </c>
      <c r="M107" s="17" t="str">
        <f t="shared" si="19"/>
        <v/>
      </c>
    </row>
    <row r="108" spans="1:13" x14ac:dyDescent="0.25">
      <c r="A108" s="13">
        <v>15</v>
      </c>
      <c r="B108" s="91" t="s">
        <v>116</v>
      </c>
      <c r="C108" s="91" t="s">
        <v>215</v>
      </c>
      <c r="D108" s="35"/>
      <c r="E108" s="17" t="str">
        <f t="shared" si="16"/>
        <v/>
      </c>
      <c r="F108" s="17" t="str">
        <f t="shared" si="17"/>
        <v/>
      </c>
      <c r="G108"/>
      <c r="H108" s="13">
        <v>15</v>
      </c>
      <c r="I108" s="91" t="s">
        <v>116</v>
      </c>
      <c r="J108" s="91" t="s">
        <v>216</v>
      </c>
      <c r="K108" s="35"/>
      <c r="L108" s="17" t="str">
        <f t="shared" si="18"/>
        <v/>
      </c>
      <c r="M108" s="17" t="str">
        <f t="shared" si="19"/>
        <v/>
      </c>
    </row>
    <row r="109" spans="1:13" x14ac:dyDescent="0.25">
      <c r="A109" s="13">
        <v>16</v>
      </c>
      <c r="B109" s="91" t="s">
        <v>116</v>
      </c>
      <c r="C109" s="91" t="s">
        <v>215</v>
      </c>
      <c r="D109" s="35"/>
      <c r="E109" s="17" t="str">
        <f t="shared" si="16"/>
        <v/>
      </c>
      <c r="F109" s="17" t="str">
        <f t="shared" si="17"/>
        <v/>
      </c>
      <c r="G109"/>
      <c r="H109" s="13">
        <v>16</v>
      </c>
      <c r="I109" s="91" t="s">
        <v>116</v>
      </c>
      <c r="J109" s="91" t="s">
        <v>216</v>
      </c>
      <c r="K109" s="35"/>
      <c r="L109" s="17" t="str">
        <f t="shared" si="18"/>
        <v/>
      </c>
      <c r="M109" s="17" t="str">
        <f t="shared" si="19"/>
        <v/>
      </c>
    </row>
    <row r="110" spans="1:13" x14ac:dyDescent="0.25">
      <c r="A110" s="13">
        <v>17</v>
      </c>
      <c r="B110" s="91" t="s">
        <v>116</v>
      </c>
      <c r="C110" s="91" t="s">
        <v>215</v>
      </c>
      <c r="D110" s="35"/>
      <c r="E110" s="17" t="str">
        <f t="shared" si="16"/>
        <v/>
      </c>
      <c r="F110" s="17" t="str">
        <f t="shared" si="17"/>
        <v/>
      </c>
      <c r="G110"/>
      <c r="H110" s="13">
        <v>17</v>
      </c>
      <c r="I110" s="91" t="s">
        <v>116</v>
      </c>
      <c r="J110" s="91" t="s">
        <v>216</v>
      </c>
      <c r="K110" s="35"/>
      <c r="L110" s="17" t="str">
        <f t="shared" si="18"/>
        <v/>
      </c>
      <c r="M110" s="17" t="str">
        <f t="shared" si="19"/>
        <v/>
      </c>
    </row>
    <row r="111" spans="1:13" x14ac:dyDescent="0.25">
      <c r="A111" s="13">
        <v>18</v>
      </c>
      <c r="B111" s="91" t="s">
        <v>116</v>
      </c>
      <c r="C111" s="91" t="s">
        <v>215</v>
      </c>
      <c r="D111" s="35"/>
      <c r="E111" s="17" t="str">
        <f t="shared" si="16"/>
        <v/>
      </c>
      <c r="F111" s="17" t="str">
        <f t="shared" si="17"/>
        <v/>
      </c>
      <c r="G111"/>
      <c r="H111" s="13">
        <v>18</v>
      </c>
      <c r="I111" s="91" t="s">
        <v>116</v>
      </c>
      <c r="J111" s="91" t="s">
        <v>216</v>
      </c>
      <c r="K111" s="35"/>
      <c r="L111" s="17" t="str">
        <f t="shared" si="18"/>
        <v/>
      </c>
      <c r="M111" s="17" t="str">
        <f t="shared" si="19"/>
        <v/>
      </c>
    </row>
    <row r="112" spans="1:13" x14ac:dyDescent="0.25">
      <c r="A112" s="13">
        <v>19</v>
      </c>
      <c r="B112" s="91" t="s">
        <v>116</v>
      </c>
      <c r="C112" s="91" t="s">
        <v>215</v>
      </c>
      <c r="D112" s="35"/>
      <c r="E112" s="17" t="str">
        <f t="shared" si="16"/>
        <v/>
      </c>
      <c r="F112" s="17" t="str">
        <f t="shared" si="17"/>
        <v/>
      </c>
      <c r="G112"/>
      <c r="H112" s="13">
        <v>19</v>
      </c>
      <c r="I112" s="91" t="s">
        <v>116</v>
      </c>
      <c r="J112" s="91" t="s">
        <v>216</v>
      </c>
      <c r="K112" s="35"/>
      <c r="L112" s="17" t="str">
        <f t="shared" si="18"/>
        <v/>
      </c>
      <c r="M112" s="17" t="str">
        <f t="shared" si="19"/>
        <v/>
      </c>
    </row>
    <row r="113" spans="1:13" x14ac:dyDescent="0.25">
      <c r="A113" s="13">
        <v>20</v>
      </c>
      <c r="B113" s="91" t="s">
        <v>116</v>
      </c>
      <c r="C113" s="91" t="s">
        <v>215</v>
      </c>
      <c r="D113" s="35"/>
      <c r="E113" s="17" t="str">
        <f t="shared" si="16"/>
        <v/>
      </c>
      <c r="F113" s="17" t="str">
        <f t="shared" si="17"/>
        <v/>
      </c>
      <c r="G113"/>
      <c r="H113" s="13">
        <v>20</v>
      </c>
      <c r="I113" s="91" t="s">
        <v>116</v>
      </c>
      <c r="J113" s="91" t="s">
        <v>216</v>
      </c>
      <c r="K113" s="35"/>
      <c r="L113" s="17" t="str">
        <f t="shared" si="18"/>
        <v/>
      </c>
      <c r="M113" s="17" t="str">
        <f t="shared" si="19"/>
        <v/>
      </c>
    </row>
    <row r="114" spans="1:13" x14ac:dyDescent="0.25">
      <c r="A114" s="4" t="s">
        <v>12</v>
      </c>
      <c r="B114" s="12"/>
      <c r="C114" s="12"/>
      <c r="D114" s="4"/>
      <c r="E114" s="4"/>
      <c r="F114" s="4"/>
      <c r="G114"/>
      <c r="H114" s="4" t="s">
        <v>58</v>
      </c>
      <c r="I114" s="12"/>
      <c r="J114" s="12"/>
      <c r="K114" s="4"/>
      <c r="L114" s="4"/>
      <c r="M114" s="4"/>
    </row>
    <row r="115" spans="1:13" ht="23.25" x14ac:dyDescent="0.25">
      <c r="A115" s="15" t="s">
        <v>0</v>
      </c>
      <c r="B115" s="15" t="s">
        <v>55</v>
      </c>
      <c r="C115" s="15" t="s">
        <v>56</v>
      </c>
      <c r="D115" s="16" t="s">
        <v>8</v>
      </c>
      <c r="E115" s="15" t="s">
        <v>2</v>
      </c>
      <c r="F115" s="15" t="s">
        <v>1</v>
      </c>
      <c r="G115"/>
      <c r="H115" s="15" t="s">
        <v>0</v>
      </c>
      <c r="I115" s="15" t="s">
        <v>55</v>
      </c>
      <c r="J115" s="15" t="s">
        <v>56</v>
      </c>
      <c r="K115" s="16" t="s">
        <v>8</v>
      </c>
      <c r="L115" s="15" t="s">
        <v>2</v>
      </c>
      <c r="M115" s="15" t="s">
        <v>1</v>
      </c>
    </row>
    <row r="116" spans="1:13" x14ac:dyDescent="0.25">
      <c r="A116" s="3">
        <v>1</v>
      </c>
      <c r="B116" s="91" t="s">
        <v>116</v>
      </c>
      <c r="C116" s="13" t="s">
        <v>50</v>
      </c>
      <c r="D116" s="35"/>
      <c r="E116" s="17" t="str">
        <f t="shared" ref="E116:E123" si="20">IF(D116&gt;0,VLOOKUP(D116,Jumpers,3),"")</f>
        <v/>
      </c>
      <c r="F116" s="17" t="str">
        <f t="shared" ref="F116:F123" si="21">IF(D116&gt;0,VLOOKUP(D116,Jumpers,2),"")</f>
        <v/>
      </c>
      <c r="G116"/>
      <c r="H116" s="3">
        <v>1</v>
      </c>
      <c r="I116" s="91" t="s">
        <v>116</v>
      </c>
      <c r="J116" s="13" t="s">
        <v>51</v>
      </c>
      <c r="K116" s="35"/>
      <c r="L116" s="17" t="str">
        <f t="shared" ref="L116:L123" si="22">IF(K116&gt;0,VLOOKUP(K116,Jumpers,3),"")</f>
        <v/>
      </c>
      <c r="M116" s="17" t="str">
        <f t="shared" ref="M116:M123" si="23">IF(K116&gt;0,VLOOKUP(K116,Jumpers,2),"")</f>
        <v/>
      </c>
    </row>
    <row r="117" spans="1:13" x14ac:dyDescent="0.25">
      <c r="A117" s="3">
        <v>2</v>
      </c>
      <c r="B117" s="91" t="s">
        <v>116</v>
      </c>
      <c r="C117" s="13" t="s">
        <v>50</v>
      </c>
      <c r="D117" s="35"/>
      <c r="E117" s="17" t="str">
        <f t="shared" si="20"/>
        <v/>
      </c>
      <c r="F117" s="17" t="str">
        <f t="shared" si="21"/>
        <v/>
      </c>
      <c r="G117"/>
      <c r="H117" s="3">
        <v>2</v>
      </c>
      <c r="I117" s="91" t="s">
        <v>116</v>
      </c>
      <c r="J117" s="13" t="s">
        <v>51</v>
      </c>
      <c r="K117" s="35"/>
      <c r="L117" s="17" t="str">
        <f t="shared" si="22"/>
        <v/>
      </c>
      <c r="M117" s="17" t="str">
        <f t="shared" si="23"/>
        <v/>
      </c>
    </row>
    <row r="118" spans="1:13" x14ac:dyDescent="0.25">
      <c r="A118" s="3">
        <v>3</v>
      </c>
      <c r="B118" s="91" t="s">
        <v>116</v>
      </c>
      <c r="C118" s="13" t="s">
        <v>50</v>
      </c>
      <c r="D118" s="35"/>
      <c r="E118" s="17" t="str">
        <f t="shared" si="20"/>
        <v/>
      </c>
      <c r="F118" s="17" t="str">
        <f t="shared" si="21"/>
        <v/>
      </c>
      <c r="G118"/>
      <c r="H118" s="3">
        <v>3</v>
      </c>
      <c r="I118" s="91" t="s">
        <v>116</v>
      </c>
      <c r="J118" s="13" t="s">
        <v>51</v>
      </c>
      <c r="K118" s="35"/>
      <c r="L118" s="17" t="str">
        <f t="shared" si="22"/>
        <v/>
      </c>
      <c r="M118" s="17" t="str">
        <f t="shared" si="23"/>
        <v/>
      </c>
    </row>
    <row r="119" spans="1:13" x14ac:dyDescent="0.25">
      <c r="A119" s="3">
        <v>4</v>
      </c>
      <c r="B119" s="91" t="s">
        <v>116</v>
      </c>
      <c r="C119" s="13" t="s">
        <v>50</v>
      </c>
      <c r="D119" s="35"/>
      <c r="E119" s="17" t="str">
        <f t="shared" si="20"/>
        <v/>
      </c>
      <c r="F119" s="17" t="str">
        <f t="shared" si="21"/>
        <v/>
      </c>
      <c r="G119"/>
      <c r="H119" s="3">
        <v>4</v>
      </c>
      <c r="I119" s="91" t="s">
        <v>116</v>
      </c>
      <c r="J119" s="13" t="s">
        <v>51</v>
      </c>
      <c r="K119" s="35"/>
      <c r="L119" s="17" t="str">
        <f t="shared" si="22"/>
        <v/>
      </c>
      <c r="M119" s="17" t="str">
        <f t="shared" si="23"/>
        <v/>
      </c>
    </row>
    <row r="120" spans="1:13" x14ac:dyDescent="0.25">
      <c r="A120" s="3">
        <v>5</v>
      </c>
      <c r="B120" s="91" t="s">
        <v>116</v>
      </c>
      <c r="C120" s="13" t="s">
        <v>50</v>
      </c>
      <c r="D120" s="35"/>
      <c r="E120" s="17" t="str">
        <f t="shared" si="20"/>
        <v/>
      </c>
      <c r="F120" s="17" t="str">
        <f t="shared" si="21"/>
        <v/>
      </c>
      <c r="G120"/>
      <c r="H120" s="3">
        <v>5</v>
      </c>
      <c r="I120" s="91" t="s">
        <v>116</v>
      </c>
      <c r="J120" s="13" t="s">
        <v>51</v>
      </c>
      <c r="K120" s="35"/>
      <c r="L120" s="17" t="str">
        <f t="shared" si="22"/>
        <v/>
      </c>
      <c r="M120" s="17" t="str">
        <f t="shared" si="23"/>
        <v/>
      </c>
    </row>
    <row r="121" spans="1:13" x14ac:dyDescent="0.25">
      <c r="A121" s="3">
        <v>6</v>
      </c>
      <c r="B121" s="91" t="s">
        <v>116</v>
      </c>
      <c r="C121" s="13" t="s">
        <v>50</v>
      </c>
      <c r="D121" s="35"/>
      <c r="E121" s="17" t="str">
        <f t="shared" si="20"/>
        <v/>
      </c>
      <c r="F121" s="17" t="str">
        <f t="shared" si="21"/>
        <v/>
      </c>
      <c r="G121"/>
      <c r="H121" s="3">
        <v>6</v>
      </c>
      <c r="I121" s="91" t="s">
        <v>116</v>
      </c>
      <c r="J121" s="13" t="s">
        <v>51</v>
      </c>
      <c r="K121" s="35"/>
      <c r="L121" s="17" t="str">
        <f t="shared" si="22"/>
        <v/>
      </c>
      <c r="M121" s="17" t="str">
        <f t="shared" si="23"/>
        <v/>
      </c>
    </row>
    <row r="122" spans="1:13" x14ac:dyDescent="0.25">
      <c r="A122" s="3">
        <v>7</v>
      </c>
      <c r="B122" s="91" t="s">
        <v>116</v>
      </c>
      <c r="C122" s="13" t="s">
        <v>50</v>
      </c>
      <c r="D122" s="35"/>
      <c r="E122" s="17" t="str">
        <f t="shared" si="20"/>
        <v/>
      </c>
      <c r="F122" s="17" t="str">
        <f t="shared" si="21"/>
        <v/>
      </c>
      <c r="G122"/>
      <c r="H122" s="3">
        <v>7</v>
      </c>
      <c r="I122" s="91" t="s">
        <v>116</v>
      </c>
      <c r="J122" s="13" t="s">
        <v>51</v>
      </c>
      <c r="K122" s="35"/>
      <c r="L122" s="17" t="str">
        <f t="shared" si="22"/>
        <v/>
      </c>
      <c r="M122" s="17" t="str">
        <f t="shared" si="23"/>
        <v/>
      </c>
    </row>
    <row r="123" spans="1:13" x14ac:dyDescent="0.25">
      <c r="A123" s="3">
        <v>8</v>
      </c>
      <c r="B123" s="91" t="s">
        <v>116</v>
      </c>
      <c r="C123" s="13" t="s">
        <v>50</v>
      </c>
      <c r="D123" s="35"/>
      <c r="E123" s="17" t="str">
        <f t="shared" si="20"/>
        <v/>
      </c>
      <c r="F123" s="17" t="str">
        <f t="shared" si="21"/>
        <v/>
      </c>
      <c r="G123"/>
      <c r="H123" s="3">
        <v>8</v>
      </c>
      <c r="I123" s="91" t="s">
        <v>116</v>
      </c>
      <c r="J123" s="13" t="s">
        <v>51</v>
      </c>
      <c r="K123" s="35"/>
      <c r="L123" s="17" t="str">
        <f t="shared" si="22"/>
        <v/>
      </c>
      <c r="M123" s="17" t="str">
        <f t="shared" si="23"/>
        <v/>
      </c>
    </row>
    <row r="124" spans="1:13" x14ac:dyDescent="0.25">
      <c r="A124" s="4" t="s">
        <v>13</v>
      </c>
      <c r="B124" s="12"/>
      <c r="C124" s="12"/>
      <c r="D124" s="4"/>
      <c r="E124" s="4"/>
      <c r="F124" s="4"/>
      <c r="G124"/>
    </row>
    <row r="125" spans="1:13" ht="23.25" x14ac:dyDescent="0.25">
      <c r="A125" s="15" t="s">
        <v>0</v>
      </c>
      <c r="B125" s="15" t="s">
        <v>55</v>
      </c>
      <c r="C125" s="15" t="s">
        <v>56</v>
      </c>
      <c r="D125" s="16" t="s">
        <v>8</v>
      </c>
      <c r="E125" s="15" t="s">
        <v>2</v>
      </c>
      <c r="F125" s="15" t="s">
        <v>1</v>
      </c>
      <c r="G125"/>
    </row>
    <row r="126" spans="1:13" x14ac:dyDescent="0.25">
      <c r="A126" s="3">
        <v>1</v>
      </c>
      <c r="B126" s="91" t="s">
        <v>116</v>
      </c>
      <c r="C126" s="13" t="s">
        <v>52</v>
      </c>
      <c r="D126" s="35"/>
      <c r="E126" s="17" t="str">
        <f>IF(D126&gt;0,VLOOKUP(D126,Jumpers,3),"")</f>
        <v/>
      </c>
      <c r="F126" s="17" t="str">
        <f>IF(D126&gt;0,VLOOKUP(D126,Jumpers,2),"")</f>
        <v/>
      </c>
      <c r="G126"/>
    </row>
    <row r="127" spans="1:13" x14ac:dyDescent="0.25">
      <c r="A127" s="3">
        <v>2</v>
      </c>
      <c r="B127" s="91" t="s">
        <v>116</v>
      </c>
      <c r="C127" s="13" t="s">
        <v>52</v>
      </c>
      <c r="D127" s="35"/>
      <c r="E127" s="17" t="str">
        <f>IF(D127&gt;0,VLOOKUP(D127,Jumpers,3),"")</f>
        <v/>
      </c>
      <c r="F127" s="17" t="str">
        <f>IF(D127&gt;0,VLOOKUP(D127,Jumpers,2),"")</f>
        <v/>
      </c>
      <c r="G127"/>
    </row>
    <row r="128" spans="1:13" x14ac:dyDescent="0.25">
      <c r="A128" s="3">
        <v>3</v>
      </c>
      <c r="B128" s="91" t="s">
        <v>116</v>
      </c>
      <c r="C128" s="13" t="s">
        <v>52</v>
      </c>
      <c r="D128" s="35"/>
      <c r="E128" s="17" t="str">
        <f>IF(D128&gt;0,VLOOKUP(D128,Jumpers,3),"")</f>
        <v/>
      </c>
      <c r="F128" s="17" t="str">
        <f>IF(D128&gt;0,VLOOKUP(D128,Jumpers,2),"")</f>
        <v/>
      </c>
      <c r="G128"/>
    </row>
    <row r="129" spans="1:7" x14ac:dyDescent="0.25">
      <c r="A129" s="3">
        <v>4</v>
      </c>
      <c r="B129" s="91" t="s">
        <v>116</v>
      </c>
      <c r="C129" s="13" t="s">
        <v>52</v>
      </c>
      <c r="D129" s="35"/>
      <c r="E129" s="17" t="str">
        <f>IF(D129&gt;0,VLOOKUP(D129,Jumpers,3),"")</f>
        <v/>
      </c>
      <c r="F129" s="17" t="str">
        <f>IF(D129&gt;0,VLOOKUP(D129,Jumpers,2),"")</f>
        <v/>
      </c>
      <c r="G129"/>
    </row>
    <row r="130" spans="1:7" x14ac:dyDescent="0.25">
      <c r="A130" s="3">
        <v>5</v>
      </c>
      <c r="B130" s="91" t="s">
        <v>116</v>
      </c>
      <c r="C130" s="13" t="s">
        <v>52</v>
      </c>
      <c r="D130" s="35"/>
      <c r="E130" s="17" t="str">
        <f>IF(D130&gt;0,VLOOKUP(D130,Jumpers,3),"")</f>
        <v/>
      </c>
      <c r="F130" s="17" t="str">
        <f>IF(D130&gt;0,VLOOKUP(D130,Jumpers,2),"")</f>
        <v/>
      </c>
      <c r="G130"/>
    </row>
  </sheetData>
  <sheetProtection password="CE88" sheet="1" objects="1" scenarios="1" selectLockedCells="1"/>
  <mergeCells count="2">
    <mergeCell ref="A2:I2"/>
    <mergeCell ref="A3:H3"/>
  </mergeCells>
  <phoneticPr fontId="23" type="noConversion"/>
  <conditionalFormatting sqref="D126:D130">
    <cfRule type="expression" dxfId="240" priority="4" stopIfTrue="1">
      <formula>OR(CODE(D126)&lt;48,CODE(D126)&gt;57)</formula>
    </cfRule>
    <cfRule type="expression" dxfId="239" priority="5" stopIfTrue="1">
      <formula>VLOOKUP(D126,Jumpers,5)&lt;&gt;LEFT($A$1,1)</formula>
    </cfRule>
    <cfRule type="expression" dxfId="238" priority="6" stopIfTrue="1">
      <formula>VLOOKUP(D126,Jumpers,8)&lt;&gt;C126</formula>
    </cfRule>
  </conditionalFormatting>
  <conditionalFormatting sqref="D6:D25">
    <cfRule type="expression" dxfId="237" priority="35" stopIfTrue="1">
      <formula>OR(CODE(D6)&lt;48,CODE(D6)&gt;57)</formula>
    </cfRule>
    <cfRule type="expression" dxfId="236" priority="47" stopIfTrue="1">
      <formula>VLOOKUP(D6,Jumpers,5)&lt;&gt;LEFT($A$1,1)</formula>
    </cfRule>
    <cfRule type="expression" dxfId="235" priority="48" stopIfTrue="1">
      <formula>VLOOKUP(D6,Jumpers,8)&lt;&gt;C6</formula>
    </cfRule>
  </conditionalFormatting>
  <conditionalFormatting sqref="D28:D47">
    <cfRule type="expression" dxfId="234" priority="33" stopIfTrue="1">
      <formula>OR(CODE(D28)&lt;48,CODE(D28)&gt;57)</formula>
    </cfRule>
    <cfRule type="expression" dxfId="233" priority="45" stopIfTrue="1">
      <formula>VLOOKUP(D28,Jumpers,5)&lt;&gt;LEFT($A$1,1)</formula>
    </cfRule>
    <cfRule type="expression" dxfId="232" priority="46" stopIfTrue="1">
      <formula>VLOOKUP(D28,Jumpers,8)&lt;&gt;C28</formula>
    </cfRule>
  </conditionalFormatting>
  <conditionalFormatting sqref="K29:K47">
    <cfRule type="expression" dxfId="231" priority="43" stopIfTrue="1">
      <formula>VLOOKUP(K29,Jumpers,5)&lt;&gt;LEFT($A$1,1)</formula>
    </cfRule>
    <cfRule type="expression" dxfId="230" priority="44" stopIfTrue="1">
      <formula>VLOOKUP(K29,Jumpers,8)&lt;&gt;J29</formula>
    </cfRule>
  </conditionalFormatting>
  <conditionalFormatting sqref="K116:K120">
    <cfRule type="expression" dxfId="229" priority="7" stopIfTrue="1">
      <formula>OR(CODE(K116)&lt;48,CODE(K116)&gt;57)</formula>
    </cfRule>
    <cfRule type="expression" dxfId="228" priority="39" stopIfTrue="1">
      <formula>VLOOKUP(K116,Jumpers,5)&lt;&gt;LEFT($A$1,1)</formula>
    </cfRule>
    <cfRule type="expression" dxfId="227" priority="40" stopIfTrue="1">
      <formula>VLOOKUP(K116,Jumpers,8)&lt;&gt;J116</formula>
    </cfRule>
  </conditionalFormatting>
  <conditionalFormatting sqref="K6:K25">
    <cfRule type="expression" dxfId="226" priority="34" stopIfTrue="1">
      <formula>OR(CODE(K6)&lt;48,CODE(K6)&gt;57)</formula>
    </cfRule>
    <cfRule type="expression" dxfId="225" priority="36" stopIfTrue="1">
      <formula>VLOOKUP(K6,Jumpers,8)="8-Under"</formula>
    </cfRule>
    <cfRule type="expression" dxfId="224" priority="37" stopIfTrue="1">
      <formula>VLOOKUP(K6,Jumpers,5)&lt;&gt;LEFT($A$1,1)</formula>
    </cfRule>
    <cfRule type="expression" dxfId="223" priority="38" stopIfTrue="1">
      <formula>VLOOKUP(K6,Jumpers,7)&gt;9</formula>
    </cfRule>
  </conditionalFormatting>
  <conditionalFormatting sqref="K28:K47">
    <cfRule type="expression" dxfId="222" priority="30" stopIfTrue="1">
      <formula>OR(CODE(K28)&lt;48,CODE(K28)&gt;57)</formula>
    </cfRule>
    <cfRule type="expression" dxfId="221" priority="31" stopIfTrue="1">
      <formula>VLOOKUP(K28,Jumpers,5)&lt;&gt;LEFT($A$1,1)</formula>
    </cfRule>
    <cfRule type="expression" dxfId="220" priority="32" stopIfTrue="1">
      <formula>VLOOKUP(K28,Jumpers,8)&lt;&gt;J28</formula>
    </cfRule>
  </conditionalFormatting>
  <conditionalFormatting sqref="D50:D69">
    <cfRule type="expression" dxfId="219" priority="27" stopIfTrue="1">
      <formula>OR(CODE(D50)&lt;48,CODE(D50)&gt;57)</formula>
    </cfRule>
    <cfRule type="expression" dxfId="218" priority="28" stopIfTrue="1">
      <formula>VLOOKUP(D50,Jumpers,5)&lt;&gt;LEFT($A$1,1)</formula>
    </cfRule>
    <cfRule type="expression" dxfId="217" priority="29" stopIfTrue="1">
      <formula>VLOOKUP(D50,Jumpers,8)&lt;&gt;C50</formula>
    </cfRule>
  </conditionalFormatting>
  <conditionalFormatting sqref="K50:K69">
    <cfRule type="expression" dxfId="216" priority="24" stopIfTrue="1">
      <formula>OR(CODE(K50)&lt;48,CODE(K50)&gt;57)</formula>
    </cfRule>
    <cfRule type="expression" dxfId="215" priority="25" stopIfTrue="1">
      <formula>VLOOKUP(K50,Jumpers,5)&lt;&gt;LEFT($A$1,1)</formula>
    </cfRule>
    <cfRule type="expression" dxfId="214" priority="26" stopIfTrue="1">
      <formula>VLOOKUP(K50,Jumpers,8)&lt;&gt;J50</formula>
    </cfRule>
  </conditionalFormatting>
  <conditionalFormatting sqref="D72:D91">
    <cfRule type="expression" dxfId="213" priority="21" stopIfTrue="1">
      <formula>OR(CODE(D72)&lt;48,CODE(D72)&gt;57)</formula>
    </cfRule>
    <cfRule type="expression" dxfId="212" priority="22" stopIfTrue="1">
      <formula>VLOOKUP(D72,Jumpers,5)&lt;&gt;LEFT($A$1,1)</formula>
    </cfRule>
    <cfRule type="expression" dxfId="211" priority="23" stopIfTrue="1">
      <formula>VLOOKUP(D72,Jumpers,8)&lt;&gt;C72</formula>
    </cfRule>
  </conditionalFormatting>
  <conditionalFormatting sqref="K72:K91">
    <cfRule type="expression" dxfId="210" priority="18" stopIfTrue="1">
      <formula>OR(CODE(K72)&lt;48,CODE(K72)&gt;57)</formula>
    </cfRule>
    <cfRule type="expression" dxfId="209" priority="19" stopIfTrue="1">
      <formula>VLOOKUP(K72,Jumpers,5)&lt;&gt;LEFT($A$1,1)</formula>
    </cfRule>
    <cfRule type="expression" dxfId="208" priority="20" stopIfTrue="1">
      <formula>VLOOKUP(K72,Jumpers,8)&lt;&gt;J72</formula>
    </cfRule>
  </conditionalFormatting>
  <conditionalFormatting sqref="D94:D113">
    <cfRule type="expression" dxfId="207" priority="15" stopIfTrue="1">
      <formula>OR(CODE(D94)&lt;48,CODE(D94)&gt;57)</formula>
    </cfRule>
    <cfRule type="expression" dxfId="206" priority="16" stopIfTrue="1">
      <formula>VLOOKUP(D94,Jumpers,5)&lt;&gt;LEFT($A$1,1)</formula>
    </cfRule>
    <cfRule type="expression" dxfId="205" priority="17" stopIfTrue="1">
      <formula>VLOOKUP(D94,Jumpers,8)&lt;&gt;C94</formula>
    </cfRule>
  </conditionalFormatting>
  <conditionalFormatting sqref="K94:K113">
    <cfRule type="expression" dxfId="204" priority="12" stopIfTrue="1">
      <formula>OR(CODE(K94)&lt;48,CODE(K94)&gt;57)</formula>
    </cfRule>
    <cfRule type="expression" dxfId="203" priority="13" stopIfTrue="1">
      <formula>VLOOKUP(K94,Jumpers,5)&lt;&gt;LEFT($A$1,1)</formula>
    </cfRule>
    <cfRule type="expression" dxfId="202" priority="14" stopIfTrue="1">
      <formula>VLOOKUP(K94,Jumpers,8)&lt;&gt;J94</formula>
    </cfRule>
  </conditionalFormatting>
  <conditionalFormatting sqref="D116:D123">
    <cfRule type="expression" dxfId="201" priority="8" stopIfTrue="1">
      <formula>OR(CODE(D116)&lt;48,CODE(D116)&gt;57)</formula>
    </cfRule>
    <cfRule type="expression" dxfId="200" priority="9" stopIfTrue="1">
      <formula>VLOOKUP(D116,Jumpers,5)&lt;&gt;LEFT($A$1,1)</formula>
    </cfRule>
    <cfRule type="expression" dxfId="199" priority="10" stopIfTrue="1">
      <formula>VLOOKUP(D116,Jumpers,8)&lt;&gt;C116</formula>
    </cfRule>
  </conditionalFormatting>
  <conditionalFormatting sqref="K121:K123">
    <cfRule type="expression" dxfId="198" priority="1" stopIfTrue="1">
      <formula>OR(CODE(K121)&lt;48,CODE(K121)&gt;57)</formula>
    </cfRule>
    <cfRule type="expression" dxfId="197" priority="2" stopIfTrue="1">
      <formula>VLOOKUP(K121,Jumpers,5)&lt;&gt;LEFT($A$1,1)</formula>
    </cfRule>
    <cfRule type="expression" dxfId="196" priority="3" stopIfTrue="1">
      <formula>VLOOKUP(K121,Jumpers,8)&lt;&gt;J121</formula>
    </cfRule>
  </conditionalFormatting>
  <pageMargins left="0.25" right="0.25" top="0.75" bottom="0.75" header="0.3" footer="0.3"/>
  <pageSetup scale="35" orientation="portrait" r:id="rId1"/>
  <headerFooter>
    <oddHeader>&amp;LUSAJR Regional Tournament&amp;R&amp;A</oddHeader>
    <oddFooter>&amp;RPage &amp;P of &amp;N</oddFooter>
  </headerFooter>
  <customProperties>
    <customPr name="DVSECTIONID" r:id="rId2"/>
  </customProperties>
  <extLst>
    <ext xmlns:mx="http://schemas.microsoft.com/office/mac/excel/2008/main" uri="{64002731-A6B0-56B0-2670-7721B7C09600}">
      <mx:PLV Mode="0" OnePage="0" WScale="83"/>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49"/>
  <sheetViews>
    <sheetView topLeftCell="A10" workbookViewId="0">
      <selection activeCell="K16" sqref="K16"/>
    </sheetView>
  </sheetViews>
  <sheetFormatPr defaultColWidth="8.85546875" defaultRowHeight="15" x14ac:dyDescent="0.25"/>
  <cols>
    <col min="1" max="1" width="3.7109375" customWidth="1"/>
    <col min="2" max="2" width="4.7109375" bestFit="1" customWidth="1"/>
    <col min="3" max="3" width="4.85546875" bestFit="1" customWidth="1"/>
    <col min="5" max="6" width="15.7109375" customWidth="1"/>
    <col min="7" max="7" width="2" customWidth="1"/>
    <col min="8" max="8" width="3.85546875" customWidth="1"/>
    <col min="9" max="9" width="4.7109375" bestFit="1" customWidth="1"/>
    <col min="10" max="10" width="6.7109375" bestFit="1" customWidth="1"/>
    <col min="12" max="13" width="15.7109375" customWidth="1"/>
  </cols>
  <sheetData>
    <row r="1" spans="1:13" ht="18.75" x14ac:dyDescent="0.3">
      <c r="A1" s="19" t="s">
        <v>71</v>
      </c>
      <c r="M1" s="21" t="str">
        <f>CONCATENATE("Team: ",'Team Info'!$B$3)</f>
        <v xml:space="preserve">Team: </v>
      </c>
    </row>
    <row r="2" spans="1:13" x14ac:dyDescent="0.25">
      <c r="A2" s="20" t="s">
        <v>72</v>
      </c>
    </row>
    <row r="3" spans="1:13" x14ac:dyDescent="0.25">
      <c r="A3" s="4" t="s">
        <v>228</v>
      </c>
      <c r="B3" s="12"/>
      <c r="C3" s="12"/>
      <c r="D3" s="4"/>
      <c r="E3" s="4"/>
      <c r="F3" s="4"/>
      <c r="H3" s="4" t="s">
        <v>229</v>
      </c>
      <c r="I3" s="12"/>
      <c r="J3" s="12"/>
      <c r="K3" s="4"/>
      <c r="L3" s="4"/>
      <c r="M3" s="4"/>
    </row>
    <row r="4" spans="1:13" ht="23.25" x14ac:dyDescent="0.25">
      <c r="A4" s="15" t="s">
        <v>0</v>
      </c>
      <c r="B4" s="15" t="s">
        <v>55</v>
      </c>
      <c r="C4" s="15" t="s">
        <v>56</v>
      </c>
      <c r="D4" s="16" t="s">
        <v>8</v>
      </c>
      <c r="E4" s="15" t="s">
        <v>2</v>
      </c>
      <c r="F4" s="15" t="s">
        <v>1</v>
      </c>
      <c r="H4" s="15" t="s">
        <v>0</v>
      </c>
      <c r="I4" s="15" t="s">
        <v>55</v>
      </c>
      <c r="J4" s="15" t="s">
        <v>56</v>
      </c>
      <c r="K4" s="16" t="s">
        <v>8</v>
      </c>
      <c r="L4" s="15" t="s">
        <v>2</v>
      </c>
      <c r="M4" s="15" t="s">
        <v>1</v>
      </c>
    </row>
    <row r="5" spans="1:13" x14ac:dyDescent="0.25">
      <c r="A5" s="3">
        <v>1</v>
      </c>
      <c r="B5" s="13" t="s">
        <v>77</v>
      </c>
      <c r="C5" s="91" t="s">
        <v>225</v>
      </c>
      <c r="D5" s="35"/>
      <c r="E5" s="17" t="str">
        <f t="shared" ref="E5:E12" si="0">IF(D5&gt;0,VLOOKUP(D5,Jumpers,3),"")</f>
        <v/>
      </c>
      <c r="F5" s="17" t="str">
        <f t="shared" ref="F5:F12" si="1">IF(D5&gt;0,VLOOKUP(D5,Jumpers,2),"")</f>
        <v/>
      </c>
      <c r="H5" s="3">
        <v>1</v>
      </c>
      <c r="I5" s="13" t="s">
        <v>77</v>
      </c>
      <c r="J5" s="91" t="s">
        <v>227</v>
      </c>
      <c r="K5" s="35"/>
      <c r="L5" s="17" t="str">
        <f t="shared" ref="L5:L12" si="2">IF(K5&gt;0,VLOOKUP(K5,Jumpers,3),"")</f>
        <v/>
      </c>
      <c r="M5" s="17" t="str">
        <f t="shared" ref="M5:M12" si="3">IF(K5&gt;0,VLOOKUP(K5,Jumpers,2),"")</f>
        <v/>
      </c>
    </row>
    <row r="6" spans="1:13" x14ac:dyDescent="0.25">
      <c r="A6" s="3">
        <v>2</v>
      </c>
      <c r="B6" s="13" t="s">
        <v>77</v>
      </c>
      <c r="C6" s="91" t="s">
        <v>225</v>
      </c>
      <c r="D6" s="35"/>
      <c r="E6" s="17" t="str">
        <f t="shared" si="0"/>
        <v/>
      </c>
      <c r="F6" s="17" t="str">
        <f t="shared" si="1"/>
        <v/>
      </c>
      <c r="H6" s="3">
        <v>2</v>
      </c>
      <c r="I6" s="13" t="s">
        <v>77</v>
      </c>
      <c r="J6" s="91" t="s">
        <v>227</v>
      </c>
      <c r="K6" s="35"/>
      <c r="L6" s="17" t="str">
        <f t="shared" si="2"/>
        <v/>
      </c>
      <c r="M6" s="17" t="str">
        <f t="shared" si="3"/>
        <v/>
      </c>
    </row>
    <row r="7" spans="1:13" x14ac:dyDescent="0.25">
      <c r="A7" s="3">
        <v>3</v>
      </c>
      <c r="B7" s="13" t="s">
        <v>77</v>
      </c>
      <c r="C7" s="91" t="s">
        <v>225</v>
      </c>
      <c r="D7" s="35"/>
      <c r="E7" s="17" t="str">
        <f t="shared" si="0"/>
        <v/>
      </c>
      <c r="F7" s="17" t="str">
        <f t="shared" si="1"/>
        <v/>
      </c>
      <c r="H7" s="3">
        <v>3</v>
      </c>
      <c r="I7" s="13" t="s">
        <v>77</v>
      </c>
      <c r="J7" s="91" t="s">
        <v>227</v>
      </c>
      <c r="K7" s="35"/>
      <c r="L7" s="17" t="str">
        <f t="shared" si="2"/>
        <v/>
      </c>
      <c r="M7" s="17" t="str">
        <f t="shared" si="3"/>
        <v/>
      </c>
    </row>
    <row r="8" spans="1:13" x14ac:dyDescent="0.25">
      <c r="A8" s="3">
        <v>4</v>
      </c>
      <c r="B8" s="13" t="s">
        <v>77</v>
      </c>
      <c r="C8" s="91" t="s">
        <v>225</v>
      </c>
      <c r="D8" s="35"/>
      <c r="E8" s="17" t="str">
        <f t="shared" si="0"/>
        <v/>
      </c>
      <c r="F8" s="17" t="str">
        <f t="shared" si="1"/>
        <v/>
      </c>
      <c r="H8" s="3">
        <v>4</v>
      </c>
      <c r="I8" s="13" t="s">
        <v>77</v>
      </c>
      <c r="J8" s="91" t="s">
        <v>227</v>
      </c>
      <c r="K8" s="35"/>
      <c r="L8" s="17" t="str">
        <f t="shared" si="2"/>
        <v/>
      </c>
      <c r="M8" s="17" t="str">
        <f t="shared" si="3"/>
        <v/>
      </c>
    </row>
    <row r="9" spans="1:13" x14ac:dyDescent="0.25">
      <c r="A9" s="3">
        <v>5</v>
      </c>
      <c r="B9" s="13" t="s">
        <v>77</v>
      </c>
      <c r="C9" s="91" t="s">
        <v>225</v>
      </c>
      <c r="D9" s="35"/>
      <c r="E9" s="17" t="str">
        <f t="shared" si="0"/>
        <v/>
      </c>
      <c r="F9" s="17" t="str">
        <f t="shared" si="1"/>
        <v/>
      </c>
      <c r="H9" s="3">
        <v>5</v>
      </c>
      <c r="I9" s="13" t="s">
        <v>77</v>
      </c>
      <c r="J9" s="91" t="s">
        <v>227</v>
      </c>
      <c r="K9" s="35"/>
      <c r="L9" s="17" t="str">
        <f t="shared" si="2"/>
        <v/>
      </c>
      <c r="M9" s="17" t="str">
        <f t="shared" si="3"/>
        <v/>
      </c>
    </row>
    <row r="10" spans="1:13" x14ac:dyDescent="0.25">
      <c r="A10" s="3">
        <v>6</v>
      </c>
      <c r="B10" s="13" t="s">
        <v>77</v>
      </c>
      <c r="C10" s="91" t="s">
        <v>225</v>
      </c>
      <c r="D10" s="35"/>
      <c r="E10" s="17" t="str">
        <f t="shared" si="0"/>
        <v/>
      </c>
      <c r="F10" s="17" t="str">
        <f t="shared" si="1"/>
        <v/>
      </c>
      <c r="H10" s="3">
        <v>6</v>
      </c>
      <c r="I10" s="13" t="s">
        <v>77</v>
      </c>
      <c r="J10" s="91" t="s">
        <v>227</v>
      </c>
      <c r="K10" s="35"/>
      <c r="L10" s="17" t="str">
        <f t="shared" si="2"/>
        <v/>
      </c>
      <c r="M10" s="17" t="str">
        <f t="shared" si="3"/>
        <v/>
      </c>
    </row>
    <row r="11" spans="1:13" x14ac:dyDescent="0.25">
      <c r="A11" s="3">
        <v>7</v>
      </c>
      <c r="B11" s="13" t="s">
        <v>77</v>
      </c>
      <c r="C11" s="91" t="s">
        <v>225</v>
      </c>
      <c r="D11" s="35"/>
      <c r="E11" s="17" t="str">
        <f t="shared" si="0"/>
        <v/>
      </c>
      <c r="F11" s="17" t="str">
        <f t="shared" si="1"/>
        <v/>
      </c>
      <c r="H11" s="3">
        <v>7</v>
      </c>
      <c r="I11" s="13" t="s">
        <v>77</v>
      </c>
      <c r="J11" s="91" t="s">
        <v>227</v>
      </c>
      <c r="K11" s="35"/>
      <c r="L11" s="17" t="str">
        <f t="shared" si="2"/>
        <v/>
      </c>
      <c r="M11" s="17" t="str">
        <f t="shared" si="3"/>
        <v/>
      </c>
    </row>
    <row r="12" spans="1:13" x14ac:dyDescent="0.25">
      <c r="A12" s="3">
        <v>8</v>
      </c>
      <c r="B12" s="13" t="s">
        <v>77</v>
      </c>
      <c r="C12" s="91" t="s">
        <v>225</v>
      </c>
      <c r="D12" s="35"/>
      <c r="E12" s="17" t="str">
        <f t="shared" si="0"/>
        <v/>
      </c>
      <c r="F12" s="17" t="str">
        <f t="shared" si="1"/>
        <v/>
      </c>
      <c r="H12" s="3">
        <v>8</v>
      </c>
      <c r="I12" s="13" t="s">
        <v>77</v>
      </c>
      <c r="J12" s="91" t="s">
        <v>227</v>
      </c>
      <c r="K12" s="35"/>
      <c r="L12" s="17" t="str">
        <f t="shared" si="2"/>
        <v/>
      </c>
      <c r="M12" s="17" t="str">
        <f t="shared" si="3"/>
        <v/>
      </c>
    </row>
    <row r="13" spans="1:13" x14ac:dyDescent="0.25">
      <c r="A13" s="3">
        <v>9</v>
      </c>
      <c r="B13" s="13" t="s">
        <v>77</v>
      </c>
      <c r="C13" s="91" t="s">
        <v>225</v>
      </c>
      <c r="D13" s="35"/>
      <c r="E13" s="17" t="str">
        <f t="shared" ref="E13:E18" si="4">IF(D13&gt;0,VLOOKUP(D13,Jumpers,3),"")</f>
        <v/>
      </c>
      <c r="F13" s="17" t="str">
        <f t="shared" ref="F13:F18" si="5">IF(D13&gt;0,VLOOKUP(D13,Jumpers,2),"")</f>
        <v/>
      </c>
      <c r="H13" s="3">
        <v>9</v>
      </c>
      <c r="I13" s="13" t="s">
        <v>77</v>
      </c>
      <c r="J13" s="91" t="s">
        <v>227</v>
      </c>
      <c r="K13" s="35"/>
      <c r="L13" s="17" t="str">
        <f t="shared" ref="L13:L18" si="6">IF(K13&gt;0,VLOOKUP(K13,Jumpers,3),"")</f>
        <v/>
      </c>
      <c r="M13" s="17" t="str">
        <f t="shared" ref="M13:M18" si="7">IF(K13&gt;0,VLOOKUP(K13,Jumpers,2),"")</f>
        <v/>
      </c>
    </row>
    <row r="14" spans="1:13" x14ac:dyDescent="0.25">
      <c r="A14" s="3">
        <v>10</v>
      </c>
      <c r="B14" s="13" t="s">
        <v>77</v>
      </c>
      <c r="C14" s="91" t="s">
        <v>225</v>
      </c>
      <c r="D14" s="35"/>
      <c r="E14" s="17" t="str">
        <f t="shared" si="4"/>
        <v/>
      </c>
      <c r="F14" s="17" t="str">
        <f t="shared" si="5"/>
        <v/>
      </c>
      <c r="H14" s="3">
        <v>10</v>
      </c>
      <c r="I14" s="13" t="s">
        <v>77</v>
      </c>
      <c r="J14" s="91" t="s">
        <v>227</v>
      </c>
      <c r="K14" s="35"/>
      <c r="L14" s="17" t="str">
        <f t="shared" si="6"/>
        <v/>
      </c>
      <c r="M14" s="17" t="str">
        <f t="shared" si="7"/>
        <v/>
      </c>
    </row>
    <row r="15" spans="1:13" x14ac:dyDescent="0.25">
      <c r="A15" s="3">
        <v>11</v>
      </c>
      <c r="B15" s="13" t="s">
        <v>77</v>
      </c>
      <c r="C15" s="91" t="s">
        <v>225</v>
      </c>
      <c r="D15" s="35"/>
      <c r="E15" s="17" t="str">
        <f t="shared" si="4"/>
        <v/>
      </c>
      <c r="F15" s="17" t="str">
        <f t="shared" si="5"/>
        <v/>
      </c>
      <c r="H15" s="3">
        <v>11</v>
      </c>
      <c r="I15" s="13" t="s">
        <v>77</v>
      </c>
      <c r="J15" s="91" t="s">
        <v>227</v>
      </c>
      <c r="K15" s="35"/>
      <c r="L15" s="17" t="str">
        <f t="shared" si="6"/>
        <v/>
      </c>
      <c r="M15" s="17" t="str">
        <f t="shared" si="7"/>
        <v/>
      </c>
    </row>
    <row r="16" spans="1:13" x14ac:dyDescent="0.25">
      <c r="A16" s="3">
        <v>12</v>
      </c>
      <c r="B16" s="13" t="s">
        <v>77</v>
      </c>
      <c r="C16" s="91" t="s">
        <v>225</v>
      </c>
      <c r="D16" s="35"/>
      <c r="E16" s="17" t="str">
        <f t="shared" si="4"/>
        <v/>
      </c>
      <c r="F16" s="17" t="str">
        <f t="shared" si="5"/>
        <v/>
      </c>
      <c r="H16" s="3">
        <v>12</v>
      </c>
      <c r="I16" s="13" t="s">
        <v>77</v>
      </c>
      <c r="J16" s="91" t="s">
        <v>227</v>
      </c>
      <c r="K16" s="35"/>
      <c r="L16" s="17" t="str">
        <f t="shared" si="6"/>
        <v/>
      </c>
      <c r="M16" s="17" t="str">
        <f t="shared" si="7"/>
        <v/>
      </c>
    </row>
    <row r="17" spans="1:13" x14ac:dyDescent="0.25">
      <c r="A17" s="3">
        <v>13</v>
      </c>
      <c r="B17" s="13" t="s">
        <v>77</v>
      </c>
      <c r="C17" s="91" t="s">
        <v>225</v>
      </c>
      <c r="D17" s="35"/>
      <c r="E17" s="17" t="str">
        <f t="shared" si="4"/>
        <v/>
      </c>
      <c r="F17" s="17" t="str">
        <f t="shared" si="5"/>
        <v/>
      </c>
      <c r="H17" s="3">
        <v>13</v>
      </c>
      <c r="I17" s="13" t="s">
        <v>77</v>
      </c>
      <c r="J17" s="91" t="s">
        <v>227</v>
      </c>
      <c r="K17" s="35"/>
      <c r="L17" s="17" t="str">
        <f t="shared" si="6"/>
        <v/>
      </c>
      <c r="M17" s="17" t="str">
        <f t="shared" si="7"/>
        <v/>
      </c>
    </row>
    <row r="18" spans="1:13" x14ac:dyDescent="0.25">
      <c r="A18" s="3">
        <v>14</v>
      </c>
      <c r="B18" s="13" t="s">
        <v>77</v>
      </c>
      <c r="C18" s="91" t="s">
        <v>225</v>
      </c>
      <c r="D18" s="35"/>
      <c r="E18" s="17" t="str">
        <f t="shared" si="4"/>
        <v/>
      </c>
      <c r="F18" s="17" t="str">
        <f t="shared" si="5"/>
        <v/>
      </c>
      <c r="H18" s="3">
        <v>14</v>
      </c>
      <c r="I18" s="13" t="s">
        <v>77</v>
      </c>
      <c r="J18" s="91" t="s">
        <v>227</v>
      </c>
      <c r="K18" s="35"/>
      <c r="L18" s="17" t="str">
        <f t="shared" si="6"/>
        <v/>
      </c>
      <c r="M18" s="17" t="str">
        <f t="shared" si="7"/>
        <v/>
      </c>
    </row>
    <row r="19" spans="1:13" x14ac:dyDescent="0.25">
      <c r="A19" s="3">
        <v>15</v>
      </c>
      <c r="B19" s="13" t="s">
        <v>77</v>
      </c>
      <c r="C19" s="91" t="s">
        <v>225</v>
      </c>
      <c r="D19" s="35"/>
      <c r="E19" s="17" t="str">
        <f t="shared" ref="E19:E24" si="8">IF(D19&gt;0,VLOOKUP(D19,Jumpers,3),"")</f>
        <v/>
      </c>
      <c r="F19" s="17" t="str">
        <f t="shared" ref="F19:F24" si="9">IF(D19&gt;0,VLOOKUP(D19,Jumpers,2),"")</f>
        <v/>
      </c>
      <c r="H19" s="3">
        <v>15</v>
      </c>
      <c r="I19" s="13" t="s">
        <v>77</v>
      </c>
      <c r="J19" s="91" t="s">
        <v>227</v>
      </c>
      <c r="K19" s="35"/>
      <c r="L19" s="17" t="str">
        <f t="shared" ref="L19:L24" si="10">IF(K19&gt;0,VLOOKUP(K19,Jumpers,3),"")</f>
        <v/>
      </c>
      <c r="M19" s="17" t="str">
        <f t="shared" ref="M19:M24" si="11">IF(K19&gt;0,VLOOKUP(K19,Jumpers,2),"")</f>
        <v/>
      </c>
    </row>
    <row r="20" spans="1:13" x14ac:dyDescent="0.25">
      <c r="A20" s="3">
        <v>16</v>
      </c>
      <c r="B20" s="13" t="s">
        <v>77</v>
      </c>
      <c r="C20" s="91" t="s">
        <v>225</v>
      </c>
      <c r="D20" s="35"/>
      <c r="E20" s="17" t="str">
        <f t="shared" si="8"/>
        <v/>
      </c>
      <c r="F20" s="17" t="str">
        <f t="shared" si="9"/>
        <v/>
      </c>
      <c r="H20" s="3">
        <v>16</v>
      </c>
      <c r="I20" s="13" t="s">
        <v>77</v>
      </c>
      <c r="J20" s="91" t="s">
        <v>227</v>
      </c>
      <c r="K20" s="35"/>
      <c r="L20" s="17" t="str">
        <f t="shared" si="10"/>
        <v/>
      </c>
      <c r="M20" s="17" t="str">
        <f t="shared" si="11"/>
        <v/>
      </c>
    </row>
    <row r="21" spans="1:13" x14ac:dyDescent="0.25">
      <c r="A21" s="3">
        <v>17</v>
      </c>
      <c r="B21" s="13" t="s">
        <v>77</v>
      </c>
      <c r="C21" s="91" t="s">
        <v>225</v>
      </c>
      <c r="D21" s="35"/>
      <c r="E21" s="17" t="str">
        <f t="shared" si="8"/>
        <v/>
      </c>
      <c r="F21" s="17" t="str">
        <f t="shared" si="9"/>
        <v/>
      </c>
      <c r="H21" s="3">
        <v>17</v>
      </c>
      <c r="I21" s="13" t="s">
        <v>77</v>
      </c>
      <c r="J21" s="91" t="s">
        <v>227</v>
      </c>
      <c r="K21" s="35"/>
      <c r="L21" s="17" t="str">
        <f t="shared" si="10"/>
        <v/>
      </c>
      <c r="M21" s="17" t="str">
        <f t="shared" si="11"/>
        <v/>
      </c>
    </row>
    <row r="22" spans="1:13" x14ac:dyDescent="0.25">
      <c r="A22" s="3">
        <v>18</v>
      </c>
      <c r="B22" s="13" t="s">
        <v>77</v>
      </c>
      <c r="C22" s="91" t="s">
        <v>225</v>
      </c>
      <c r="D22" s="35"/>
      <c r="E22" s="17" t="str">
        <f t="shared" si="8"/>
        <v/>
      </c>
      <c r="F22" s="17" t="str">
        <f t="shared" si="9"/>
        <v/>
      </c>
      <c r="H22" s="3">
        <v>16</v>
      </c>
      <c r="I22" s="13" t="s">
        <v>77</v>
      </c>
      <c r="J22" s="91" t="s">
        <v>227</v>
      </c>
      <c r="K22" s="35"/>
      <c r="L22" s="17" t="str">
        <f t="shared" si="10"/>
        <v/>
      </c>
      <c r="M22" s="17" t="str">
        <f t="shared" si="11"/>
        <v/>
      </c>
    </row>
    <row r="23" spans="1:13" x14ac:dyDescent="0.25">
      <c r="A23" s="3">
        <v>19</v>
      </c>
      <c r="B23" s="13" t="s">
        <v>77</v>
      </c>
      <c r="C23" s="91" t="s">
        <v>225</v>
      </c>
      <c r="D23" s="35"/>
      <c r="E23" s="17" t="str">
        <f t="shared" si="8"/>
        <v/>
      </c>
      <c r="F23" s="17" t="str">
        <f t="shared" si="9"/>
        <v/>
      </c>
      <c r="H23" s="3">
        <v>19</v>
      </c>
      <c r="I23" s="13" t="s">
        <v>77</v>
      </c>
      <c r="J23" s="91" t="s">
        <v>227</v>
      </c>
      <c r="K23" s="35"/>
      <c r="L23" s="17" t="str">
        <f t="shared" si="10"/>
        <v/>
      </c>
      <c r="M23" s="17" t="str">
        <f t="shared" si="11"/>
        <v/>
      </c>
    </row>
    <row r="24" spans="1:13" x14ac:dyDescent="0.25">
      <c r="A24" s="3">
        <v>20</v>
      </c>
      <c r="B24" s="13" t="s">
        <v>77</v>
      </c>
      <c r="C24" s="91" t="s">
        <v>225</v>
      </c>
      <c r="D24" s="35"/>
      <c r="E24" s="17" t="str">
        <f t="shared" si="8"/>
        <v/>
      </c>
      <c r="F24" s="17" t="str">
        <f t="shared" si="9"/>
        <v/>
      </c>
      <c r="H24" s="3">
        <v>20</v>
      </c>
      <c r="I24" s="13" t="s">
        <v>77</v>
      </c>
      <c r="J24" s="91" t="s">
        <v>227</v>
      </c>
      <c r="K24" s="35"/>
      <c r="L24" s="17" t="str">
        <f t="shared" si="10"/>
        <v/>
      </c>
      <c r="M24" s="17" t="str">
        <f t="shared" si="11"/>
        <v/>
      </c>
    </row>
    <row r="26" spans="1:13" ht="18.75" x14ac:dyDescent="0.3">
      <c r="A26" s="19" t="s">
        <v>73</v>
      </c>
    </row>
    <row r="27" spans="1:13" x14ac:dyDescent="0.25">
      <c r="A27" s="20" t="s">
        <v>133</v>
      </c>
    </row>
    <row r="28" spans="1:13" x14ac:dyDescent="0.25">
      <c r="A28" s="4" t="s">
        <v>228</v>
      </c>
      <c r="B28" s="12"/>
      <c r="C28" s="12"/>
      <c r="D28" s="4"/>
      <c r="E28" s="4"/>
      <c r="F28" s="4"/>
      <c r="H28" s="4" t="s">
        <v>229</v>
      </c>
      <c r="I28" s="12"/>
      <c r="J28" s="12"/>
      <c r="K28" s="4"/>
      <c r="L28" s="4"/>
      <c r="M28" s="4"/>
    </row>
    <row r="29" spans="1:13" ht="23.25" x14ac:dyDescent="0.25">
      <c r="A29" s="15" t="s">
        <v>0</v>
      </c>
      <c r="B29" s="15" t="s">
        <v>55</v>
      </c>
      <c r="C29" s="15" t="s">
        <v>56</v>
      </c>
      <c r="D29" s="16" t="s">
        <v>8</v>
      </c>
      <c r="E29" s="15" t="s">
        <v>2</v>
      </c>
      <c r="F29" s="15" t="s">
        <v>1</v>
      </c>
      <c r="H29" s="15" t="s">
        <v>0</v>
      </c>
      <c r="I29" s="15" t="s">
        <v>55</v>
      </c>
      <c r="J29" s="15" t="s">
        <v>56</v>
      </c>
      <c r="K29" s="16" t="s">
        <v>8</v>
      </c>
      <c r="L29" s="15" t="s">
        <v>2</v>
      </c>
      <c r="M29" s="15" t="s">
        <v>1</v>
      </c>
    </row>
    <row r="30" spans="1:13" x14ac:dyDescent="0.25">
      <c r="A30" s="3">
        <v>1</v>
      </c>
      <c r="B30" s="13" t="s">
        <v>78</v>
      </c>
      <c r="C30" s="91" t="s">
        <v>225</v>
      </c>
      <c r="D30" s="35"/>
      <c r="E30" s="17" t="str">
        <f t="shared" ref="E30:E37" si="12">IF(D30&gt;0,VLOOKUP(D30,Jumpers,3),"")</f>
        <v/>
      </c>
      <c r="F30" s="17" t="str">
        <f t="shared" ref="F30:F37" si="13">IF(D30&gt;0,VLOOKUP(D30,Jumpers,2),"")</f>
        <v/>
      </c>
      <c r="H30" s="3">
        <v>1</v>
      </c>
      <c r="I30" s="13" t="s">
        <v>78</v>
      </c>
      <c r="J30" s="91" t="s">
        <v>227</v>
      </c>
      <c r="K30" s="35"/>
      <c r="L30" s="17" t="str">
        <f t="shared" ref="L30:L37" si="14">IF(K30&gt;0,VLOOKUP(K30,Jumpers,3),"")</f>
        <v/>
      </c>
      <c r="M30" s="17" t="str">
        <f t="shared" ref="M30:M37" si="15">IF(K30&gt;0,VLOOKUP(K30,Jumpers,2),"")</f>
        <v/>
      </c>
    </row>
    <row r="31" spans="1:13" x14ac:dyDescent="0.25">
      <c r="A31" s="3">
        <v>2</v>
      </c>
      <c r="B31" s="13" t="s">
        <v>78</v>
      </c>
      <c r="C31" s="91" t="s">
        <v>225</v>
      </c>
      <c r="D31" s="35"/>
      <c r="E31" s="17" t="str">
        <f t="shared" si="12"/>
        <v/>
      </c>
      <c r="F31" s="17" t="str">
        <f t="shared" si="13"/>
        <v/>
      </c>
      <c r="H31" s="3">
        <v>2</v>
      </c>
      <c r="I31" s="13" t="s">
        <v>78</v>
      </c>
      <c r="J31" s="91" t="s">
        <v>227</v>
      </c>
      <c r="K31" s="35"/>
      <c r="L31" s="17" t="str">
        <f t="shared" si="14"/>
        <v/>
      </c>
      <c r="M31" s="17" t="str">
        <f t="shared" si="15"/>
        <v/>
      </c>
    </row>
    <row r="32" spans="1:13" x14ac:dyDescent="0.25">
      <c r="A32" s="3">
        <v>3</v>
      </c>
      <c r="B32" s="13" t="s">
        <v>78</v>
      </c>
      <c r="C32" s="91" t="s">
        <v>225</v>
      </c>
      <c r="D32" s="35"/>
      <c r="E32" s="17" t="str">
        <f t="shared" si="12"/>
        <v/>
      </c>
      <c r="F32" s="17" t="str">
        <f t="shared" si="13"/>
        <v/>
      </c>
      <c r="H32" s="3">
        <v>3</v>
      </c>
      <c r="I32" s="13" t="s">
        <v>78</v>
      </c>
      <c r="J32" s="91" t="s">
        <v>227</v>
      </c>
      <c r="K32" s="35"/>
      <c r="L32" s="17" t="str">
        <f t="shared" si="14"/>
        <v/>
      </c>
      <c r="M32" s="17" t="str">
        <f t="shared" si="15"/>
        <v/>
      </c>
    </row>
    <row r="33" spans="1:13" x14ac:dyDescent="0.25">
      <c r="A33" s="3">
        <v>4</v>
      </c>
      <c r="B33" s="13" t="s">
        <v>78</v>
      </c>
      <c r="C33" s="91" t="s">
        <v>225</v>
      </c>
      <c r="D33" s="35"/>
      <c r="E33" s="17" t="str">
        <f t="shared" si="12"/>
        <v/>
      </c>
      <c r="F33" s="17" t="str">
        <f t="shared" si="13"/>
        <v/>
      </c>
      <c r="H33" s="3">
        <v>4</v>
      </c>
      <c r="I33" s="13" t="s">
        <v>78</v>
      </c>
      <c r="J33" s="91" t="s">
        <v>227</v>
      </c>
      <c r="K33" s="35"/>
      <c r="L33" s="17" t="str">
        <f t="shared" si="14"/>
        <v/>
      </c>
      <c r="M33" s="17" t="str">
        <f t="shared" si="15"/>
        <v/>
      </c>
    </row>
    <row r="34" spans="1:13" x14ac:dyDescent="0.25">
      <c r="A34" s="3">
        <v>5</v>
      </c>
      <c r="B34" s="13" t="s">
        <v>78</v>
      </c>
      <c r="C34" s="91" t="s">
        <v>225</v>
      </c>
      <c r="D34" s="35"/>
      <c r="E34" s="17" t="str">
        <f t="shared" si="12"/>
        <v/>
      </c>
      <c r="F34" s="17" t="str">
        <f t="shared" si="13"/>
        <v/>
      </c>
      <c r="H34" s="3">
        <v>5</v>
      </c>
      <c r="I34" s="13" t="s">
        <v>78</v>
      </c>
      <c r="J34" s="91" t="s">
        <v>227</v>
      </c>
      <c r="K34" s="35"/>
      <c r="L34" s="17" t="str">
        <f t="shared" si="14"/>
        <v/>
      </c>
      <c r="M34" s="17" t="str">
        <f t="shared" si="15"/>
        <v/>
      </c>
    </row>
    <row r="35" spans="1:13" x14ac:dyDescent="0.25">
      <c r="A35" s="3">
        <v>6</v>
      </c>
      <c r="B35" s="13" t="s">
        <v>78</v>
      </c>
      <c r="C35" s="91" t="s">
        <v>225</v>
      </c>
      <c r="D35" s="35"/>
      <c r="E35" s="17" t="str">
        <f t="shared" si="12"/>
        <v/>
      </c>
      <c r="F35" s="17" t="str">
        <f t="shared" si="13"/>
        <v/>
      </c>
      <c r="H35" s="3">
        <v>6</v>
      </c>
      <c r="I35" s="13" t="s">
        <v>78</v>
      </c>
      <c r="J35" s="91" t="s">
        <v>227</v>
      </c>
      <c r="K35" s="35"/>
      <c r="L35" s="17" t="str">
        <f t="shared" si="14"/>
        <v/>
      </c>
      <c r="M35" s="17" t="str">
        <f t="shared" si="15"/>
        <v/>
      </c>
    </row>
    <row r="36" spans="1:13" x14ac:dyDescent="0.25">
      <c r="A36" s="3">
        <v>7</v>
      </c>
      <c r="B36" s="13" t="s">
        <v>78</v>
      </c>
      <c r="C36" s="91" t="s">
        <v>225</v>
      </c>
      <c r="D36" s="35"/>
      <c r="E36" s="17" t="str">
        <f t="shared" si="12"/>
        <v/>
      </c>
      <c r="F36" s="17" t="str">
        <f t="shared" si="13"/>
        <v/>
      </c>
      <c r="H36" s="3">
        <v>7</v>
      </c>
      <c r="I36" s="13" t="s">
        <v>78</v>
      </c>
      <c r="J36" s="91" t="s">
        <v>227</v>
      </c>
      <c r="K36" s="35"/>
      <c r="L36" s="17" t="str">
        <f t="shared" si="14"/>
        <v/>
      </c>
      <c r="M36" s="17" t="str">
        <f t="shared" si="15"/>
        <v/>
      </c>
    </row>
    <row r="37" spans="1:13" x14ac:dyDescent="0.25">
      <c r="A37" s="3">
        <v>8</v>
      </c>
      <c r="B37" s="13" t="s">
        <v>78</v>
      </c>
      <c r="C37" s="91" t="s">
        <v>225</v>
      </c>
      <c r="D37" s="35"/>
      <c r="E37" s="17" t="str">
        <f t="shared" si="12"/>
        <v/>
      </c>
      <c r="F37" s="17" t="str">
        <f t="shared" si="13"/>
        <v/>
      </c>
      <c r="H37" s="3">
        <v>8</v>
      </c>
      <c r="I37" s="13" t="s">
        <v>78</v>
      </c>
      <c r="J37" s="91" t="s">
        <v>227</v>
      </c>
      <c r="K37" s="35"/>
      <c r="L37" s="17" t="str">
        <f t="shared" si="14"/>
        <v/>
      </c>
      <c r="M37" s="17" t="str">
        <f t="shared" si="15"/>
        <v/>
      </c>
    </row>
    <row r="38" spans="1:13" x14ac:dyDescent="0.25">
      <c r="A38" s="3">
        <v>9</v>
      </c>
      <c r="B38" s="13" t="s">
        <v>78</v>
      </c>
      <c r="C38" s="91" t="s">
        <v>225</v>
      </c>
      <c r="D38" s="35"/>
      <c r="E38" s="17" t="str">
        <f t="shared" ref="E38:E45" si="16">IF(D38&gt;0,VLOOKUP(D38,Jumpers,3),"")</f>
        <v/>
      </c>
      <c r="F38" s="17" t="str">
        <f t="shared" ref="F38:F45" si="17">IF(D38&gt;0,VLOOKUP(D38,Jumpers,2),"")</f>
        <v/>
      </c>
      <c r="H38" s="3">
        <v>9</v>
      </c>
      <c r="I38" s="13" t="s">
        <v>78</v>
      </c>
      <c r="J38" s="91" t="s">
        <v>227</v>
      </c>
      <c r="K38" s="35"/>
      <c r="L38" s="17" t="str">
        <f t="shared" ref="L38:L45" si="18">IF(K38&gt;0,VLOOKUP(K38,Jumpers,3),"")</f>
        <v/>
      </c>
      <c r="M38" s="17" t="str">
        <f t="shared" ref="M38:M45" si="19">IF(K38&gt;0,VLOOKUP(K38,Jumpers,2),"")</f>
        <v/>
      </c>
    </row>
    <row r="39" spans="1:13" x14ac:dyDescent="0.25">
      <c r="A39" s="3">
        <v>10</v>
      </c>
      <c r="B39" s="13" t="s">
        <v>78</v>
      </c>
      <c r="C39" s="91" t="s">
        <v>225</v>
      </c>
      <c r="D39" s="35"/>
      <c r="E39" s="17" t="str">
        <f t="shared" si="16"/>
        <v/>
      </c>
      <c r="F39" s="17" t="str">
        <f t="shared" si="17"/>
        <v/>
      </c>
      <c r="H39" s="3">
        <v>10</v>
      </c>
      <c r="I39" s="13" t="s">
        <v>78</v>
      </c>
      <c r="J39" s="91" t="s">
        <v>227</v>
      </c>
      <c r="K39" s="35"/>
      <c r="L39" s="17" t="str">
        <f t="shared" si="18"/>
        <v/>
      </c>
      <c r="M39" s="17" t="str">
        <f t="shared" si="19"/>
        <v/>
      </c>
    </row>
    <row r="40" spans="1:13" x14ac:dyDescent="0.25">
      <c r="A40" s="3">
        <v>11</v>
      </c>
      <c r="B40" s="13" t="s">
        <v>78</v>
      </c>
      <c r="C40" s="91" t="s">
        <v>225</v>
      </c>
      <c r="D40" s="35"/>
      <c r="E40" s="17" t="str">
        <f t="shared" si="16"/>
        <v/>
      </c>
      <c r="F40" s="17" t="str">
        <f t="shared" si="17"/>
        <v/>
      </c>
      <c r="H40" s="3">
        <v>11</v>
      </c>
      <c r="I40" s="13" t="s">
        <v>78</v>
      </c>
      <c r="J40" s="91" t="s">
        <v>227</v>
      </c>
      <c r="K40" s="35"/>
      <c r="L40" s="17" t="str">
        <f t="shared" si="18"/>
        <v/>
      </c>
      <c r="M40" s="17" t="str">
        <f t="shared" si="19"/>
        <v/>
      </c>
    </row>
    <row r="41" spans="1:13" x14ac:dyDescent="0.25">
      <c r="A41" s="3">
        <v>12</v>
      </c>
      <c r="B41" s="13" t="s">
        <v>78</v>
      </c>
      <c r="C41" s="91" t="s">
        <v>225</v>
      </c>
      <c r="D41" s="35"/>
      <c r="E41" s="17" t="str">
        <f t="shared" si="16"/>
        <v/>
      </c>
      <c r="F41" s="17" t="str">
        <f t="shared" si="17"/>
        <v/>
      </c>
      <c r="H41" s="3">
        <v>12</v>
      </c>
      <c r="I41" s="13" t="s">
        <v>78</v>
      </c>
      <c r="J41" s="91" t="s">
        <v>227</v>
      </c>
      <c r="K41" s="35"/>
      <c r="L41" s="17" t="str">
        <f t="shared" si="18"/>
        <v/>
      </c>
      <c r="M41" s="17" t="str">
        <f t="shared" si="19"/>
        <v/>
      </c>
    </row>
    <row r="42" spans="1:13" x14ac:dyDescent="0.25">
      <c r="A42" s="3">
        <v>13</v>
      </c>
      <c r="B42" s="13" t="s">
        <v>78</v>
      </c>
      <c r="C42" s="91" t="s">
        <v>225</v>
      </c>
      <c r="D42" s="35"/>
      <c r="E42" s="17" t="str">
        <f t="shared" si="16"/>
        <v/>
      </c>
      <c r="F42" s="17" t="str">
        <f t="shared" si="17"/>
        <v/>
      </c>
      <c r="H42" s="3">
        <v>13</v>
      </c>
      <c r="I42" s="13" t="s">
        <v>78</v>
      </c>
      <c r="J42" s="91" t="s">
        <v>227</v>
      </c>
      <c r="K42" s="35"/>
      <c r="L42" s="17" t="str">
        <f t="shared" si="18"/>
        <v/>
      </c>
      <c r="M42" s="17" t="str">
        <f t="shared" si="19"/>
        <v/>
      </c>
    </row>
    <row r="43" spans="1:13" x14ac:dyDescent="0.25">
      <c r="A43" s="3">
        <v>14</v>
      </c>
      <c r="B43" s="13" t="s">
        <v>78</v>
      </c>
      <c r="C43" s="91" t="s">
        <v>225</v>
      </c>
      <c r="D43" s="35"/>
      <c r="E43" s="17" t="str">
        <f t="shared" si="16"/>
        <v/>
      </c>
      <c r="F43" s="17" t="str">
        <f t="shared" si="17"/>
        <v/>
      </c>
      <c r="H43" s="3">
        <v>14</v>
      </c>
      <c r="I43" s="13" t="s">
        <v>78</v>
      </c>
      <c r="J43" s="91" t="s">
        <v>227</v>
      </c>
      <c r="K43" s="35"/>
      <c r="L43" s="17" t="str">
        <f t="shared" si="18"/>
        <v/>
      </c>
      <c r="M43" s="17" t="str">
        <f t="shared" si="19"/>
        <v/>
      </c>
    </row>
    <row r="44" spans="1:13" x14ac:dyDescent="0.25">
      <c r="A44" s="3">
        <v>15</v>
      </c>
      <c r="B44" s="13" t="s">
        <v>78</v>
      </c>
      <c r="C44" s="91" t="s">
        <v>225</v>
      </c>
      <c r="D44" s="35"/>
      <c r="E44" s="17" t="str">
        <f t="shared" si="16"/>
        <v/>
      </c>
      <c r="F44" s="17" t="str">
        <f t="shared" si="17"/>
        <v/>
      </c>
      <c r="H44" s="3">
        <v>15</v>
      </c>
      <c r="I44" s="13" t="s">
        <v>78</v>
      </c>
      <c r="J44" s="91" t="s">
        <v>227</v>
      </c>
      <c r="K44" s="35"/>
      <c r="L44" s="17" t="str">
        <f t="shared" si="18"/>
        <v/>
      </c>
      <c r="M44" s="17" t="str">
        <f t="shared" si="19"/>
        <v/>
      </c>
    </row>
    <row r="45" spans="1:13" x14ac:dyDescent="0.25">
      <c r="A45" s="3">
        <v>16</v>
      </c>
      <c r="B45" s="13" t="s">
        <v>78</v>
      </c>
      <c r="C45" s="91" t="s">
        <v>225</v>
      </c>
      <c r="D45" s="35"/>
      <c r="E45" s="17" t="str">
        <f t="shared" si="16"/>
        <v/>
      </c>
      <c r="F45" s="17" t="str">
        <f t="shared" si="17"/>
        <v/>
      </c>
      <c r="H45" s="3">
        <v>16</v>
      </c>
      <c r="I45" s="13" t="s">
        <v>78</v>
      </c>
      <c r="J45" s="91" t="s">
        <v>227</v>
      </c>
      <c r="K45" s="35"/>
      <c r="L45" s="17" t="str">
        <f t="shared" si="18"/>
        <v/>
      </c>
      <c r="M45" s="17" t="str">
        <f t="shared" si="19"/>
        <v/>
      </c>
    </row>
    <row r="46" spans="1:13" x14ac:dyDescent="0.25">
      <c r="A46" s="3">
        <v>17</v>
      </c>
      <c r="B46" s="13" t="s">
        <v>78</v>
      </c>
      <c r="C46" s="91" t="s">
        <v>225</v>
      </c>
      <c r="D46" s="35"/>
      <c r="E46" s="17" t="str">
        <f t="shared" ref="E46:E49" si="20">IF(D46&gt;0,VLOOKUP(D46,Jumpers,3),"")</f>
        <v/>
      </c>
      <c r="F46" s="17" t="str">
        <f t="shared" ref="F46:F49" si="21">IF(D46&gt;0,VLOOKUP(D46,Jumpers,2),"")</f>
        <v/>
      </c>
      <c r="H46" s="3">
        <v>17</v>
      </c>
      <c r="I46" s="13" t="s">
        <v>78</v>
      </c>
      <c r="J46" s="91" t="s">
        <v>227</v>
      </c>
      <c r="K46" s="35"/>
      <c r="L46" s="17" t="str">
        <f t="shared" ref="L46:L49" si="22">IF(K46&gt;0,VLOOKUP(K46,Jumpers,3),"")</f>
        <v/>
      </c>
      <c r="M46" s="17" t="str">
        <f t="shared" ref="M46:M49" si="23">IF(K46&gt;0,VLOOKUP(K46,Jumpers,2),"")</f>
        <v/>
      </c>
    </row>
    <row r="47" spans="1:13" x14ac:dyDescent="0.25">
      <c r="A47" s="3">
        <v>18</v>
      </c>
      <c r="B47" s="13" t="s">
        <v>78</v>
      </c>
      <c r="C47" s="91" t="s">
        <v>225</v>
      </c>
      <c r="D47" s="35"/>
      <c r="E47" s="17" t="str">
        <f t="shared" si="20"/>
        <v/>
      </c>
      <c r="F47" s="17" t="str">
        <f t="shared" si="21"/>
        <v/>
      </c>
      <c r="H47" s="3">
        <v>16</v>
      </c>
      <c r="I47" s="13" t="s">
        <v>78</v>
      </c>
      <c r="J47" s="91" t="s">
        <v>227</v>
      </c>
      <c r="K47" s="35"/>
      <c r="L47" s="17" t="str">
        <f t="shared" si="22"/>
        <v/>
      </c>
      <c r="M47" s="17" t="str">
        <f t="shared" si="23"/>
        <v/>
      </c>
    </row>
    <row r="48" spans="1:13" x14ac:dyDescent="0.25">
      <c r="A48" s="3">
        <v>19</v>
      </c>
      <c r="B48" s="13" t="s">
        <v>78</v>
      </c>
      <c r="C48" s="91" t="s">
        <v>225</v>
      </c>
      <c r="D48" s="35"/>
      <c r="E48" s="17" t="str">
        <f t="shared" si="20"/>
        <v/>
      </c>
      <c r="F48" s="17" t="str">
        <f t="shared" si="21"/>
        <v/>
      </c>
      <c r="H48" s="3">
        <v>19</v>
      </c>
      <c r="I48" s="13" t="s">
        <v>78</v>
      </c>
      <c r="J48" s="91" t="s">
        <v>227</v>
      </c>
      <c r="K48" s="35"/>
      <c r="L48" s="17" t="str">
        <f t="shared" si="22"/>
        <v/>
      </c>
      <c r="M48" s="17" t="str">
        <f t="shared" si="23"/>
        <v/>
      </c>
    </row>
    <row r="49" spans="1:13" x14ac:dyDescent="0.25">
      <c r="A49" s="3">
        <v>20</v>
      </c>
      <c r="B49" s="13" t="s">
        <v>78</v>
      </c>
      <c r="C49" s="91" t="s">
        <v>225</v>
      </c>
      <c r="D49" s="35"/>
      <c r="E49" s="17" t="str">
        <f t="shared" si="20"/>
        <v/>
      </c>
      <c r="F49" s="17" t="str">
        <f t="shared" si="21"/>
        <v/>
      </c>
      <c r="H49" s="3">
        <v>20</v>
      </c>
      <c r="I49" s="13" t="s">
        <v>78</v>
      </c>
      <c r="J49" s="91" t="s">
        <v>227</v>
      </c>
      <c r="K49" s="35"/>
      <c r="L49" s="17" t="str">
        <f t="shared" si="22"/>
        <v/>
      </c>
      <c r="M49" s="17" t="str">
        <f t="shared" si="23"/>
        <v/>
      </c>
    </row>
  </sheetData>
  <sheetProtection sheet="1" objects="1" scenarios="1" selectLockedCells="1"/>
  <phoneticPr fontId="23" type="noConversion"/>
  <conditionalFormatting sqref="D21">
    <cfRule type="expression" dxfId="43" priority="45" stopIfTrue="1">
      <formula>VLOOKUP(D21,Jumpers,8)&lt;&gt;C21</formula>
    </cfRule>
  </conditionalFormatting>
  <conditionalFormatting sqref="D21">
    <cfRule type="expression" dxfId="42" priority="44" stopIfTrue="1">
      <formula>VLOOKUP(D21,Jumpers,5)&lt;&gt;LEFT($A$1,1)</formula>
    </cfRule>
  </conditionalFormatting>
  <conditionalFormatting sqref="D22">
    <cfRule type="expression" dxfId="41" priority="43" stopIfTrue="1">
      <formula>VLOOKUP(D22,Jumpers,8)&lt;&gt;C22</formula>
    </cfRule>
  </conditionalFormatting>
  <conditionalFormatting sqref="D22">
    <cfRule type="expression" dxfId="40" priority="42" stopIfTrue="1">
      <formula>VLOOKUP(D22,Jumpers,5)&lt;&gt;LEFT($A$1,1)</formula>
    </cfRule>
  </conditionalFormatting>
  <conditionalFormatting sqref="D23">
    <cfRule type="expression" dxfId="39" priority="41" stopIfTrue="1">
      <formula>VLOOKUP(D23,Jumpers,8)&lt;&gt;C23</formula>
    </cfRule>
  </conditionalFormatting>
  <conditionalFormatting sqref="D23">
    <cfRule type="expression" dxfId="38" priority="40" stopIfTrue="1">
      <formula>VLOOKUP(D23,Jumpers,5)&lt;&gt;LEFT($A$1,1)</formula>
    </cfRule>
  </conditionalFormatting>
  <conditionalFormatting sqref="D24">
    <cfRule type="expression" dxfId="37" priority="39" stopIfTrue="1">
      <formula>VLOOKUP(D24,Jumpers,8)&lt;&gt;C24</formula>
    </cfRule>
  </conditionalFormatting>
  <conditionalFormatting sqref="D24">
    <cfRule type="expression" dxfId="36" priority="38" stopIfTrue="1">
      <formula>VLOOKUP(D24,Jumpers,5)&lt;&gt;LEFT($A$1,1)</formula>
    </cfRule>
  </conditionalFormatting>
  <conditionalFormatting sqref="K21">
    <cfRule type="expression" dxfId="35" priority="36" stopIfTrue="1">
      <formula>VLOOKUP(K21,Jumpers,5)&lt;&gt;LEFT($A$1,1)</formula>
    </cfRule>
    <cfRule type="expression" dxfId="34" priority="37" stopIfTrue="1">
      <formula>VLOOKUP(K21,Jumpers,7)&lt;18</formula>
    </cfRule>
  </conditionalFormatting>
  <conditionalFormatting sqref="K22">
    <cfRule type="expression" dxfId="33" priority="34" stopIfTrue="1">
      <formula>VLOOKUP(K22,Jumpers,5)&lt;&gt;LEFT($A$1,1)</formula>
    </cfRule>
    <cfRule type="expression" dxfId="32" priority="35" stopIfTrue="1">
      <formula>VLOOKUP(K22,Jumpers,7)&lt;18</formula>
    </cfRule>
  </conditionalFormatting>
  <conditionalFormatting sqref="K23">
    <cfRule type="expression" dxfId="31" priority="32" stopIfTrue="1">
      <formula>VLOOKUP(K23,Jumpers,5)&lt;&gt;LEFT($A$1,1)</formula>
    </cfRule>
    <cfRule type="expression" dxfId="30" priority="33" stopIfTrue="1">
      <formula>VLOOKUP(K23,Jumpers,7)&lt;18</formula>
    </cfRule>
  </conditionalFormatting>
  <conditionalFormatting sqref="K24">
    <cfRule type="expression" dxfId="29" priority="30" stopIfTrue="1">
      <formula>VLOOKUP(K24,Jumpers,5)&lt;&gt;LEFT($A$1,1)</formula>
    </cfRule>
    <cfRule type="expression" dxfId="28" priority="31" stopIfTrue="1">
      <formula>VLOOKUP(K24,Jumpers,7)&lt;18</formula>
    </cfRule>
  </conditionalFormatting>
  <conditionalFormatting sqref="K46">
    <cfRule type="expression" dxfId="27" priority="19" stopIfTrue="1">
      <formula>VLOOKUP(K46,Jumpers,5)&lt;&gt;LEFT($A$1,1)</formula>
    </cfRule>
    <cfRule type="expression" dxfId="26" priority="20" stopIfTrue="1">
      <formula>VLOOKUP(K46,Jumpers,7)&lt;18</formula>
    </cfRule>
  </conditionalFormatting>
  <conditionalFormatting sqref="K47">
    <cfRule type="expression" dxfId="25" priority="17" stopIfTrue="1">
      <formula>VLOOKUP(K47,Jumpers,5)&lt;&gt;LEFT($A$1,1)</formula>
    </cfRule>
    <cfRule type="expression" dxfId="24" priority="18" stopIfTrue="1">
      <formula>VLOOKUP(K47,Jumpers,7)&lt;18</formula>
    </cfRule>
  </conditionalFormatting>
  <conditionalFormatting sqref="K48">
    <cfRule type="expression" dxfId="23" priority="15" stopIfTrue="1">
      <formula>VLOOKUP(K48,Jumpers,5)&lt;&gt;LEFT($A$1,1)</formula>
    </cfRule>
    <cfRule type="expression" dxfId="22" priority="16" stopIfTrue="1">
      <formula>VLOOKUP(K48,Jumpers,7)&lt;18</formula>
    </cfRule>
  </conditionalFormatting>
  <conditionalFormatting sqref="K49">
    <cfRule type="expression" dxfId="21" priority="13" stopIfTrue="1">
      <formula>VLOOKUP(K49,Jumpers,5)&lt;&gt;LEFT($A$1,1)</formula>
    </cfRule>
    <cfRule type="expression" dxfId="20" priority="14" stopIfTrue="1">
      <formula>VLOOKUP(K49,Jumpers,7)&lt;18</formula>
    </cfRule>
  </conditionalFormatting>
  <conditionalFormatting sqref="D46">
    <cfRule type="expression" dxfId="19" priority="10" stopIfTrue="1">
      <formula>VLOOKUP(D46,Jumpers,8)&lt;&gt;C46</formula>
    </cfRule>
  </conditionalFormatting>
  <conditionalFormatting sqref="D46">
    <cfRule type="expression" dxfId="18" priority="9" stopIfTrue="1">
      <formula>VLOOKUP(D46,Jumpers,5)&lt;&gt;LEFT($A$1,1)</formula>
    </cfRule>
  </conditionalFormatting>
  <conditionalFormatting sqref="D47">
    <cfRule type="expression" dxfId="17" priority="8" stopIfTrue="1">
      <formula>VLOOKUP(D47,Jumpers,8)&lt;&gt;C47</formula>
    </cfRule>
  </conditionalFormatting>
  <conditionalFormatting sqref="D47">
    <cfRule type="expression" dxfId="16" priority="7" stopIfTrue="1">
      <formula>VLOOKUP(D47,Jumpers,5)&lt;&gt;LEFT($A$1,1)</formula>
    </cfRule>
  </conditionalFormatting>
  <conditionalFormatting sqref="D48">
    <cfRule type="expression" dxfId="15" priority="6" stopIfTrue="1">
      <formula>VLOOKUP(D48,Jumpers,8)&lt;&gt;C48</formula>
    </cfRule>
  </conditionalFormatting>
  <conditionalFormatting sqref="D48">
    <cfRule type="expression" dxfId="14" priority="5" stopIfTrue="1">
      <formula>VLOOKUP(D48,Jumpers,5)&lt;&gt;LEFT($A$1,1)</formula>
    </cfRule>
  </conditionalFormatting>
  <conditionalFormatting sqref="D49">
    <cfRule type="expression" dxfId="13" priority="4" stopIfTrue="1">
      <formula>VLOOKUP(D49,Jumpers,8)&lt;&gt;C49</formula>
    </cfRule>
  </conditionalFormatting>
  <conditionalFormatting sqref="D49">
    <cfRule type="expression" dxfId="12" priority="3" stopIfTrue="1">
      <formula>VLOOKUP(D49,Jumpers,5)&lt;&gt;LEFT($A$1,1)</formula>
    </cfRule>
  </conditionalFormatting>
  <conditionalFormatting sqref="D5:D24">
    <cfRule type="expression" dxfId="11" priority="24" stopIfTrue="1">
      <formula>OR(CODE(D5)&lt;48,CODE(D5)&gt;57)</formula>
    </cfRule>
    <cfRule type="expression" dxfId="10" priority="25" stopIfTrue="1">
      <formula>OR(VLOOKUP(D5,Jumpers,7)&gt;18,VLOOKUP(D5,Jumpers,7)&lt;15)</formula>
    </cfRule>
    <cfRule type="expression" dxfId="9" priority="75" stopIfTrue="1">
      <formula>VLOOKUP(D5,Jumpers,5)&lt;&gt;LEFT($A$1,1)</formula>
    </cfRule>
  </conditionalFormatting>
  <conditionalFormatting sqref="K5:K24">
    <cfRule type="expression" dxfId="8" priority="23" stopIfTrue="1">
      <formula>OR(CODE(K5)&lt;48,CODE(K5)&gt;57)</formula>
    </cfRule>
    <cfRule type="expression" dxfId="7" priority="49" stopIfTrue="1">
      <formula>VLOOKUP(K5,Jumpers,5)&lt;&gt;LEFT($A$1,1)</formula>
    </cfRule>
    <cfRule type="expression" dxfId="0" priority="50" stopIfTrue="1">
      <formula>VLOOKUP(K5,Jumpers,7)&lt;19</formula>
    </cfRule>
  </conditionalFormatting>
  <conditionalFormatting sqref="D30:D49">
    <cfRule type="expression" dxfId="6" priority="1" stopIfTrue="1">
      <formula>OR(CODE(D30)&lt;48,CODE(D30)&gt;57)</formula>
    </cfRule>
    <cfRule type="expression" dxfId="5" priority="2" stopIfTrue="1">
      <formula>OR(VLOOKUP(D30,Jumpers,7)&gt;18,VLOOKUP(D30,Jumpers,7)&lt;15)</formula>
    </cfRule>
    <cfRule type="expression" dxfId="4" priority="11" stopIfTrue="1">
      <formula>VLOOKUP(D30,Jumpers,5)&lt;&gt;LEFT($A$26,1)</formula>
    </cfRule>
  </conditionalFormatting>
  <conditionalFormatting sqref="K30:K49">
    <cfRule type="expression" dxfId="3" priority="12" stopIfTrue="1">
      <formula>OR(CODE(K30)&lt;48,CODE(K30)&gt;57)</formula>
    </cfRule>
    <cfRule type="expression" dxfId="2" priority="21" stopIfTrue="1">
      <formula>VLOOKUP(K30,Jumpers,5)&lt;&gt;LEFT($A$26,1)</formula>
    </cfRule>
    <cfRule type="expression" dxfId="1" priority="22" stopIfTrue="1">
      <formula>VLOOKUP(K30,Jumpers,7)&lt;19</formula>
    </cfRule>
  </conditionalFormatting>
  <pageMargins left="0.25" right="0.25" top="0.75" bottom="0.75" header="0.3" footer="0.3"/>
  <pageSetup scale="86" orientation="portrait" horizontalDpi="180" verticalDpi="180"/>
  <headerFooter>
    <oddHeader>&amp;LUSAJR Regional Tournament&amp;R&amp;A</oddHeader>
    <oddFooter>&amp;RPage &amp;P of &amp;N</oddFooter>
  </headerFooter>
  <customProperties>
    <customPr name="DVSECTIONID" r:id="rId1"/>
  </customProperties>
  <extLst>
    <ext xmlns:mx="http://schemas.microsoft.com/office/mac/excel/2008/main" uri="{64002731-A6B0-56B0-2670-7721B7C09600}">
      <mx:PLV Mode="0" OnePage="0" WScale="83"/>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G172"/>
  <sheetViews>
    <sheetView workbookViewId="0">
      <selection activeCell="D6" sqref="D6"/>
    </sheetView>
  </sheetViews>
  <sheetFormatPr defaultColWidth="8.85546875" defaultRowHeight="15" x14ac:dyDescent="0.25"/>
  <cols>
    <col min="1" max="1" width="4" style="37" customWidth="1"/>
    <col min="2" max="2" width="4.7109375" style="37" bestFit="1" customWidth="1"/>
    <col min="3" max="3" width="7.140625" style="37" bestFit="1" customWidth="1"/>
    <col min="4" max="4" width="8.28515625" style="37" bestFit="1" customWidth="1"/>
    <col min="5" max="5" width="25.7109375" style="37" customWidth="1"/>
    <col min="6" max="6" width="8.28515625" style="37" bestFit="1" customWidth="1"/>
    <col min="7" max="7" width="25.7109375" style="37" customWidth="1"/>
    <col min="8" max="16384" width="8.85546875" style="37"/>
  </cols>
  <sheetData>
    <row r="1" spans="1:7" ht="18.75" x14ac:dyDescent="0.3">
      <c r="A1" s="56" t="s">
        <v>105</v>
      </c>
      <c r="G1" s="43" t="str">
        <f>CONCATENATE("Team: ",'Team Info'!$B$3)</f>
        <v xml:space="preserve">Team: </v>
      </c>
    </row>
    <row r="2" spans="1:7" x14ac:dyDescent="0.25">
      <c r="A2" s="170" t="s">
        <v>135</v>
      </c>
      <c r="B2" s="170"/>
      <c r="C2" s="170"/>
      <c r="D2" s="170"/>
      <c r="E2" s="170"/>
      <c r="F2" s="170"/>
      <c r="G2" s="170"/>
    </row>
    <row r="3" spans="1:7" x14ac:dyDescent="0.25">
      <c r="A3" s="170" t="s">
        <v>136</v>
      </c>
      <c r="B3" s="170"/>
      <c r="C3" s="170"/>
      <c r="D3" s="170"/>
      <c r="E3" s="170"/>
      <c r="F3" s="170"/>
      <c r="G3" s="170"/>
    </row>
    <row r="4" spans="1:7" x14ac:dyDescent="0.25">
      <c r="A4" s="38" t="s">
        <v>9</v>
      </c>
      <c r="B4" s="54"/>
      <c r="C4" s="54"/>
      <c r="D4" s="38"/>
      <c r="E4" s="38"/>
      <c r="F4" s="38"/>
      <c r="G4" s="38"/>
    </row>
    <row r="5" spans="1:7" ht="23.25" x14ac:dyDescent="0.25">
      <c r="A5" s="62" t="s">
        <v>104</v>
      </c>
      <c r="B5" s="39" t="s">
        <v>55</v>
      </c>
      <c r="C5" s="39" t="s">
        <v>56</v>
      </c>
      <c r="D5" s="55" t="s">
        <v>8</v>
      </c>
      <c r="E5" s="39" t="s">
        <v>81</v>
      </c>
      <c r="F5" s="55" t="s">
        <v>8</v>
      </c>
      <c r="G5" s="39" t="s">
        <v>81</v>
      </c>
    </row>
    <row r="6" spans="1:7" x14ac:dyDescent="0.25">
      <c r="A6" s="52">
        <v>1</v>
      </c>
      <c r="B6" s="63" t="s">
        <v>106</v>
      </c>
      <c r="C6" s="90" t="s">
        <v>44</v>
      </c>
      <c r="D6" s="36"/>
      <c r="E6" s="23" t="str">
        <f t="shared" ref="E6:E21" si="0">IF(D6&gt;0,VLOOKUP(D6,Jumpers,3)&amp;", "&amp;VLOOKUP(D6,Jumpers,2)&amp;" ("&amp;VLOOKUP(D6,Jumpers,7)&amp;")","")</f>
        <v/>
      </c>
      <c r="F6" s="36"/>
      <c r="G6" s="23" t="str">
        <f t="shared" ref="G6:G21" si="1">IF(F6&gt;0,VLOOKUP(F6,Jumpers,3)&amp;", "&amp;VLOOKUP(F6,Jumpers,2)&amp;" ("&amp;VLOOKUP(F6,Jumpers,7)&amp;")","")</f>
        <v/>
      </c>
    </row>
    <row r="7" spans="1:7" x14ac:dyDescent="0.25">
      <c r="A7" s="52">
        <v>2</v>
      </c>
      <c r="B7" s="63" t="s">
        <v>106</v>
      </c>
      <c r="C7" s="90" t="s">
        <v>44</v>
      </c>
      <c r="D7" s="36"/>
      <c r="E7" s="23" t="str">
        <f t="shared" si="0"/>
        <v/>
      </c>
      <c r="F7" s="36"/>
      <c r="G7" s="23" t="str">
        <f t="shared" si="1"/>
        <v/>
      </c>
    </row>
    <row r="8" spans="1:7" x14ac:dyDescent="0.25">
      <c r="A8" s="52">
        <v>3</v>
      </c>
      <c r="B8" s="63" t="s">
        <v>106</v>
      </c>
      <c r="C8" s="90" t="s">
        <v>44</v>
      </c>
      <c r="D8" s="36"/>
      <c r="E8" s="23" t="str">
        <f t="shared" si="0"/>
        <v/>
      </c>
      <c r="F8" s="36"/>
      <c r="G8" s="23" t="str">
        <f t="shared" si="1"/>
        <v/>
      </c>
    </row>
    <row r="9" spans="1:7" x14ac:dyDescent="0.25">
      <c r="A9" s="52">
        <v>4</v>
      </c>
      <c r="B9" s="63" t="s">
        <v>106</v>
      </c>
      <c r="C9" s="90" t="s">
        <v>44</v>
      </c>
      <c r="D9" s="36"/>
      <c r="E9" s="23" t="str">
        <f t="shared" si="0"/>
        <v/>
      </c>
      <c r="F9" s="36"/>
      <c r="G9" s="23" t="str">
        <f t="shared" si="1"/>
        <v/>
      </c>
    </row>
    <row r="10" spans="1:7" x14ac:dyDescent="0.25">
      <c r="A10" s="52">
        <v>5</v>
      </c>
      <c r="B10" s="63" t="s">
        <v>106</v>
      </c>
      <c r="C10" s="90" t="s">
        <v>44</v>
      </c>
      <c r="D10" s="36"/>
      <c r="E10" s="23" t="str">
        <f t="shared" si="0"/>
        <v/>
      </c>
      <c r="F10" s="36"/>
      <c r="G10" s="23" t="str">
        <f t="shared" si="1"/>
        <v/>
      </c>
    </row>
    <row r="11" spans="1:7" x14ac:dyDescent="0.25">
      <c r="A11" s="52">
        <v>6</v>
      </c>
      <c r="B11" s="63" t="s">
        <v>106</v>
      </c>
      <c r="C11" s="90" t="s">
        <v>44</v>
      </c>
      <c r="D11" s="36"/>
      <c r="E11" s="23" t="str">
        <f t="shared" si="0"/>
        <v/>
      </c>
      <c r="F11" s="36"/>
      <c r="G11" s="23" t="str">
        <f t="shared" si="1"/>
        <v/>
      </c>
    </row>
    <row r="12" spans="1:7" x14ac:dyDescent="0.25">
      <c r="A12" s="52">
        <v>7</v>
      </c>
      <c r="B12" s="63" t="s">
        <v>106</v>
      </c>
      <c r="C12" s="90" t="s">
        <v>44</v>
      </c>
      <c r="D12" s="36"/>
      <c r="E12" s="23" t="str">
        <f t="shared" si="0"/>
        <v/>
      </c>
      <c r="F12" s="36"/>
      <c r="G12" s="23" t="str">
        <f t="shared" si="1"/>
        <v/>
      </c>
    </row>
    <row r="13" spans="1:7" x14ac:dyDescent="0.25">
      <c r="A13" s="52">
        <v>8</v>
      </c>
      <c r="B13" s="63" t="s">
        <v>106</v>
      </c>
      <c r="C13" s="90" t="s">
        <v>44</v>
      </c>
      <c r="D13" s="36"/>
      <c r="E13" s="23" t="str">
        <f t="shared" si="0"/>
        <v/>
      </c>
      <c r="F13" s="36"/>
      <c r="G13" s="23" t="str">
        <f t="shared" si="1"/>
        <v/>
      </c>
    </row>
    <row r="14" spans="1:7" x14ac:dyDescent="0.25">
      <c r="A14" s="52">
        <v>9</v>
      </c>
      <c r="B14" s="63" t="s">
        <v>106</v>
      </c>
      <c r="C14" s="90" t="s">
        <v>44</v>
      </c>
      <c r="D14" s="36"/>
      <c r="E14" s="23" t="str">
        <f t="shared" si="0"/>
        <v/>
      </c>
      <c r="F14" s="36"/>
      <c r="G14" s="23" t="str">
        <f t="shared" si="1"/>
        <v/>
      </c>
    </row>
    <row r="15" spans="1:7" x14ac:dyDescent="0.25">
      <c r="A15" s="52">
        <v>10</v>
      </c>
      <c r="B15" s="63" t="s">
        <v>106</v>
      </c>
      <c r="C15" s="90" t="s">
        <v>44</v>
      </c>
      <c r="D15" s="36"/>
      <c r="E15" s="23" t="str">
        <f t="shared" si="0"/>
        <v/>
      </c>
      <c r="F15" s="36"/>
      <c r="G15" s="23" t="str">
        <f t="shared" si="1"/>
        <v/>
      </c>
    </row>
    <row r="16" spans="1:7" x14ac:dyDescent="0.25">
      <c r="A16" s="52">
        <v>11</v>
      </c>
      <c r="B16" s="63" t="s">
        <v>106</v>
      </c>
      <c r="C16" s="90" t="s">
        <v>44</v>
      </c>
      <c r="D16" s="36"/>
      <c r="E16" s="23" t="str">
        <f t="shared" si="0"/>
        <v/>
      </c>
      <c r="F16" s="36"/>
      <c r="G16" s="23" t="str">
        <f t="shared" si="1"/>
        <v/>
      </c>
    </row>
    <row r="17" spans="1:7" x14ac:dyDescent="0.25">
      <c r="A17" s="52">
        <v>12</v>
      </c>
      <c r="B17" s="63" t="s">
        <v>106</v>
      </c>
      <c r="C17" s="90" t="s">
        <v>44</v>
      </c>
      <c r="D17" s="36"/>
      <c r="E17" s="23" t="str">
        <f t="shared" si="0"/>
        <v/>
      </c>
      <c r="F17" s="36"/>
      <c r="G17" s="23" t="str">
        <f t="shared" si="1"/>
        <v/>
      </c>
    </row>
    <row r="18" spans="1:7" x14ac:dyDescent="0.25">
      <c r="A18" s="52">
        <v>13</v>
      </c>
      <c r="B18" s="63" t="s">
        <v>106</v>
      </c>
      <c r="C18" s="90" t="s">
        <v>44</v>
      </c>
      <c r="D18" s="36"/>
      <c r="E18" s="23" t="str">
        <f t="shared" si="0"/>
        <v/>
      </c>
      <c r="F18" s="36"/>
      <c r="G18" s="23" t="str">
        <f t="shared" si="1"/>
        <v/>
      </c>
    </row>
    <row r="19" spans="1:7" x14ac:dyDescent="0.25">
      <c r="A19" s="52">
        <v>14</v>
      </c>
      <c r="B19" s="63" t="s">
        <v>106</v>
      </c>
      <c r="C19" s="90" t="s">
        <v>44</v>
      </c>
      <c r="D19" s="36"/>
      <c r="E19" s="23" t="str">
        <f t="shared" si="0"/>
        <v/>
      </c>
      <c r="F19" s="36"/>
      <c r="G19" s="23" t="str">
        <f t="shared" si="1"/>
        <v/>
      </c>
    </row>
    <row r="20" spans="1:7" x14ac:dyDescent="0.25">
      <c r="A20" s="52">
        <v>15</v>
      </c>
      <c r="B20" s="63" t="s">
        <v>106</v>
      </c>
      <c r="C20" s="90" t="s">
        <v>44</v>
      </c>
      <c r="D20" s="36"/>
      <c r="E20" s="23" t="str">
        <f t="shared" si="0"/>
        <v/>
      </c>
      <c r="F20" s="36"/>
      <c r="G20" s="23" t="str">
        <f t="shared" si="1"/>
        <v/>
      </c>
    </row>
    <row r="21" spans="1:7" x14ac:dyDescent="0.25">
      <c r="A21" s="52">
        <v>16</v>
      </c>
      <c r="B21" s="63" t="s">
        <v>106</v>
      </c>
      <c r="C21" s="90" t="s">
        <v>44</v>
      </c>
      <c r="D21" s="36"/>
      <c r="E21" s="23" t="str">
        <f t="shared" si="0"/>
        <v/>
      </c>
      <c r="F21" s="36"/>
      <c r="G21" s="23" t="str">
        <f t="shared" si="1"/>
        <v/>
      </c>
    </row>
    <row r="22" spans="1:7" x14ac:dyDescent="0.25">
      <c r="A22" s="52">
        <v>17</v>
      </c>
      <c r="B22" s="63" t="s">
        <v>106</v>
      </c>
      <c r="C22" s="90" t="s">
        <v>44</v>
      </c>
      <c r="D22" s="36"/>
      <c r="E22" s="23" t="str">
        <f t="shared" ref="E22:E25" si="2">IF(D22&gt;0,VLOOKUP(D22,Jumpers,3)&amp;", "&amp;VLOOKUP(D22,Jumpers,2)&amp;" ("&amp;VLOOKUP(D22,Jumpers,7)&amp;")","")</f>
        <v/>
      </c>
      <c r="F22" s="36"/>
      <c r="G22" s="23" t="str">
        <f t="shared" ref="G22:G25" si="3">IF(F22&gt;0,VLOOKUP(F22,Jumpers,3)&amp;", "&amp;VLOOKUP(F22,Jumpers,2)&amp;" ("&amp;VLOOKUP(F22,Jumpers,7)&amp;")","")</f>
        <v/>
      </c>
    </row>
    <row r="23" spans="1:7" x14ac:dyDescent="0.25">
      <c r="A23" s="52">
        <v>18</v>
      </c>
      <c r="B23" s="63" t="s">
        <v>106</v>
      </c>
      <c r="C23" s="90" t="s">
        <v>44</v>
      </c>
      <c r="D23" s="36"/>
      <c r="E23" s="23" t="str">
        <f t="shared" si="2"/>
        <v/>
      </c>
      <c r="F23" s="36"/>
      <c r="G23" s="23" t="str">
        <f t="shared" si="3"/>
        <v/>
      </c>
    </row>
    <row r="24" spans="1:7" x14ac:dyDescent="0.25">
      <c r="A24" s="52">
        <v>19</v>
      </c>
      <c r="B24" s="63" t="s">
        <v>106</v>
      </c>
      <c r="C24" s="90" t="s">
        <v>44</v>
      </c>
      <c r="D24" s="36"/>
      <c r="E24" s="23" t="str">
        <f t="shared" si="2"/>
        <v/>
      </c>
      <c r="F24" s="36"/>
      <c r="G24" s="23" t="str">
        <f t="shared" si="3"/>
        <v/>
      </c>
    </row>
    <row r="25" spans="1:7" x14ac:dyDescent="0.25">
      <c r="A25" s="52">
        <v>20</v>
      </c>
      <c r="B25" s="63" t="s">
        <v>106</v>
      </c>
      <c r="C25" s="90" t="s">
        <v>44</v>
      </c>
      <c r="D25" s="36"/>
      <c r="E25" s="23" t="str">
        <f t="shared" si="2"/>
        <v/>
      </c>
      <c r="F25" s="36"/>
      <c r="G25" s="23" t="str">
        <f t="shared" si="3"/>
        <v/>
      </c>
    </row>
    <row r="26" spans="1:7" x14ac:dyDescent="0.25">
      <c r="A26" s="57"/>
    </row>
    <row r="27" spans="1:7" x14ac:dyDescent="0.25">
      <c r="A27" s="38" t="s">
        <v>161</v>
      </c>
      <c r="B27" s="54"/>
      <c r="C27" s="54"/>
      <c r="D27" s="38"/>
      <c r="E27" s="38"/>
      <c r="F27" s="38"/>
      <c r="G27" s="38"/>
    </row>
    <row r="28" spans="1:7" ht="23.25" x14ac:dyDescent="0.25">
      <c r="A28" s="62" t="s">
        <v>104</v>
      </c>
      <c r="B28" s="39" t="s">
        <v>55</v>
      </c>
      <c r="C28" s="39" t="s">
        <v>56</v>
      </c>
      <c r="D28" s="55" t="s">
        <v>8</v>
      </c>
      <c r="E28" s="39" t="s">
        <v>81</v>
      </c>
      <c r="F28" s="55" t="s">
        <v>8</v>
      </c>
      <c r="G28" s="39" t="s">
        <v>81</v>
      </c>
    </row>
    <row r="29" spans="1:7" x14ac:dyDescent="0.25">
      <c r="A29" s="52">
        <v>1</v>
      </c>
      <c r="B29" s="63" t="s">
        <v>106</v>
      </c>
      <c r="C29" s="94" t="s">
        <v>45</v>
      </c>
      <c r="D29" s="36"/>
      <c r="E29" s="23" t="str">
        <f t="shared" ref="E29:E36" si="4">IF(D29&gt;0,VLOOKUP(D29,Jumpers,3)&amp;", "&amp;VLOOKUP(D29,Jumpers,2)&amp;" ("&amp;VLOOKUP(D29,Jumpers,7)&amp;")","")</f>
        <v/>
      </c>
      <c r="F29" s="36"/>
      <c r="G29" s="23" t="str">
        <f t="shared" ref="G29:G36" si="5">IF(F29&gt;0,VLOOKUP(F29,Jumpers,3)&amp;", "&amp;VLOOKUP(F29,Jumpers,2)&amp;" ("&amp;VLOOKUP(F29,Jumpers,7)&amp;")","")</f>
        <v/>
      </c>
    </row>
    <row r="30" spans="1:7" x14ac:dyDescent="0.25">
      <c r="A30" s="52">
        <v>2</v>
      </c>
      <c r="B30" s="63" t="s">
        <v>106</v>
      </c>
      <c r="C30" s="94" t="s">
        <v>45</v>
      </c>
      <c r="D30" s="36"/>
      <c r="E30" s="23" t="str">
        <f t="shared" si="4"/>
        <v/>
      </c>
      <c r="F30" s="36"/>
      <c r="G30" s="23" t="str">
        <f t="shared" si="5"/>
        <v/>
      </c>
    </row>
    <row r="31" spans="1:7" x14ac:dyDescent="0.25">
      <c r="A31" s="52">
        <v>3</v>
      </c>
      <c r="B31" s="63" t="s">
        <v>106</v>
      </c>
      <c r="C31" s="94" t="s">
        <v>45</v>
      </c>
      <c r="D31" s="36"/>
      <c r="E31" s="23" t="str">
        <f t="shared" si="4"/>
        <v/>
      </c>
      <c r="F31" s="36"/>
      <c r="G31" s="23" t="str">
        <f t="shared" si="5"/>
        <v/>
      </c>
    </row>
    <row r="32" spans="1:7" x14ac:dyDescent="0.25">
      <c r="A32" s="52">
        <v>4</v>
      </c>
      <c r="B32" s="63" t="s">
        <v>106</v>
      </c>
      <c r="C32" s="94" t="s">
        <v>45</v>
      </c>
      <c r="D32" s="36"/>
      <c r="E32" s="23" t="str">
        <f t="shared" si="4"/>
        <v/>
      </c>
      <c r="F32" s="36"/>
      <c r="G32" s="23" t="str">
        <f t="shared" si="5"/>
        <v/>
      </c>
    </row>
    <row r="33" spans="1:7" x14ac:dyDescent="0.25">
      <c r="A33" s="52">
        <v>5</v>
      </c>
      <c r="B33" s="63" t="s">
        <v>106</v>
      </c>
      <c r="C33" s="94" t="s">
        <v>45</v>
      </c>
      <c r="D33" s="36"/>
      <c r="E33" s="23" t="str">
        <f t="shared" si="4"/>
        <v/>
      </c>
      <c r="F33" s="36"/>
      <c r="G33" s="23" t="str">
        <f t="shared" si="5"/>
        <v/>
      </c>
    </row>
    <row r="34" spans="1:7" x14ac:dyDescent="0.25">
      <c r="A34" s="52">
        <v>6</v>
      </c>
      <c r="B34" s="63" t="s">
        <v>106</v>
      </c>
      <c r="C34" s="94" t="s">
        <v>45</v>
      </c>
      <c r="D34" s="36"/>
      <c r="E34" s="23" t="str">
        <f t="shared" si="4"/>
        <v/>
      </c>
      <c r="F34" s="36"/>
      <c r="G34" s="23" t="str">
        <f t="shared" si="5"/>
        <v/>
      </c>
    </row>
    <row r="35" spans="1:7" x14ac:dyDescent="0.25">
      <c r="A35" s="52">
        <v>7</v>
      </c>
      <c r="B35" s="63" t="s">
        <v>106</v>
      </c>
      <c r="C35" s="94" t="s">
        <v>45</v>
      </c>
      <c r="D35" s="36"/>
      <c r="E35" s="23" t="str">
        <f t="shared" si="4"/>
        <v/>
      </c>
      <c r="F35" s="36"/>
      <c r="G35" s="23" t="str">
        <f t="shared" si="5"/>
        <v/>
      </c>
    </row>
    <row r="36" spans="1:7" x14ac:dyDescent="0.25">
      <c r="A36" s="52">
        <v>8</v>
      </c>
      <c r="B36" s="63" t="s">
        <v>106</v>
      </c>
      <c r="C36" s="94" t="s">
        <v>45</v>
      </c>
      <c r="D36" s="36"/>
      <c r="E36" s="23" t="str">
        <f t="shared" si="4"/>
        <v/>
      </c>
      <c r="F36" s="36"/>
      <c r="G36" s="23" t="str">
        <f t="shared" si="5"/>
        <v/>
      </c>
    </row>
    <row r="37" spans="1:7" x14ac:dyDescent="0.25">
      <c r="A37" s="52">
        <v>9</v>
      </c>
      <c r="B37" s="63" t="s">
        <v>106</v>
      </c>
      <c r="C37" s="94" t="s">
        <v>45</v>
      </c>
      <c r="D37" s="36"/>
      <c r="E37" s="23" t="str">
        <f t="shared" ref="E37:E44" si="6">IF(D37&gt;0,VLOOKUP(D37,Jumpers,3)&amp;", "&amp;VLOOKUP(D37,Jumpers,2)&amp;" ("&amp;VLOOKUP(D37,Jumpers,7)&amp;")","")</f>
        <v/>
      </c>
      <c r="F37" s="36"/>
      <c r="G37" s="23" t="str">
        <f t="shared" ref="G37:G44" si="7">IF(F37&gt;0,VLOOKUP(F37,Jumpers,3)&amp;", "&amp;VLOOKUP(F37,Jumpers,2)&amp;" ("&amp;VLOOKUP(F37,Jumpers,7)&amp;")","")</f>
        <v/>
      </c>
    </row>
    <row r="38" spans="1:7" x14ac:dyDescent="0.25">
      <c r="A38" s="52">
        <v>10</v>
      </c>
      <c r="B38" s="63" t="s">
        <v>106</v>
      </c>
      <c r="C38" s="94" t="s">
        <v>45</v>
      </c>
      <c r="D38" s="36"/>
      <c r="E38" s="23" t="str">
        <f t="shared" si="6"/>
        <v/>
      </c>
      <c r="F38" s="36"/>
      <c r="G38" s="23" t="str">
        <f t="shared" si="7"/>
        <v/>
      </c>
    </row>
    <row r="39" spans="1:7" x14ac:dyDescent="0.25">
      <c r="A39" s="52">
        <v>11</v>
      </c>
      <c r="B39" s="63" t="s">
        <v>106</v>
      </c>
      <c r="C39" s="94" t="s">
        <v>45</v>
      </c>
      <c r="D39" s="36"/>
      <c r="E39" s="23" t="str">
        <f t="shared" si="6"/>
        <v/>
      </c>
      <c r="F39" s="36"/>
      <c r="G39" s="23" t="str">
        <f t="shared" si="7"/>
        <v/>
      </c>
    </row>
    <row r="40" spans="1:7" x14ac:dyDescent="0.25">
      <c r="A40" s="52">
        <v>12</v>
      </c>
      <c r="B40" s="63" t="s">
        <v>106</v>
      </c>
      <c r="C40" s="94" t="s">
        <v>45</v>
      </c>
      <c r="D40" s="36"/>
      <c r="E40" s="23" t="str">
        <f t="shared" si="6"/>
        <v/>
      </c>
      <c r="F40" s="36"/>
      <c r="G40" s="23" t="str">
        <f t="shared" si="7"/>
        <v/>
      </c>
    </row>
    <row r="41" spans="1:7" x14ac:dyDescent="0.25">
      <c r="A41" s="52">
        <v>13</v>
      </c>
      <c r="B41" s="63" t="s">
        <v>106</v>
      </c>
      <c r="C41" s="94" t="s">
        <v>45</v>
      </c>
      <c r="D41" s="36"/>
      <c r="E41" s="23" t="str">
        <f t="shared" si="6"/>
        <v/>
      </c>
      <c r="F41" s="36"/>
      <c r="G41" s="23" t="str">
        <f t="shared" si="7"/>
        <v/>
      </c>
    </row>
    <row r="42" spans="1:7" x14ac:dyDescent="0.25">
      <c r="A42" s="52">
        <v>14</v>
      </c>
      <c r="B42" s="63" t="s">
        <v>106</v>
      </c>
      <c r="C42" s="94" t="s">
        <v>45</v>
      </c>
      <c r="D42" s="36"/>
      <c r="E42" s="23" t="str">
        <f t="shared" si="6"/>
        <v/>
      </c>
      <c r="F42" s="36"/>
      <c r="G42" s="23" t="str">
        <f t="shared" si="7"/>
        <v/>
      </c>
    </row>
    <row r="43" spans="1:7" x14ac:dyDescent="0.25">
      <c r="A43" s="52">
        <v>15</v>
      </c>
      <c r="B43" s="63" t="s">
        <v>106</v>
      </c>
      <c r="C43" s="94" t="s">
        <v>45</v>
      </c>
      <c r="D43" s="36"/>
      <c r="E43" s="23" t="str">
        <f t="shared" si="6"/>
        <v/>
      </c>
      <c r="F43" s="36"/>
      <c r="G43" s="23" t="str">
        <f t="shared" si="7"/>
        <v/>
      </c>
    </row>
    <row r="44" spans="1:7" x14ac:dyDescent="0.25">
      <c r="A44" s="52">
        <v>16</v>
      </c>
      <c r="B44" s="63" t="s">
        <v>106</v>
      </c>
      <c r="C44" s="94" t="s">
        <v>45</v>
      </c>
      <c r="D44" s="36"/>
      <c r="E44" s="23" t="str">
        <f t="shared" si="6"/>
        <v/>
      </c>
      <c r="F44" s="36"/>
      <c r="G44" s="23" t="str">
        <f t="shared" si="7"/>
        <v/>
      </c>
    </row>
    <row r="45" spans="1:7" x14ac:dyDescent="0.25">
      <c r="A45" s="52">
        <v>17</v>
      </c>
      <c r="B45" s="63" t="s">
        <v>106</v>
      </c>
      <c r="C45" s="94" t="s">
        <v>45</v>
      </c>
      <c r="D45" s="36"/>
      <c r="E45" s="23" t="str">
        <f t="shared" ref="E45:E48" si="8">IF(D45&gt;0,VLOOKUP(D45,Jumpers,3)&amp;", "&amp;VLOOKUP(D45,Jumpers,2)&amp;" ("&amp;VLOOKUP(D45,Jumpers,7)&amp;")","")</f>
        <v/>
      </c>
      <c r="F45" s="36"/>
      <c r="G45" s="23" t="str">
        <f t="shared" ref="G45:G48" si="9">IF(F45&gt;0,VLOOKUP(F45,Jumpers,3)&amp;", "&amp;VLOOKUP(F45,Jumpers,2)&amp;" ("&amp;VLOOKUP(F45,Jumpers,7)&amp;")","")</f>
        <v/>
      </c>
    </row>
    <row r="46" spans="1:7" x14ac:dyDescent="0.25">
      <c r="A46" s="52">
        <v>18</v>
      </c>
      <c r="B46" s="63" t="s">
        <v>106</v>
      </c>
      <c r="C46" s="94" t="s">
        <v>45</v>
      </c>
      <c r="D46" s="36"/>
      <c r="E46" s="23" t="str">
        <f t="shared" si="8"/>
        <v/>
      </c>
      <c r="F46" s="36"/>
      <c r="G46" s="23" t="str">
        <f t="shared" si="9"/>
        <v/>
      </c>
    </row>
    <row r="47" spans="1:7" x14ac:dyDescent="0.25">
      <c r="A47" s="52">
        <v>19</v>
      </c>
      <c r="B47" s="63" t="s">
        <v>106</v>
      </c>
      <c r="C47" s="94" t="s">
        <v>45</v>
      </c>
      <c r="D47" s="36"/>
      <c r="E47" s="23" t="str">
        <f t="shared" si="8"/>
        <v/>
      </c>
      <c r="F47" s="36"/>
      <c r="G47" s="23" t="str">
        <f t="shared" si="9"/>
        <v/>
      </c>
    </row>
    <row r="48" spans="1:7" x14ac:dyDescent="0.25">
      <c r="A48" s="52">
        <v>20</v>
      </c>
      <c r="B48" s="63" t="s">
        <v>106</v>
      </c>
      <c r="C48" s="94" t="s">
        <v>45</v>
      </c>
      <c r="D48" s="36"/>
      <c r="E48" s="23" t="str">
        <f t="shared" si="8"/>
        <v/>
      </c>
      <c r="F48" s="36"/>
      <c r="G48" s="23" t="str">
        <f t="shared" si="9"/>
        <v/>
      </c>
    </row>
    <row r="50" spans="1:7" x14ac:dyDescent="0.25">
      <c r="A50" s="38" t="s">
        <v>108</v>
      </c>
      <c r="B50" s="54"/>
      <c r="C50" s="54"/>
      <c r="D50" s="38"/>
      <c r="E50" s="38"/>
      <c r="F50" s="38"/>
      <c r="G50" s="38"/>
    </row>
    <row r="51" spans="1:7" ht="23.25" x14ac:dyDescent="0.25">
      <c r="A51" s="62" t="s">
        <v>104</v>
      </c>
      <c r="B51" s="39" t="s">
        <v>55</v>
      </c>
      <c r="C51" s="39" t="s">
        <v>56</v>
      </c>
      <c r="D51" s="55" t="s">
        <v>8</v>
      </c>
      <c r="E51" s="39" t="s">
        <v>81</v>
      </c>
      <c r="F51" s="55" t="s">
        <v>8</v>
      </c>
      <c r="G51" s="39" t="s">
        <v>81</v>
      </c>
    </row>
    <row r="52" spans="1:7" x14ac:dyDescent="0.25">
      <c r="A52" s="52">
        <v>1</v>
      </c>
      <c r="B52" s="63" t="s">
        <v>106</v>
      </c>
      <c r="C52" s="63" t="s">
        <v>47</v>
      </c>
      <c r="D52" s="36"/>
      <c r="E52" s="23" t="str">
        <f t="shared" ref="E52:E59" si="10">IF(D52&gt;0,VLOOKUP(D52,Jumpers,3)&amp;", "&amp;VLOOKUP(D52,Jumpers,2)&amp;" ("&amp;VLOOKUP(D52,Jumpers,7)&amp;")","")</f>
        <v/>
      </c>
      <c r="F52" s="36"/>
      <c r="G52" s="23" t="str">
        <f t="shared" ref="G52:G59" si="11">IF(F52&gt;0,VLOOKUP(F52,Jumpers,3)&amp;", "&amp;VLOOKUP(F52,Jumpers,2)&amp;" ("&amp;VLOOKUP(F52,Jumpers,7)&amp;")","")</f>
        <v/>
      </c>
    </row>
    <row r="53" spans="1:7" x14ac:dyDescent="0.25">
      <c r="A53" s="52">
        <v>2</v>
      </c>
      <c r="B53" s="63" t="s">
        <v>106</v>
      </c>
      <c r="C53" s="63" t="s">
        <v>47</v>
      </c>
      <c r="D53" s="36"/>
      <c r="E53" s="23" t="str">
        <f t="shared" si="10"/>
        <v/>
      </c>
      <c r="F53" s="36"/>
      <c r="G53" s="23" t="str">
        <f t="shared" si="11"/>
        <v/>
      </c>
    </row>
    <row r="54" spans="1:7" x14ac:dyDescent="0.25">
      <c r="A54" s="52">
        <v>3</v>
      </c>
      <c r="B54" s="63" t="s">
        <v>106</v>
      </c>
      <c r="C54" s="63" t="s">
        <v>47</v>
      </c>
      <c r="D54" s="36"/>
      <c r="E54" s="23" t="str">
        <f t="shared" si="10"/>
        <v/>
      </c>
      <c r="F54" s="36"/>
      <c r="G54" s="23" t="str">
        <f t="shared" si="11"/>
        <v/>
      </c>
    </row>
    <row r="55" spans="1:7" x14ac:dyDescent="0.25">
      <c r="A55" s="52">
        <v>4</v>
      </c>
      <c r="B55" s="63" t="s">
        <v>106</v>
      </c>
      <c r="C55" s="63" t="s">
        <v>47</v>
      </c>
      <c r="D55" s="36"/>
      <c r="E55" s="23" t="str">
        <f t="shared" si="10"/>
        <v/>
      </c>
      <c r="F55" s="36"/>
      <c r="G55" s="23" t="str">
        <f t="shared" si="11"/>
        <v/>
      </c>
    </row>
    <row r="56" spans="1:7" x14ac:dyDescent="0.25">
      <c r="A56" s="52">
        <v>5</v>
      </c>
      <c r="B56" s="63" t="s">
        <v>106</v>
      </c>
      <c r="C56" s="63" t="s">
        <v>47</v>
      </c>
      <c r="D56" s="36"/>
      <c r="E56" s="23" t="str">
        <f t="shared" si="10"/>
        <v/>
      </c>
      <c r="F56" s="36"/>
      <c r="G56" s="23" t="str">
        <f t="shared" si="11"/>
        <v/>
      </c>
    </row>
    <row r="57" spans="1:7" x14ac:dyDescent="0.25">
      <c r="A57" s="52">
        <v>6</v>
      </c>
      <c r="B57" s="63" t="s">
        <v>106</v>
      </c>
      <c r="C57" s="63" t="s">
        <v>47</v>
      </c>
      <c r="D57" s="36"/>
      <c r="E57" s="23" t="str">
        <f t="shared" si="10"/>
        <v/>
      </c>
      <c r="F57" s="36"/>
      <c r="G57" s="23" t="str">
        <f t="shared" si="11"/>
        <v/>
      </c>
    </row>
    <row r="58" spans="1:7" x14ac:dyDescent="0.25">
      <c r="A58" s="52">
        <v>7</v>
      </c>
      <c r="B58" s="63" t="s">
        <v>106</v>
      </c>
      <c r="C58" s="63" t="s">
        <v>47</v>
      </c>
      <c r="D58" s="36"/>
      <c r="E58" s="23" t="str">
        <f t="shared" si="10"/>
        <v/>
      </c>
      <c r="F58" s="36"/>
      <c r="G58" s="23" t="str">
        <f t="shared" si="11"/>
        <v/>
      </c>
    </row>
    <row r="59" spans="1:7" x14ac:dyDescent="0.25">
      <c r="A59" s="52">
        <v>8</v>
      </c>
      <c r="B59" s="63" t="s">
        <v>106</v>
      </c>
      <c r="C59" s="63" t="s">
        <v>47</v>
      </c>
      <c r="D59" s="36"/>
      <c r="E59" s="23" t="str">
        <f t="shared" si="10"/>
        <v/>
      </c>
      <c r="F59" s="36"/>
      <c r="G59" s="23" t="str">
        <f t="shared" si="11"/>
        <v/>
      </c>
    </row>
    <row r="60" spans="1:7" x14ac:dyDescent="0.25">
      <c r="A60" s="52">
        <v>9</v>
      </c>
      <c r="B60" s="63" t="s">
        <v>106</v>
      </c>
      <c r="C60" s="63" t="s">
        <v>47</v>
      </c>
      <c r="D60" s="36"/>
      <c r="E60" s="23" t="str">
        <f t="shared" ref="E60:E71" si="12">IF(D60&gt;0,VLOOKUP(D60,Jumpers,3)&amp;", "&amp;VLOOKUP(D60,Jumpers,2)&amp;" ("&amp;VLOOKUP(D60,Jumpers,7)&amp;")","")</f>
        <v/>
      </c>
      <c r="F60" s="36"/>
      <c r="G60" s="23" t="str">
        <f t="shared" ref="G60:G71" si="13">IF(F60&gt;0,VLOOKUP(F60,Jumpers,3)&amp;", "&amp;VLOOKUP(F60,Jumpers,2)&amp;" ("&amp;VLOOKUP(F60,Jumpers,7)&amp;")","")</f>
        <v/>
      </c>
    </row>
    <row r="61" spans="1:7" x14ac:dyDescent="0.25">
      <c r="A61" s="52">
        <v>10</v>
      </c>
      <c r="B61" s="63" t="s">
        <v>106</v>
      </c>
      <c r="C61" s="63" t="s">
        <v>47</v>
      </c>
      <c r="D61" s="36"/>
      <c r="E61" s="23" t="str">
        <f t="shared" si="12"/>
        <v/>
      </c>
      <c r="F61" s="36"/>
      <c r="G61" s="23" t="str">
        <f t="shared" si="13"/>
        <v/>
      </c>
    </row>
    <row r="62" spans="1:7" x14ac:dyDescent="0.25">
      <c r="A62" s="52">
        <v>11</v>
      </c>
      <c r="B62" s="63" t="s">
        <v>106</v>
      </c>
      <c r="C62" s="63" t="s">
        <v>47</v>
      </c>
      <c r="D62" s="36"/>
      <c r="E62" s="23" t="str">
        <f t="shared" si="12"/>
        <v/>
      </c>
      <c r="F62" s="36"/>
      <c r="G62" s="23" t="str">
        <f t="shared" si="13"/>
        <v/>
      </c>
    </row>
    <row r="63" spans="1:7" x14ac:dyDescent="0.25">
      <c r="A63" s="52">
        <v>12</v>
      </c>
      <c r="B63" s="63" t="s">
        <v>106</v>
      </c>
      <c r="C63" s="63" t="s">
        <v>47</v>
      </c>
      <c r="D63" s="36"/>
      <c r="E63" s="23" t="str">
        <f t="shared" si="12"/>
        <v/>
      </c>
      <c r="F63" s="36"/>
      <c r="G63" s="23" t="str">
        <f t="shared" si="13"/>
        <v/>
      </c>
    </row>
    <row r="64" spans="1:7" x14ac:dyDescent="0.25">
      <c r="A64" s="52">
        <v>13</v>
      </c>
      <c r="B64" s="63" t="s">
        <v>106</v>
      </c>
      <c r="C64" s="63" t="s">
        <v>47</v>
      </c>
      <c r="D64" s="36"/>
      <c r="E64" s="23" t="str">
        <f t="shared" si="12"/>
        <v/>
      </c>
      <c r="F64" s="36"/>
      <c r="G64" s="23" t="str">
        <f t="shared" si="13"/>
        <v/>
      </c>
    </row>
    <row r="65" spans="1:7" x14ac:dyDescent="0.25">
      <c r="A65" s="52">
        <v>14</v>
      </c>
      <c r="B65" s="63" t="s">
        <v>106</v>
      </c>
      <c r="C65" s="63" t="s">
        <v>47</v>
      </c>
      <c r="D65" s="36"/>
      <c r="E65" s="23" t="str">
        <f t="shared" si="12"/>
        <v/>
      </c>
      <c r="F65" s="36"/>
      <c r="G65" s="23" t="str">
        <f t="shared" si="13"/>
        <v/>
      </c>
    </row>
    <row r="66" spans="1:7" x14ac:dyDescent="0.25">
      <c r="A66" s="52">
        <v>15</v>
      </c>
      <c r="B66" s="63" t="s">
        <v>106</v>
      </c>
      <c r="C66" s="63" t="s">
        <v>47</v>
      </c>
      <c r="D66" s="36"/>
      <c r="E66" s="23" t="str">
        <f t="shared" si="12"/>
        <v/>
      </c>
      <c r="F66" s="36"/>
      <c r="G66" s="23" t="str">
        <f t="shared" si="13"/>
        <v/>
      </c>
    </row>
    <row r="67" spans="1:7" x14ac:dyDescent="0.25">
      <c r="A67" s="52">
        <v>16</v>
      </c>
      <c r="B67" s="63" t="s">
        <v>106</v>
      </c>
      <c r="C67" s="63" t="s">
        <v>47</v>
      </c>
      <c r="D67" s="36"/>
      <c r="E67" s="23" t="str">
        <f t="shared" si="12"/>
        <v/>
      </c>
      <c r="F67" s="36"/>
      <c r="G67" s="23" t="str">
        <f t="shared" si="13"/>
        <v/>
      </c>
    </row>
    <row r="68" spans="1:7" x14ac:dyDescent="0.25">
      <c r="A68" s="52">
        <v>17</v>
      </c>
      <c r="B68" s="63" t="s">
        <v>106</v>
      </c>
      <c r="C68" s="63" t="s">
        <v>47</v>
      </c>
      <c r="D68" s="36"/>
      <c r="E68" s="23" t="str">
        <f t="shared" si="12"/>
        <v/>
      </c>
      <c r="F68" s="36"/>
      <c r="G68" s="23" t="str">
        <f t="shared" si="13"/>
        <v/>
      </c>
    </row>
    <row r="69" spans="1:7" x14ac:dyDescent="0.25">
      <c r="A69" s="52">
        <v>18</v>
      </c>
      <c r="B69" s="63" t="s">
        <v>106</v>
      </c>
      <c r="C69" s="63" t="s">
        <v>47</v>
      </c>
      <c r="D69" s="36"/>
      <c r="E69" s="23" t="str">
        <f t="shared" si="12"/>
        <v/>
      </c>
      <c r="F69" s="36"/>
      <c r="G69" s="23" t="str">
        <f t="shared" si="13"/>
        <v/>
      </c>
    </row>
    <row r="70" spans="1:7" x14ac:dyDescent="0.25">
      <c r="A70" s="52">
        <v>19</v>
      </c>
      <c r="B70" s="63" t="s">
        <v>106</v>
      </c>
      <c r="C70" s="63" t="s">
        <v>47</v>
      </c>
      <c r="D70" s="36"/>
      <c r="E70" s="23" t="str">
        <f t="shared" si="12"/>
        <v/>
      </c>
      <c r="F70" s="36"/>
      <c r="G70" s="23" t="str">
        <f t="shared" si="13"/>
        <v/>
      </c>
    </row>
    <row r="71" spans="1:7" x14ac:dyDescent="0.25">
      <c r="A71" s="52">
        <v>20</v>
      </c>
      <c r="B71" s="63" t="s">
        <v>106</v>
      </c>
      <c r="C71" s="63" t="s">
        <v>47</v>
      </c>
      <c r="D71" s="36"/>
      <c r="E71" s="23" t="str">
        <f t="shared" si="12"/>
        <v/>
      </c>
      <c r="F71" s="36"/>
      <c r="G71" s="23" t="str">
        <f t="shared" si="13"/>
        <v/>
      </c>
    </row>
    <row r="73" spans="1:7" x14ac:dyDescent="0.25">
      <c r="A73" s="38" t="s">
        <v>84</v>
      </c>
      <c r="B73" s="54"/>
      <c r="C73" s="54"/>
      <c r="D73" s="38"/>
      <c r="E73" s="38"/>
      <c r="F73" s="38"/>
      <c r="G73" s="38"/>
    </row>
    <row r="74" spans="1:7" ht="23.25" x14ac:dyDescent="0.25">
      <c r="A74" s="62" t="s">
        <v>104</v>
      </c>
      <c r="B74" s="39" t="s">
        <v>55</v>
      </c>
      <c r="C74" s="39" t="s">
        <v>56</v>
      </c>
      <c r="D74" s="55" t="s">
        <v>8</v>
      </c>
      <c r="E74" s="39" t="s">
        <v>81</v>
      </c>
      <c r="F74" s="55" t="s">
        <v>8</v>
      </c>
      <c r="G74" s="39" t="s">
        <v>81</v>
      </c>
    </row>
    <row r="75" spans="1:7" x14ac:dyDescent="0.25">
      <c r="A75" s="52">
        <v>1</v>
      </c>
      <c r="B75" s="63" t="s">
        <v>106</v>
      </c>
      <c r="C75" s="63" t="s">
        <v>142</v>
      </c>
      <c r="D75" s="36"/>
      <c r="E75" s="23" t="str">
        <f>IF(D75&gt;0,VLOOKUP(D75,Jumpers,3)&amp;", "&amp;VLOOKUP(D75,Jumpers,2)&amp;" ("&amp;VLOOKUP(D75,Jumpers,7)&amp;")","")</f>
        <v/>
      </c>
      <c r="F75" s="36"/>
      <c r="G75" s="23" t="str">
        <f>IF(F75&gt;0,VLOOKUP(F75,Jumpers,3)&amp;", "&amp;VLOOKUP(F75,Jumpers,2)&amp;" ("&amp;VLOOKUP(F75,Jumpers,7)&amp;")","")</f>
        <v/>
      </c>
    </row>
    <row r="76" spans="1:7" x14ac:dyDescent="0.25">
      <c r="A76" s="52">
        <v>2</v>
      </c>
      <c r="B76" s="63" t="s">
        <v>106</v>
      </c>
      <c r="C76" s="63" t="s">
        <v>142</v>
      </c>
      <c r="D76" s="35"/>
      <c r="E76" s="23" t="str">
        <f>IF(D76&gt;0,VLOOKUP(D76,Jumpers,3)&amp;", "&amp;VLOOKUP(D76,Jumpers,2)&amp;" ("&amp;VLOOKUP(D76,Jumpers,7)&amp;")","")</f>
        <v/>
      </c>
      <c r="F76" s="35"/>
      <c r="G76" s="23" t="str">
        <f>IF(F76&gt;0,VLOOKUP(F76,Jumpers,3)&amp;", "&amp;VLOOKUP(F76,Jumpers,2)&amp;" ("&amp;VLOOKUP(F76,Jumpers,7)&amp;")","")</f>
        <v/>
      </c>
    </row>
    <row r="77" spans="1:7" x14ac:dyDescent="0.25">
      <c r="A77" s="52">
        <v>3</v>
      </c>
      <c r="B77" s="63" t="s">
        <v>106</v>
      </c>
      <c r="C77" s="63" t="s">
        <v>142</v>
      </c>
      <c r="D77" s="35"/>
      <c r="E77" s="23" t="str">
        <f>IF(D77&gt;0,VLOOKUP(D77,Jumpers,3)&amp;", "&amp;VLOOKUP(D77,Jumpers,2)&amp;" ("&amp;VLOOKUP(D77,Jumpers,7)&amp;")","")</f>
        <v/>
      </c>
      <c r="F77" s="35"/>
      <c r="G77" s="23" t="str">
        <f>IF(F77&gt;0,VLOOKUP(F77,Jumpers,3)&amp;", "&amp;VLOOKUP(F77,Jumpers,2)&amp;" ("&amp;VLOOKUP(F77,Jumpers,7)&amp;")","")</f>
        <v/>
      </c>
    </row>
    <row r="80" spans="1:7" ht="18.75" x14ac:dyDescent="0.3">
      <c r="A80" s="64" t="str">
        <f>CONCATENATE(A1," - Female Division")</f>
        <v>Single Rope Pairs Freestyle - Female Division</v>
      </c>
      <c r="B80" s="54"/>
      <c r="C80" s="54"/>
      <c r="D80" s="38"/>
      <c r="E80" s="38"/>
      <c r="F80" s="38"/>
      <c r="G80" s="38"/>
    </row>
    <row r="81" spans="1:7" x14ac:dyDescent="0.25">
      <c r="A81" s="38" t="s">
        <v>107</v>
      </c>
      <c r="B81" s="54"/>
      <c r="C81" s="54"/>
      <c r="D81" s="38"/>
      <c r="E81" s="38"/>
      <c r="F81" s="38"/>
      <c r="G81" s="38"/>
    </row>
    <row r="82" spans="1:7" ht="23.25" x14ac:dyDescent="0.25">
      <c r="A82" s="62" t="s">
        <v>104</v>
      </c>
      <c r="B82" s="39" t="s">
        <v>55</v>
      </c>
      <c r="C82" s="39" t="s">
        <v>56</v>
      </c>
      <c r="D82" s="55" t="s">
        <v>8</v>
      </c>
      <c r="E82" s="39" t="s">
        <v>81</v>
      </c>
      <c r="F82" s="55" t="s">
        <v>8</v>
      </c>
      <c r="G82" s="39" t="s">
        <v>81</v>
      </c>
    </row>
    <row r="83" spans="1:7" x14ac:dyDescent="0.25">
      <c r="A83" s="52">
        <v>1</v>
      </c>
      <c r="B83" s="63" t="s">
        <v>113</v>
      </c>
      <c r="C83" s="63" t="s">
        <v>48</v>
      </c>
      <c r="D83" s="35"/>
      <c r="E83" s="23" t="str">
        <f t="shared" ref="E83:E90" si="14">IF(D83&gt;0,VLOOKUP(D83,Jumpers,3)&amp;", "&amp;VLOOKUP(D83,Jumpers,2)&amp;" ("&amp;VLOOKUP(D83,Jumpers,7)&amp;")","")</f>
        <v/>
      </c>
      <c r="F83" s="35"/>
      <c r="G83" s="23" t="str">
        <f t="shared" ref="G83:G90" si="15">IF(F83&gt;0,VLOOKUP(F83,Jumpers,3)&amp;", "&amp;VLOOKUP(F83,Jumpers,2)&amp;" ("&amp;VLOOKUP(F83,Jumpers,7)&amp;")","")</f>
        <v/>
      </c>
    </row>
    <row r="84" spans="1:7" x14ac:dyDescent="0.25">
      <c r="A84" s="52">
        <v>2</v>
      </c>
      <c r="B84" s="63" t="s">
        <v>113</v>
      </c>
      <c r="C84" s="63" t="s">
        <v>48</v>
      </c>
      <c r="D84" s="35"/>
      <c r="E84" s="23" t="str">
        <f t="shared" si="14"/>
        <v/>
      </c>
      <c r="F84" s="35"/>
      <c r="G84" s="23" t="str">
        <f t="shared" si="15"/>
        <v/>
      </c>
    </row>
    <row r="85" spans="1:7" x14ac:dyDescent="0.25">
      <c r="A85" s="52">
        <v>3</v>
      </c>
      <c r="B85" s="63" t="s">
        <v>113</v>
      </c>
      <c r="C85" s="63" t="s">
        <v>48</v>
      </c>
      <c r="D85" s="35"/>
      <c r="E85" s="23" t="str">
        <f t="shared" si="14"/>
        <v/>
      </c>
      <c r="F85" s="35"/>
      <c r="G85" s="23" t="str">
        <f t="shared" si="15"/>
        <v/>
      </c>
    </row>
    <row r="86" spans="1:7" x14ac:dyDescent="0.25">
      <c r="A86" s="52">
        <v>4</v>
      </c>
      <c r="B86" s="63" t="s">
        <v>113</v>
      </c>
      <c r="C86" s="63" t="s">
        <v>48</v>
      </c>
      <c r="D86" s="35"/>
      <c r="E86" s="23" t="str">
        <f t="shared" si="14"/>
        <v/>
      </c>
      <c r="F86" s="35"/>
      <c r="G86" s="23" t="str">
        <f t="shared" si="15"/>
        <v/>
      </c>
    </row>
    <row r="87" spans="1:7" x14ac:dyDescent="0.25">
      <c r="A87" s="52">
        <v>5</v>
      </c>
      <c r="B87" s="63" t="s">
        <v>113</v>
      </c>
      <c r="C87" s="63" t="s">
        <v>48</v>
      </c>
      <c r="D87" s="35"/>
      <c r="E87" s="23" t="str">
        <f t="shared" si="14"/>
        <v/>
      </c>
      <c r="F87" s="35"/>
      <c r="G87" s="23" t="str">
        <f t="shared" si="15"/>
        <v/>
      </c>
    </row>
    <row r="88" spans="1:7" x14ac:dyDescent="0.25">
      <c r="A88" s="52">
        <v>6</v>
      </c>
      <c r="B88" s="63" t="s">
        <v>113</v>
      </c>
      <c r="C88" s="63" t="s">
        <v>48</v>
      </c>
      <c r="D88" s="35"/>
      <c r="E88" s="23" t="str">
        <f t="shared" si="14"/>
        <v/>
      </c>
      <c r="F88" s="35"/>
      <c r="G88" s="23" t="str">
        <f t="shared" si="15"/>
        <v/>
      </c>
    </row>
    <row r="89" spans="1:7" x14ac:dyDescent="0.25">
      <c r="A89" s="52">
        <v>7</v>
      </c>
      <c r="B89" s="63" t="s">
        <v>113</v>
      </c>
      <c r="C89" s="63" t="s">
        <v>48</v>
      </c>
      <c r="D89" s="35"/>
      <c r="E89" s="23" t="str">
        <f t="shared" si="14"/>
        <v/>
      </c>
      <c r="F89" s="35"/>
      <c r="G89" s="23" t="str">
        <f t="shared" si="15"/>
        <v/>
      </c>
    </row>
    <row r="90" spans="1:7" x14ac:dyDescent="0.25">
      <c r="A90" s="52">
        <v>8</v>
      </c>
      <c r="B90" s="63" t="s">
        <v>113</v>
      </c>
      <c r="C90" s="63" t="s">
        <v>48</v>
      </c>
      <c r="D90" s="35"/>
      <c r="E90" s="23" t="str">
        <f t="shared" si="14"/>
        <v/>
      </c>
      <c r="F90" s="35"/>
      <c r="G90" s="23" t="str">
        <f t="shared" si="15"/>
        <v/>
      </c>
    </row>
    <row r="91" spans="1:7" x14ac:dyDescent="0.25">
      <c r="A91" s="52">
        <v>9</v>
      </c>
      <c r="B91" s="63" t="s">
        <v>113</v>
      </c>
      <c r="C91" s="63" t="s">
        <v>48</v>
      </c>
      <c r="D91" s="35"/>
      <c r="E91" s="23" t="str">
        <f t="shared" ref="E91:E102" si="16">IF(D91&gt;0,VLOOKUP(D91,Jumpers,3)&amp;", "&amp;VLOOKUP(D91,Jumpers,2)&amp;" ("&amp;VLOOKUP(D91,Jumpers,7)&amp;")","")</f>
        <v/>
      </c>
      <c r="F91" s="35"/>
      <c r="G91" s="23" t="str">
        <f t="shared" ref="G91:G102" si="17">IF(F91&gt;0,VLOOKUP(F91,Jumpers,3)&amp;", "&amp;VLOOKUP(F91,Jumpers,2)&amp;" ("&amp;VLOOKUP(F91,Jumpers,7)&amp;")","")</f>
        <v/>
      </c>
    </row>
    <row r="92" spans="1:7" x14ac:dyDescent="0.25">
      <c r="A92" s="52">
        <v>10</v>
      </c>
      <c r="B92" s="63" t="s">
        <v>113</v>
      </c>
      <c r="C92" s="63" t="s">
        <v>48</v>
      </c>
      <c r="D92" s="35"/>
      <c r="E92" s="23" t="str">
        <f t="shared" si="16"/>
        <v/>
      </c>
      <c r="F92" s="35"/>
      <c r="G92" s="23" t="str">
        <f t="shared" si="17"/>
        <v/>
      </c>
    </row>
    <row r="93" spans="1:7" x14ac:dyDescent="0.25">
      <c r="A93" s="52">
        <v>11</v>
      </c>
      <c r="B93" s="63" t="s">
        <v>113</v>
      </c>
      <c r="C93" s="63" t="s">
        <v>48</v>
      </c>
      <c r="D93" s="35"/>
      <c r="E93" s="23" t="str">
        <f t="shared" si="16"/>
        <v/>
      </c>
      <c r="F93" s="35"/>
      <c r="G93" s="23" t="str">
        <f t="shared" si="17"/>
        <v/>
      </c>
    </row>
    <row r="94" spans="1:7" x14ac:dyDescent="0.25">
      <c r="A94" s="52">
        <v>12</v>
      </c>
      <c r="B94" s="63" t="s">
        <v>113</v>
      </c>
      <c r="C94" s="63" t="s">
        <v>48</v>
      </c>
      <c r="D94" s="35"/>
      <c r="E94" s="23" t="str">
        <f t="shared" si="16"/>
        <v/>
      </c>
      <c r="F94" s="35"/>
      <c r="G94" s="23" t="str">
        <f t="shared" si="17"/>
        <v/>
      </c>
    </row>
    <row r="95" spans="1:7" x14ac:dyDescent="0.25">
      <c r="A95" s="52">
        <v>13</v>
      </c>
      <c r="B95" s="63" t="s">
        <v>113</v>
      </c>
      <c r="C95" s="63" t="s">
        <v>48</v>
      </c>
      <c r="D95" s="35"/>
      <c r="E95" s="23" t="str">
        <f t="shared" si="16"/>
        <v/>
      </c>
      <c r="F95" s="35"/>
      <c r="G95" s="23" t="str">
        <f t="shared" si="17"/>
        <v/>
      </c>
    </row>
    <row r="96" spans="1:7" x14ac:dyDescent="0.25">
      <c r="A96" s="52">
        <v>14</v>
      </c>
      <c r="B96" s="63" t="s">
        <v>113</v>
      </c>
      <c r="C96" s="63" t="s">
        <v>48</v>
      </c>
      <c r="D96" s="35"/>
      <c r="E96" s="23" t="str">
        <f t="shared" si="16"/>
        <v/>
      </c>
      <c r="F96" s="35"/>
      <c r="G96" s="23" t="str">
        <f t="shared" si="17"/>
        <v/>
      </c>
    </row>
    <row r="97" spans="1:7" x14ac:dyDescent="0.25">
      <c r="A97" s="52">
        <v>15</v>
      </c>
      <c r="B97" s="63" t="s">
        <v>113</v>
      </c>
      <c r="C97" s="63" t="s">
        <v>48</v>
      </c>
      <c r="D97" s="35"/>
      <c r="E97" s="23" t="str">
        <f t="shared" si="16"/>
        <v/>
      </c>
      <c r="F97" s="35"/>
      <c r="G97" s="23" t="str">
        <f t="shared" si="17"/>
        <v/>
      </c>
    </row>
    <row r="98" spans="1:7" x14ac:dyDescent="0.25">
      <c r="A98" s="52">
        <v>16</v>
      </c>
      <c r="B98" s="63" t="s">
        <v>113</v>
      </c>
      <c r="C98" s="63" t="s">
        <v>48</v>
      </c>
      <c r="D98" s="35"/>
      <c r="E98" s="23" t="str">
        <f t="shared" si="16"/>
        <v/>
      </c>
      <c r="F98" s="35"/>
      <c r="G98" s="23" t="str">
        <f t="shared" si="17"/>
        <v/>
      </c>
    </row>
    <row r="99" spans="1:7" x14ac:dyDescent="0.25">
      <c r="A99" s="52">
        <v>17</v>
      </c>
      <c r="B99" s="63" t="s">
        <v>113</v>
      </c>
      <c r="C99" s="63" t="s">
        <v>48</v>
      </c>
      <c r="D99" s="35"/>
      <c r="E99" s="23" t="str">
        <f t="shared" si="16"/>
        <v/>
      </c>
      <c r="F99" s="35"/>
      <c r="G99" s="23" t="str">
        <f t="shared" si="17"/>
        <v/>
      </c>
    </row>
    <row r="100" spans="1:7" x14ac:dyDescent="0.25">
      <c r="A100" s="52">
        <v>18</v>
      </c>
      <c r="B100" s="63" t="s">
        <v>113</v>
      </c>
      <c r="C100" s="63" t="s">
        <v>48</v>
      </c>
      <c r="D100" s="35"/>
      <c r="E100" s="23" t="str">
        <f t="shared" si="16"/>
        <v/>
      </c>
      <c r="F100" s="35"/>
      <c r="G100" s="23" t="str">
        <f t="shared" si="17"/>
        <v/>
      </c>
    </row>
    <row r="101" spans="1:7" x14ac:dyDescent="0.25">
      <c r="A101" s="52">
        <v>19</v>
      </c>
      <c r="B101" s="63" t="s">
        <v>113</v>
      </c>
      <c r="C101" s="63" t="s">
        <v>48</v>
      </c>
      <c r="D101" s="35"/>
      <c r="E101" s="23" t="str">
        <f t="shared" si="16"/>
        <v/>
      </c>
      <c r="F101" s="35"/>
      <c r="G101" s="23" t="str">
        <f t="shared" si="17"/>
        <v/>
      </c>
    </row>
    <row r="102" spans="1:7" x14ac:dyDescent="0.25">
      <c r="A102" s="52">
        <v>20</v>
      </c>
      <c r="B102" s="63" t="s">
        <v>113</v>
      </c>
      <c r="C102" s="63" t="s">
        <v>48</v>
      </c>
      <c r="D102" s="35"/>
      <c r="E102" s="23" t="str">
        <f t="shared" si="16"/>
        <v/>
      </c>
      <c r="F102" s="35"/>
      <c r="G102" s="23" t="str">
        <f t="shared" si="17"/>
        <v/>
      </c>
    </row>
    <row r="104" spans="1:7" x14ac:dyDescent="0.25">
      <c r="A104" s="38" t="s">
        <v>70</v>
      </c>
      <c r="B104" s="54"/>
      <c r="C104" s="54"/>
      <c r="D104" s="38"/>
      <c r="E104" s="38"/>
      <c r="F104" s="38"/>
      <c r="G104" s="38"/>
    </row>
    <row r="105" spans="1:7" ht="23.25" x14ac:dyDescent="0.25">
      <c r="A105" s="62" t="s">
        <v>104</v>
      </c>
      <c r="B105" s="39" t="s">
        <v>55</v>
      </c>
      <c r="C105" s="39" t="s">
        <v>56</v>
      </c>
      <c r="D105" s="55" t="s">
        <v>8</v>
      </c>
      <c r="E105" s="39" t="s">
        <v>81</v>
      </c>
      <c r="F105" s="55" t="s">
        <v>8</v>
      </c>
      <c r="G105" s="39" t="s">
        <v>81</v>
      </c>
    </row>
    <row r="106" spans="1:7" x14ac:dyDescent="0.25">
      <c r="A106" s="52">
        <v>1</v>
      </c>
      <c r="B106" s="63" t="s">
        <v>113</v>
      </c>
      <c r="C106" s="63" t="s">
        <v>141</v>
      </c>
      <c r="D106" s="35"/>
      <c r="E106" s="23" t="str">
        <f t="shared" ref="E106:E113" si="18">IF(D106&gt;0,VLOOKUP(D106,Jumpers,3)&amp;", "&amp;VLOOKUP(D106,Jumpers,2)&amp;" ("&amp;VLOOKUP(D106,Jumpers,7)&amp;")","")</f>
        <v/>
      </c>
      <c r="F106" s="35"/>
      <c r="G106" s="23" t="str">
        <f t="shared" ref="G106:G113" si="19">IF(F106&gt;0,VLOOKUP(F106,Jumpers,3)&amp;", "&amp;VLOOKUP(F106,Jumpers,2)&amp;" ("&amp;VLOOKUP(F106,Jumpers,7)&amp;")","")</f>
        <v/>
      </c>
    </row>
    <row r="107" spans="1:7" x14ac:dyDescent="0.25">
      <c r="A107" s="52">
        <v>2</v>
      </c>
      <c r="B107" s="63" t="s">
        <v>113</v>
      </c>
      <c r="C107" s="63" t="s">
        <v>141</v>
      </c>
      <c r="D107" s="35"/>
      <c r="E107" s="23" t="str">
        <f t="shared" si="18"/>
        <v/>
      </c>
      <c r="F107" s="35"/>
      <c r="G107" s="23" t="str">
        <f t="shared" si="19"/>
        <v/>
      </c>
    </row>
    <row r="108" spans="1:7" x14ac:dyDescent="0.25">
      <c r="A108" s="52">
        <v>3</v>
      </c>
      <c r="B108" s="63" t="s">
        <v>113</v>
      </c>
      <c r="C108" s="63" t="s">
        <v>141</v>
      </c>
      <c r="D108" s="35"/>
      <c r="E108" s="23" t="str">
        <f t="shared" si="18"/>
        <v/>
      </c>
      <c r="F108" s="35"/>
      <c r="G108" s="23" t="str">
        <f t="shared" si="19"/>
        <v/>
      </c>
    </row>
    <row r="109" spans="1:7" x14ac:dyDescent="0.25">
      <c r="A109" s="52">
        <v>4</v>
      </c>
      <c r="B109" s="63" t="s">
        <v>113</v>
      </c>
      <c r="C109" s="63" t="s">
        <v>141</v>
      </c>
      <c r="D109" s="35"/>
      <c r="E109" s="23" t="str">
        <f t="shared" si="18"/>
        <v/>
      </c>
      <c r="F109" s="35"/>
      <c r="G109" s="23" t="str">
        <f t="shared" si="19"/>
        <v/>
      </c>
    </row>
    <row r="110" spans="1:7" x14ac:dyDescent="0.25">
      <c r="A110" s="52">
        <v>5</v>
      </c>
      <c r="B110" s="63" t="s">
        <v>113</v>
      </c>
      <c r="C110" s="63" t="s">
        <v>141</v>
      </c>
      <c r="D110" s="35"/>
      <c r="E110" s="23" t="str">
        <f t="shared" si="18"/>
        <v/>
      </c>
      <c r="F110" s="35"/>
      <c r="G110" s="23" t="str">
        <f t="shared" si="19"/>
        <v/>
      </c>
    </row>
    <row r="111" spans="1:7" x14ac:dyDescent="0.25">
      <c r="A111" s="52">
        <v>6</v>
      </c>
      <c r="B111" s="63" t="s">
        <v>113</v>
      </c>
      <c r="C111" s="63" t="s">
        <v>141</v>
      </c>
      <c r="D111" s="35"/>
      <c r="E111" s="23" t="str">
        <f t="shared" si="18"/>
        <v/>
      </c>
      <c r="F111" s="35"/>
      <c r="G111" s="23" t="str">
        <f t="shared" si="19"/>
        <v/>
      </c>
    </row>
    <row r="112" spans="1:7" x14ac:dyDescent="0.25">
      <c r="A112" s="52">
        <v>7</v>
      </c>
      <c r="B112" s="63" t="s">
        <v>113</v>
      </c>
      <c r="C112" s="63" t="s">
        <v>141</v>
      </c>
      <c r="D112" s="35"/>
      <c r="E112" s="23" t="str">
        <f t="shared" si="18"/>
        <v/>
      </c>
      <c r="F112" s="35"/>
      <c r="G112" s="23" t="str">
        <f t="shared" si="19"/>
        <v/>
      </c>
    </row>
    <row r="113" spans="1:7" x14ac:dyDescent="0.25">
      <c r="A113" s="52">
        <v>8</v>
      </c>
      <c r="B113" s="63" t="s">
        <v>113</v>
      </c>
      <c r="C113" s="63" t="s">
        <v>141</v>
      </c>
      <c r="D113" s="35"/>
      <c r="E113" s="23" t="str">
        <f t="shared" si="18"/>
        <v/>
      </c>
      <c r="F113" s="35"/>
      <c r="G113" s="23" t="str">
        <f t="shared" si="19"/>
        <v/>
      </c>
    </row>
    <row r="114" spans="1:7" x14ac:dyDescent="0.25">
      <c r="A114" s="52">
        <v>9</v>
      </c>
      <c r="B114" s="63" t="s">
        <v>113</v>
      </c>
      <c r="C114" s="63" t="s">
        <v>141</v>
      </c>
      <c r="D114" s="35"/>
      <c r="E114" s="23" t="str">
        <f t="shared" ref="E114:E125" si="20">IF(D114&gt;0,VLOOKUP(D114,Jumpers,3)&amp;", "&amp;VLOOKUP(D114,Jumpers,2)&amp;" ("&amp;VLOOKUP(D114,Jumpers,7)&amp;")","")</f>
        <v/>
      </c>
      <c r="F114" s="35"/>
      <c r="G114" s="23" t="str">
        <f t="shared" ref="G114:G125" si="21">IF(F114&gt;0,VLOOKUP(F114,Jumpers,3)&amp;", "&amp;VLOOKUP(F114,Jumpers,2)&amp;" ("&amp;VLOOKUP(F114,Jumpers,7)&amp;")","")</f>
        <v/>
      </c>
    </row>
    <row r="115" spans="1:7" x14ac:dyDescent="0.25">
      <c r="A115" s="52">
        <v>10</v>
      </c>
      <c r="B115" s="63" t="s">
        <v>113</v>
      </c>
      <c r="C115" s="63" t="s">
        <v>141</v>
      </c>
      <c r="D115" s="35"/>
      <c r="E115" s="23" t="str">
        <f t="shared" si="20"/>
        <v/>
      </c>
      <c r="F115" s="35"/>
      <c r="G115" s="23" t="str">
        <f t="shared" si="21"/>
        <v/>
      </c>
    </row>
    <row r="116" spans="1:7" x14ac:dyDescent="0.25">
      <c r="A116" s="52">
        <v>11</v>
      </c>
      <c r="B116" s="63" t="s">
        <v>113</v>
      </c>
      <c r="C116" s="63" t="s">
        <v>141</v>
      </c>
      <c r="D116" s="35"/>
      <c r="E116" s="23" t="str">
        <f t="shared" si="20"/>
        <v/>
      </c>
      <c r="F116" s="35"/>
      <c r="G116" s="23" t="str">
        <f t="shared" si="21"/>
        <v/>
      </c>
    </row>
    <row r="117" spans="1:7" x14ac:dyDescent="0.25">
      <c r="A117" s="52">
        <v>12</v>
      </c>
      <c r="B117" s="63" t="s">
        <v>113</v>
      </c>
      <c r="C117" s="63" t="s">
        <v>141</v>
      </c>
      <c r="D117" s="35"/>
      <c r="E117" s="23" t="str">
        <f t="shared" si="20"/>
        <v/>
      </c>
      <c r="F117" s="35"/>
      <c r="G117" s="23" t="str">
        <f t="shared" si="21"/>
        <v/>
      </c>
    </row>
    <row r="118" spans="1:7" x14ac:dyDescent="0.25">
      <c r="A118" s="52">
        <v>13</v>
      </c>
      <c r="B118" s="63" t="s">
        <v>113</v>
      </c>
      <c r="C118" s="63" t="s">
        <v>141</v>
      </c>
      <c r="D118" s="35"/>
      <c r="E118" s="23" t="str">
        <f t="shared" si="20"/>
        <v/>
      </c>
      <c r="F118" s="35"/>
      <c r="G118" s="23" t="str">
        <f t="shared" si="21"/>
        <v/>
      </c>
    </row>
    <row r="119" spans="1:7" x14ac:dyDescent="0.25">
      <c r="A119" s="52">
        <v>14</v>
      </c>
      <c r="B119" s="63" t="s">
        <v>113</v>
      </c>
      <c r="C119" s="63" t="s">
        <v>141</v>
      </c>
      <c r="D119" s="35"/>
      <c r="E119" s="23" t="str">
        <f t="shared" si="20"/>
        <v/>
      </c>
      <c r="F119" s="35"/>
      <c r="G119" s="23" t="str">
        <f t="shared" si="21"/>
        <v/>
      </c>
    </row>
    <row r="120" spans="1:7" x14ac:dyDescent="0.25">
      <c r="A120" s="52">
        <v>15</v>
      </c>
      <c r="B120" s="63" t="s">
        <v>113</v>
      </c>
      <c r="C120" s="63" t="s">
        <v>141</v>
      </c>
      <c r="D120" s="35"/>
      <c r="E120" s="23" t="str">
        <f t="shared" si="20"/>
        <v/>
      </c>
      <c r="F120" s="35"/>
      <c r="G120" s="23" t="str">
        <f t="shared" si="21"/>
        <v/>
      </c>
    </row>
    <row r="121" spans="1:7" x14ac:dyDescent="0.25">
      <c r="A121" s="52">
        <v>16</v>
      </c>
      <c r="B121" s="63" t="s">
        <v>113</v>
      </c>
      <c r="C121" s="63" t="s">
        <v>141</v>
      </c>
      <c r="D121" s="35"/>
      <c r="E121" s="23" t="str">
        <f t="shared" si="20"/>
        <v/>
      </c>
      <c r="F121" s="35"/>
      <c r="G121" s="23" t="str">
        <f t="shared" si="21"/>
        <v/>
      </c>
    </row>
    <row r="122" spans="1:7" x14ac:dyDescent="0.25">
      <c r="A122" s="52">
        <v>17</v>
      </c>
      <c r="B122" s="63" t="s">
        <v>113</v>
      </c>
      <c r="C122" s="63" t="s">
        <v>141</v>
      </c>
      <c r="D122" s="35"/>
      <c r="E122" s="23" t="str">
        <f t="shared" si="20"/>
        <v/>
      </c>
      <c r="F122" s="35"/>
      <c r="G122" s="23" t="str">
        <f t="shared" si="21"/>
        <v/>
      </c>
    </row>
    <row r="123" spans="1:7" x14ac:dyDescent="0.25">
      <c r="A123" s="52">
        <v>18</v>
      </c>
      <c r="B123" s="63" t="s">
        <v>113</v>
      </c>
      <c r="C123" s="63" t="s">
        <v>141</v>
      </c>
      <c r="D123" s="35"/>
      <c r="E123" s="23" t="str">
        <f t="shared" si="20"/>
        <v/>
      </c>
      <c r="F123" s="35"/>
      <c r="G123" s="23" t="str">
        <f t="shared" si="21"/>
        <v/>
      </c>
    </row>
    <row r="124" spans="1:7" x14ac:dyDescent="0.25">
      <c r="A124" s="52">
        <v>19</v>
      </c>
      <c r="B124" s="63" t="s">
        <v>113</v>
      </c>
      <c r="C124" s="63" t="s">
        <v>141</v>
      </c>
      <c r="D124" s="35"/>
      <c r="E124" s="23" t="str">
        <f t="shared" si="20"/>
        <v/>
      </c>
      <c r="F124" s="35"/>
      <c r="G124" s="23" t="str">
        <f t="shared" si="21"/>
        <v/>
      </c>
    </row>
    <row r="125" spans="1:7" x14ac:dyDescent="0.25">
      <c r="A125" s="52">
        <v>20</v>
      </c>
      <c r="B125" s="63" t="s">
        <v>113</v>
      </c>
      <c r="C125" s="63" t="s">
        <v>141</v>
      </c>
      <c r="D125" s="35"/>
      <c r="E125" s="23" t="str">
        <f t="shared" si="20"/>
        <v/>
      </c>
      <c r="F125" s="35"/>
      <c r="G125" s="23" t="str">
        <f t="shared" si="21"/>
        <v/>
      </c>
    </row>
    <row r="127" spans="1:7" ht="18.75" x14ac:dyDescent="0.3">
      <c r="A127" s="64" t="str">
        <f>CONCATENATE(A1," - Open Division")</f>
        <v>Single Rope Pairs Freestyle - Open Division</v>
      </c>
      <c r="B127" s="54"/>
      <c r="C127" s="54"/>
      <c r="D127" s="38"/>
      <c r="E127" s="38"/>
      <c r="F127" s="38"/>
      <c r="G127" s="38"/>
    </row>
    <row r="128" spans="1:7" x14ac:dyDescent="0.25">
      <c r="A128" s="38" t="s">
        <v>107</v>
      </c>
      <c r="B128" s="54"/>
      <c r="C128" s="54"/>
      <c r="D128" s="38"/>
      <c r="E128" s="38"/>
      <c r="F128" s="38"/>
      <c r="G128" s="38"/>
    </row>
    <row r="129" spans="1:7" ht="23.25" x14ac:dyDescent="0.25">
      <c r="A129" s="62" t="s">
        <v>104</v>
      </c>
      <c r="B129" s="39" t="s">
        <v>55</v>
      </c>
      <c r="C129" s="39" t="s">
        <v>56</v>
      </c>
      <c r="D129" s="55" t="s">
        <v>8</v>
      </c>
      <c r="E129" s="39" t="s">
        <v>81</v>
      </c>
      <c r="F129" s="55" t="s">
        <v>8</v>
      </c>
      <c r="G129" s="39" t="s">
        <v>81</v>
      </c>
    </row>
    <row r="130" spans="1:7" x14ac:dyDescent="0.25">
      <c r="A130" s="52">
        <v>1</v>
      </c>
      <c r="B130" s="63" t="s">
        <v>106</v>
      </c>
      <c r="C130" s="63" t="s">
        <v>48</v>
      </c>
      <c r="D130" s="36"/>
      <c r="E130" s="23" t="str">
        <f t="shared" ref="E130:E137" si="22">IF(D130&gt;0,VLOOKUP(D130,Jumpers,3)&amp;", "&amp;VLOOKUP(D130,Jumpers,2)&amp;" ("&amp;VLOOKUP(D130,Jumpers,7)&amp;")","")</f>
        <v/>
      </c>
      <c r="F130" s="36"/>
      <c r="G130" s="23" t="str">
        <f t="shared" ref="G130:G137" si="23">IF(F130&gt;0,VLOOKUP(F130,Jumpers,3)&amp;", "&amp;VLOOKUP(F130,Jumpers,2)&amp;" ("&amp;VLOOKUP(F130,Jumpers,7)&amp;")","")</f>
        <v/>
      </c>
    </row>
    <row r="131" spans="1:7" x14ac:dyDescent="0.25">
      <c r="A131" s="52">
        <v>2</v>
      </c>
      <c r="B131" s="63" t="s">
        <v>106</v>
      </c>
      <c r="C131" s="63" t="s">
        <v>48</v>
      </c>
      <c r="D131" s="36"/>
      <c r="E131" s="23" t="str">
        <f t="shared" si="22"/>
        <v/>
      </c>
      <c r="F131" s="36"/>
      <c r="G131" s="23" t="str">
        <f t="shared" si="23"/>
        <v/>
      </c>
    </row>
    <row r="132" spans="1:7" x14ac:dyDescent="0.25">
      <c r="A132" s="52">
        <v>3</v>
      </c>
      <c r="B132" s="63" t="s">
        <v>106</v>
      </c>
      <c r="C132" s="63" t="s">
        <v>48</v>
      </c>
      <c r="D132" s="36"/>
      <c r="E132" s="23" t="str">
        <f t="shared" si="22"/>
        <v/>
      </c>
      <c r="F132" s="36"/>
      <c r="G132" s="23" t="str">
        <f t="shared" si="23"/>
        <v/>
      </c>
    </row>
    <row r="133" spans="1:7" x14ac:dyDescent="0.25">
      <c r="A133" s="52">
        <v>4</v>
      </c>
      <c r="B133" s="63" t="s">
        <v>106</v>
      </c>
      <c r="C133" s="63" t="s">
        <v>48</v>
      </c>
      <c r="D133" s="36"/>
      <c r="E133" s="23" t="str">
        <f t="shared" si="22"/>
        <v/>
      </c>
      <c r="F133" s="36"/>
      <c r="G133" s="23" t="str">
        <f t="shared" si="23"/>
        <v/>
      </c>
    </row>
    <row r="134" spans="1:7" x14ac:dyDescent="0.25">
      <c r="A134" s="52">
        <v>5</v>
      </c>
      <c r="B134" s="63" t="s">
        <v>106</v>
      </c>
      <c r="C134" s="63" t="s">
        <v>48</v>
      </c>
      <c r="D134" s="36"/>
      <c r="E134" s="23" t="str">
        <f t="shared" si="22"/>
        <v/>
      </c>
      <c r="F134" s="36"/>
      <c r="G134" s="23" t="str">
        <f t="shared" si="23"/>
        <v/>
      </c>
    </row>
    <row r="135" spans="1:7" x14ac:dyDescent="0.25">
      <c r="A135" s="52">
        <v>6</v>
      </c>
      <c r="B135" s="63" t="s">
        <v>106</v>
      </c>
      <c r="C135" s="63" t="s">
        <v>48</v>
      </c>
      <c r="D135" s="36"/>
      <c r="E135" s="23" t="str">
        <f t="shared" si="22"/>
        <v/>
      </c>
      <c r="F135" s="36"/>
      <c r="G135" s="23" t="str">
        <f t="shared" si="23"/>
        <v/>
      </c>
    </row>
    <row r="136" spans="1:7" x14ac:dyDescent="0.25">
      <c r="A136" s="52">
        <v>7</v>
      </c>
      <c r="B136" s="63" t="s">
        <v>106</v>
      </c>
      <c r="C136" s="63" t="s">
        <v>48</v>
      </c>
      <c r="D136" s="36"/>
      <c r="E136" s="23" t="str">
        <f t="shared" si="22"/>
        <v/>
      </c>
      <c r="F136" s="36"/>
      <c r="G136" s="23" t="str">
        <f t="shared" si="23"/>
        <v/>
      </c>
    </row>
    <row r="137" spans="1:7" x14ac:dyDescent="0.25">
      <c r="A137" s="52">
        <v>8</v>
      </c>
      <c r="B137" s="63" t="s">
        <v>106</v>
      </c>
      <c r="C137" s="63" t="s">
        <v>48</v>
      </c>
      <c r="D137" s="36"/>
      <c r="E137" s="23" t="str">
        <f t="shared" si="22"/>
        <v/>
      </c>
      <c r="F137" s="36"/>
      <c r="G137" s="23" t="str">
        <f t="shared" si="23"/>
        <v/>
      </c>
    </row>
    <row r="138" spans="1:7" x14ac:dyDescent="0.25">
      <c r="A138" s="52">
        <v>9</v>
      </c>
      <c r="B138" s="63" t="s">
        <v>106</v>
      </c>
      <c r="C138" s="63" t="s">
        <v>48</v>
      </c>
      <c r="D138" s="36"/>
      <c r="E138" s="23" t="str">
        <f t="shared" ref="E138:E149" si="24">IF(D138&gt;0,VLOOKUP(D138,Jumpers,3)&amp;", "&amp;VLOOKUP(D138,Jumpers,2)&amp;" ("&amp;VLOOKUP(D138,Jumpers,7)&amp;")","")</f>
        <v/>
      </c>
      <c r="F138" s="36"/>
      <c r="G138" s="23" t="str">
        <f t="shared" ref="G138:G149" si="25">IF(F138&gt;0,VLOOKUP(F138,Jumpers,3)&amp;", "&amp;VLOOKUP(F138,Jumpers,2)&amp;" ("&amp;VLOOKUP(F138,Jumpers,7)&amp;")","")</f>
        <v/>
      </c>
    </row>
    <row r="139" spans="1:7" x14ac:dyDescent="0.25">
      <c r="A139" s="52">
        <v>10</v>
      </c>
      <c r="B139" s="63" t="s">
        <v>106</v>
      </c>
      <c r="C139" s="63" t="s">
        <v>48</v>
      </c>
      <c r="D139" s="36"/>
      <c r="E139" s="23" t="str">
        <f t="shared" si="24"/>
        <v/>
      </c>
      <c r="F139" s="36"/>
      <c r="G139" s="23" t="str">
        <f t="shared" si="25"/>
        <v/>
      </c>
    </row>
    <row r="140" spans="1:7" x14ac:dyDescent="0.25">
      <c r="A140" s="52">
        <v>11</v>
      </c>
      <c r="B140" s="63" t="s">
        <v>106</v>
      </c>
      <c r="C140" s="63" t="s">
        <v>48</v>
      </c>
      <c r="D140" s="36"/>
      <c r="E140" s="23" t="str">
        <f t="shared" si="24"/>
        <v/>
      </c>
      <c r="F140" s="36"/>
      <c r="G140" s="23" t="str">
        <f t="shared" si="25"/>
        <v/>
      </c>
    </row>
    <row r="141" spans="1:7" x14ac:dyDescent="0.25">
      <c r="A141" s="52">
        <v>12</v>
      </c>
      <c r="B141" s="63" t="s">
        <v>106</v>
      </c>
      <c r="C141" s="63" t="s">
        <v>48</v>
      </c>
      <c r="D141" s="36"/>
      <c r="E141" s="23" t="str">
        <f t="shared" si="24"/>
        <v/>
      </c>
      <c r="F141" s="36"/>
      <c r="G141" s="23" t="str">
        <f t="shared" si="25"/>
        <v/>
      </c>
    </row>
    <row r="142" spans="1:7" x14ac:dyDescent="0.25">
      <c r="A142" s="52">
        <v>13</v>
      </c>
      <c r="B142" s="63" t="s">
        <v>106</v>
      </c>
      <c r="C142" s="63" t="s">
        <v>48</v>
      </c>
      <c r="D142" s="36"/>
      <c r="E142" s="23" t="str">
        <f t="shared" si="24"/>
        <v/>
      </c>
      <c r="F142" s="36"/>
      <c r="G142" s="23" t="str">
        <f t="shared" si="25"/>
        <v/>
      </c>
    </row>
    <row r="143" spans="1:7" x14ac:dyDescent="0.25">
      <c r="A143" s="52">
        <v>14</v>
      </c>
      <c r="B143" s="63" t="s">
        <v>106</v>
      </c>
      <c r="C143" s="63" t="s">
        <v>48</v>
      </c>
      <c r="D143" s="36"/>
      <c r="E143" s="23" t="str">
        <f t="shared" si="24"/>
        <v/>
      </c>
      <c r="F143" s="36"/>
      <c r="G143" s="23" t="str">
        <f t="shared" si="25"/>
        <v/>
      </c>
    </row>
    <row r="144" spans="1:7" x14ac:dyDescent="0.25">
      <c r="A144" s="52">
        <v>15</v>
      </c>
      <c r="B144" s="63" t="s">
        <v>106</v>
      </c>
      <c r="C144" s="63" t="s">
        <v>48</v>
      </c>
      <c r="D144" s="36"/>
      <c r="E144" s="23" t="str">
        <f t="shared" si="24"/>
        <v/>
      </c>
      <c r="F144" s="36"/>
      <c r="G144" s="23" t="str">
        <f t="shared" si="25"/>
        <v/>
      </c>
    </row>
    <row r="145" spans="1:7" x14ac:dyDescent="0.25">
      <c r="A145" s="52">
        <v>16</v>
      </c>
      <c r="B145" s="63" t="s">
        <v>106</v>
      </c>
      <c r="C145" s="63" t="s">
        <v>48</v>
      </c>
      <c r="D145" s="36"/>
      <c r="E145" s="23" t="str">
        <f t="shared" si="24"/>
        <v/>
      </c>
      <c r="F145" s="36"/>
      <c r="G145" s="23" t="str">
        <f t="shared" si="25"/>
        <v/>
      </c>
    </row>
    <row r="146" spans="1:7" x14ac:dyDescent="0.25">
      <c r="A146" s="52">
        <v>17</v>
      </c>
      <c r="B146" s="63" t="s">
        <v>106</v>
      </c>
      <c r="C146" s="63" t="s">
        <v>48</v>
      </c>
      <c r="D146" s="36"/>
      <c r="E146" s="23" t="str">
        <f t="shared" si="24"/>
        <v/>
      </c>
      <c r="F146" s="36"/>
      <c r="G146" s="23" t="str">
        <f t="shared" si="25"/>
        <v/>
      </c>
    </row>
    <row r="147" spans="1:7" x14ac:dyDescent="0.25">
      <c r="A147" s="52">
        <v>18</v>
      </c>
      <c r="B147" s="63" t="s">
        <v>106</v>
      </c>
      <c r="C147" s="63" t="s">
        <v>48</v>
      </c>
      <c r="D147" s="36"/>
      <c r="E147" s="23" t="str">
        <f t="shared" si="24"/>
        <v/>
      </c>
      <c r="F147" s="36"/>
      <c r="G147" s="23" t="str">
        <f t="shared" si="25"/>
        <v/>
      </c>
    </row>
    <row r="148" spans="1:7" x14ac:dyDescent="0.25">
      <c r="A148" s="52">
        <v>19</v>
      </c>
      <c r="B148" s="63" t="s">
        <v>106</v>
      </c>
      <c r="C148" s="63" t="s">
        <v>48</v>
      </c>
      <c r="D148" s="36"/>
      <c r="E148" s="23" t="str">
        <f t="shared" si="24"/>
        <v/>
      </c>
      <c r="F148" s="36"/>
      <c r="G148" s="23" t="str">
        <f t="shared" si="25"/>
        <v/>
      </c>
    </row>
    <row r="149" spans="1:7" x14ac:dyDescent="0.25">
      <c r="A149" s="52">
        <v>20</v>
      </c>
      <c r="B149" s="63" t="s">
        <v>106</v>
      </c>
      <c r="C149" s="63" t="s">
        <v>48</v>
      </c>
      <c r="D149" s="36"/>
      <c r="E149" s="23" t="str">
        <f t="shared" si="24"/>
        <v/>
      </c>
      <c r="F149" s="36"/>
      <c r="G149" s="23" t="str">
        <f t="shared" si="25"/>
        <v/>
      </c>
    </row>
    <row r="151" spans="1:7" x14ac:dyDescent="0.25">
      <c r="A151" s="38" t="s">
        <v>70</v>
      </c>
      <c r="B151" s="54"/>
      <c r="C151" s="54"/>
      <c r="D151" s="38"/>
      <c r="E151" s="38"/>
      <c r="F151" s="38"/>
      <c r="G151" s="38"/>
    </row>
    <row r="152" spans="1:7" ht="23.25" x14ac:dyDescent="0.25">
      <c r="A152" s="62" t="s">
        <v>104</v>
      </c>
      <c r="B152" s="39" t="s">
        <v>55</v>
      </c>
      <c r="C152" s="39" t="s">
        <v>56</v>
      </c>
      <c r="D152" s="55" t="s">
        <v>8</v>
      </c>
      <c r="E152" s="39" t="s">
        <v>81</v>
      </c>
      <c r="F152" s="55" t="s">
        <v>8</v>
      </c>
      <c r="G152" s="39" t="s">
        <v>81</v>
      </c>
    </row>
    <row r="153" spans="1:7" x14ac:dyDescent="0.25">
      <c r="A153" s="52">
        <v>1</v>
      </c>
      <c r="B153" s="63" t="s">
        <v>106</v>
      </c>
      <c r="C153" s="63" t="s">
        <v>141</v>
      </c>
      <c r="D153" s="36"/>
      <c r="E153" s="23" t="str">
        <f t="shared" ref="E153:E160" si="26">IF(D153&gt;0,VLOOKUP(D153,Jumpers,3)&amp;", "&amp;VLOOKUP(D153,Jumpers,2)&amp;" ("&amp;VLOOKUP(D153,Jumpers,7)&amp;")","")</f>
        <v/>
      </c>
      <c r="F153" s="36"/>
      <c r="G153" s="23" t="str">
        <f t="shared" ref="G153:G160" si="27">IF(F153&gt;0,VLOOKUP(F153,Jumpers,3)&amp;", "&amp;VLOOKUP(F153,Jumpers,2)&amp;" ("&amp;VLOOKUP(F153,Jumpers,7)&amp;")","")</f>
        <v/>
      </c>
    </row>
    <row r="154" spans="1:7" x14ac:dyDescent="0.25">
      <c r="A154" s="52">
        <v>2</v>
      </c>
      <c r="B154" s="63" t="s">
        <v>106</v>
      </c>
      <c r="C154" s="63" t="s">
        <v>141</v>
      </c>
      <c r="D154" s="36"/>
      <c r="E154" s="23" t="str">
        <f t="shared" si="26"/>
        <v/>
      </c>
      <c r="F154" s="36"/>
      <c r="G154" s="23" t="str">
        <f t="shared" si="27"/>
        <v/>
      </c>
    </row>
    <row r="155" spans="1:7" x14ac:dyDescent="0.25">
      <c r="A155" s="52">
        <v>3</v>
      </c>
      <c r="B155" s="63" t="s">
        <v>106</v>
      </c>
      <c r="C155" s="63" t="s">
        <v>141</v>
      </c>
      <c r="D155" s="36"/>
      <c r="E155" s="23" t="str">
        <f t="shared" si="26"/>
        <v/>
      </c>
      <c r="F155" s="36"/>
      <c r="G155" s="23" t="str">
        <f t="shared" si="27"/>
        <v/>
      </c>
    </row>
    <row r="156" spans="1:7" x14ac:dyDescent="0.25">
      <c r="A156" s="52">
        <v>4</v>
      </c>
      <c r="B156" s="63" t="s">
        <v>106</v>
      </c>
      <c r="C156" s="63" t="s">
        <v>141</v>
      </c>
      <c r="D156" s="36"/>
      <c r="E156" s="23" t="str">
        <f t="shared" si="26"/>
        <v/>
      </c>
      <c r="F156" s="36"/>
      <c r="G156" s="23" t="str">
        <f t="shared" si="27"/>
        <v/>
      </c>
    </row>
    <row r="157" spans="1:7" x14ac:dyDescent="0.25">
      <c r="A157" s="52">
        <v>5</v>
      </c>
      <c r="B157" s="63" t="s">
        <v>106</v>
      </c>
      <c r="C157" s="63" t="s">
        <v>141</v>
      </c>
      <c r="D157" s="36"/>
      <c r="E157" s="23" t="str">
        <f t="shared" si="26"/>
        <v/>
      </c>
      <c r="F157" s="36"/>
      <c r="G157" s="23" t="str">
        <f t="shared" si="27"/>
        <v/>
      </c>
    </row>
    <row r="158" spans="1:7" x14ac:dyDescent="0.25">
      <c r="A158" s="52">
        <v>6</v>
      </c>
      <c r="B158" s="63" t="s">
        <v>106</v>
      </c>
      <c r="C158" s="63" t="s">
        <v>141</v>
      </c>
      <c r="D158" s="36"/>
      <c r="E158" s="23" t="str">
        <f t="shared" si="26"/>
        <v/>
      </c>
      <c r="F158" s="36"/>
      <c r="G158" s="23" t="str">
        <f t="shared" si="27"/>
        <v/>
      </c>
    </row>
    <row r="159" spans="1:7" x14ac:dyDescent="0.25">
      <c r="A159" s="52">
        <v>7</v>
      </c>
      <c r="B159" s="63" t="s">
        <v>106</v>
      </c>
      <c r="C159" s="63" t="s">
        <v>141</v>
      </c>
      <c r="D159" s="36"/>
      <c r="E159" s="23" t="str">
        <f t="shared" si="26"/>
        <v/>
      </c>
      <c r="F159" s="36"/>
      <c r="G159" s="23" t="str">
        <f t="shared" si="27"/>
        <v/>
      </c>
    </row>
    <row r="160" spans="1:7" x14ac:dyDescent="0.25">
      <c r="A160" s="52">
        <v>8</v>
      </c>
      <c r="B160" s="63" t="s">
        <v>106</v>
      </c>
      <c r="C160" s="63" t="s">
        <v>141</v>
      </c>
      <c r="D160" s="36"/>
      <c r="E160" s="23" t="str">
        <f t="shared" si="26"/>
        <v/>
      </c>
      <c r="F160" s="36"/>
      <c r="G160" s="23" t="str">
        <f t="shared" si="27"/>
        <v/>
      </c>
    </row>
    <row r="161" spans="1:7" x14ac:dyDescent="0.25">
      <c r="A161" s="52">
        <v>9</v>
      </c>
      <c r="B161" s="63" t="s">
        <v>106</v>
      </c>
      <c r="C161" s="63" t="s">
        <v>141</v>
      </c>
      <c r="D161" s="36"/>
      <c r="E161" s="23" t="str">
        <f t="shared" ref="E161:E170" si="28">IF(D161&gt;0,VLOOKUP(D161,Jumpers,3)&amp;", "&amp;VLOOKUP(D161,Jumpers,2)&amp;" ("&amp;VLOOKUP(D161,Jumpers,7)&amp;")","")</f>
        <v/>
      </c>
      <c r="F161" s="36"/>
      <c r="G161" s="23" t="str">
        <f t="shared" ref="G161:G170" si="29">IF(F161&gt;0,VLOOKUP(F161,Jumpers,3)&amp;", "&amp;VLOOKUP(F161,Jumpers,2)&amp;" ("&amp;VLOOKUP(F161,Jumpers,7)&amp;")","")</f>
        <v/>
      </c>
    </row>
    <row r="162" spans="1:7" x14ac:dyDescent="0.25">
      <c r="A162" s="52">
        <v>10</v>
      </c>
      <c r="B162" s="63" t="s">
        <v>106</v>
      </c>
      <c r="C162" s="63" t="s">
        <v>141</v>
      </c>
      <c r="D162" s="36"/>
      <c r="E162" s="23" t="str">
        <f t="shared" si="28"/>
        <v/>
      </c>
      <c r="F162" s="36"/>
      <c r="G162" s="23" t="str">
        <f t="shared" si="29"/>
        <v/>
      </c>
    </row>
    <row r="163" spans="1:7" x14ac:dyDescent="0.25">
      <c r="A163" s="52">
        <v>11</v>
      </c>
      <c r="B163" s="63" t="s">
        <v>106</v>
      </c>
      <c r="C163" s="63" t="s">
        <v>141</v>
      </c>
      <c r="D163" s="36"/>
      <c r="E163" s="23" t="str">
        <f t="shared" si="28"/>
        <v/>
      </c>
      <c r="F163" s="36"/>
      <c r="G163" s="23" t="str">
        <f t="shared" si="29"/>
        <v/>
      </c>
    </row>
    <row r="164" spans="1:7" x14ac:dyDescent="0.25">
      <c r="A164" s="52">
        <v>12</v>
      </c>
      <c r="B164" s="63" t="s">
        <v>106</v>
      </c>
      <c r="C164" s="63" t="s">
        <v>141</v>
      </c>
      <c r="D164" s="36"/>
      <c r="E164" s="23" t="str">
        <f t="shared" si="28"/>
        <v/>
      </c>
      <c r="F164" s="36"/>
      <c r="G164" s="23" t="str">
        <f t="shared" si="29"/>
        <v/>
      </c>
    </row>
    <row r="165" spans="1:7" x14ac:dyDescent="0.25">
      <c r="A165" s="52">
        <v>13</v>
      </c>
      <c r="B165" s="63" t="s">
        <v>106</v>
      </c>
      <c r="C165" s="63" t="s">
        <v>141</v>
      </c>
      <c r="D165" s="36"/>
      <c r="E165" s="23" t="str">
        <f t="shared" si="28"/>
        <v/>
      </c>
      <c r="F165" s="36"/>
      <c r="G165" s="23" t="str">
        <f t="shared" si="29"/>
        <v/>
      </c>
    </row>
    <row r="166" spans="1:7" x14ac:dyDescent="0.25">
      <c r="A166" s="52">
        <v>14</v>
      </c>
      <c r="B166" s="63" t="s">
        <v>106</v>
      </c>
      <c r="C166" s="63" t="s">
        <v>141</v>
      </c>
      <c r="D166" s="36"/>
      <c r="E166" s="23" t="str">
        <f t="shared" si="28"/>
        <v/>
      </c>
      <c r="F166" s="36"/>
      <c r="G166" s="23" t="str">
        <f t="shared" si="29"/>
        <v/>
      </c>
    </row>
    <row r="167" spans="1:7" x14ac:dyDescent="0.25">
      <c r="A167" s="52">
        <v>15</v>
      </c>
      <c r="B167" s="63" t="s">
        <v>106</v>
      </c>
      <c r="C167" s="63" t="s">
        <v>141</v>
      </c>
      <c r="D167" s="36"/>
      <c r="E167" s="23" t="str">
        <f t="shared" si="28"/>
        <v/>
      </c>
      <c r="F167" s="36"/>
      <c r="G167" s="23" t="str">
        <f t="shared" si="29"/>
        <v/>
      </c>
    </row>
    <row r="168" spans="1:7" x14ac:dyDescent="0.25">
      <c r="A168" s="52">
        <v>16</v>
      </c>
      <c r="B168" s="63" t="s">
        <v>106</v>
      </c>
      <c r="C168" s="63" t="s">
        <v>141</v>
      </c>
      <c r="D168" s="36"/>
      <c r="E168" s="23" t="str">
        <f t="shared" si="28"/>
        <v/>
      </c>
      <c r="F168" s="36"/>
      <c r="G168" s="23" t="str">
        <f t="shared" si="29"/>
        <v/>
      </c>
    </row>
    <row r="169" spans="1:7" x14ac:dyDescent="0.25">
      <c r="A169" s="52">
        <v>17</v>
      </c>
      <c r="B169" s="63" t="s">
        <v>106</v>
      </c>
      <c r="C169" s="63" t="s">
        <v>141</v>
      </c>
      <c r="D169" s="36"/>
      <c r="E169" s="23" t="str">
        <f t="shared" si="28"/>
        <v/>
      </c>
      <c r="F169" s="36"/>
      <c r="G169" s="23" t="str">
        <f t="shared" si="29"/>
        <v/>
      </c>
    </row>
    <row r="170" spans="1:7" x14ac:dyDescent="0.25">
      <c r="A170" s="52">
        <v>18</v>
      </c>
      <c r="B170" s="63" t="s">
        <v>106</v>
      </c>
      <c r="C170" s="63" t="s">
        <v>141</v>
      </c>
      <c r="D170" s="36"/>
      <c r="E170" s="23" t="str">
        <f t="shared" si="28"/>
        <v/>
      </c>
      <c r="F170" s="36"/>
      <c r="G170" s="23" t="str">
        <f t="shared" si="29"/>
        <v/>
      </c>
    </row>
    <row r="171" spans="1:7" x14ac:dyDescent="0.25">
      <c r="A171" s="52">
        <v>19</v>
      </c>
      <c r="B171" s="63" t="s">
        <v>106</v>
      </c>
      <c r="C171" s="63" t="s">
        <v>141</v>
      </c>
      <c r="D171" s="36"/>
      <c r="E171" s="23" t="str">
        <f t="shared" ref="E171:E172" si="30">IF(D171&gt;0,VLOOKUP(D171,Jumpers,3)&amp;", "&amp;VLOOKUP(D171,Jumpers,2)&amp;" ("&amp;VLOOKUP(D171,Jumpers,7)&amp;")","")</f>
        <v/>
      </c>
      <c r="F171" s="36"/>
      <c r="G171" s="23" t="str">
        <f t="shared" ref="G171:G172" si="31">IF(F171&gt;0,VLOOKUP(F171,Jumpers,3)&amp;", "&amp;VLOOKUP(F171,Jumpers,2)&amp;" ("&amp;VLOOKUP(F171,Jumpers,7)&amp;")","")</f>
        <v/>
      </c>
    </row>
    <row r="172" spans="1:7" x14ac:dyDescent="0.25">
      <c r="A172" s="52">
        <v>20</v>
      </c>
      <c r="B172" s="63" t="s">
        <v>106</v>
      </c>
      <c r="C172" s="63" t="s">
        <v>141</v>
      </c>
      <c r="D172" s="36"/>
      <c r="E172" s="23" t="str">
        <f t="shared" si="30"/>
        <v/>
      </c>
      <c r="F172" s="36"/>
      <c r="G172" s="23" t="str">
        <f t="shared" si="31"/>
        <v/>
      </c>
    </row>
  </sheetData>
  <sheetProtection password="CE88" sheet="1" objects="1" scenarios="1" selectLockedCells="1"/>
  <mergeCells count="2">
    <mergeCell ref="A2:G2"/>
    <mergeCell ref="A3:G3"/>
  </mergeCells>
  <phoneticPr fontId="23" type="noConversion"/>
  <conditionalFormatting sqref="D25">
    <cfRule type="expression" dxfId="195" priority="72" stopIfTrue="1">
      <formula>VLOOKUP(D25,Jumpers,7)&gt;10</formula>
    </cfRule>
  </conditionalFormatting>
  <conditionalFormatting sqref="D6:D25">
    <cfRule type="expression" dxfId="194" priority="55" stopIfTrue="1">
      <formula>AND(D6&lt;&gt;"",COUNTIF($D$6:$F$172,D6)&gt;1)</formula>
    </cfRule>
    <cfRule type="expression" dxfId="193" priority="56" stopIfTrue="1">
      <formula>OR(CODE(D6)&lt;48,CODE(D6)&gt;57)</formula>
    </cfRule>
    <cfRule type="expression" dxfId="192" priority="83" stopIfTrue="1">
      <formula>VLOOKUP(D6,Jumpers,7)&gt;10</formula>
    </cfRule>
  </conditionalFormatting>
  <conditionalFormatting sqref="F25">
    <cfRule type="expression" dxfId="191" priority="53" stopIfTrue="1">
      <formula>VLOOKUP(F25,Jumpers,7)&gt;10</formula>
    </cfRule>
  </conditionalFormatting>
  <conditionalFormatting sqref="F6:F25">
    <cfRule type="expression" dxfId="190" priority="51" stopIfTrue="1">
      <formula>AND(F6&lt;&gt;"",COUNTIF($D$6:$F$172,F6)&gt;1)</formula>
    </cfRule>
    <cfRule type="expression" dxfId="189" priority="52" stopIfTrue="1">
      <formula>OR(CODE(F6)&lt;48,CODE(F6)&gt;57)</formula>
    </cfRule>
    <cfRule type="expression" dxfId="188" priority="54" stopIfTrue="1">
      <formula>VLOOKUP(F6,Jumpers,7)&gt;10</formula>
    </cfRule>
  </conditionalFormatting>
  <conditionalFormatting sqref="D29:D48">
    <cfRule type="expression" dxfId="187" priority="47" stopIfTrue="1">
      <formula>AND(D29&lt;&gt;"",COUNTIF($D$6:$F$172,D29)&gt;1)</formula>
    </cfRule>
    <cfRule type="expression" dxfId="186" priority="48" stopIfTrue="1">
      <formula>OR(CODE(D29)&lt;48,CODE(D29)&gt;57)</formula>
    </cfRule>
    <cfRule type="expression" dxfId="185" priority="50" stopIfTrue="1">
      <formula>VLOOKUP(D29,Jumpers,7)&gt;12</formula>
    </cfRule>
  </conditionalFormatting>
  <conditionalFormatting sqref="F29:F48">
    <cfRule type="expression" dxfId="184" priority="40" stopIfTrue="1">
      <formula>AND(F29&lt;&gt;"",COUNTIF($D$6:$F$172,F29)&gt;1)</formula>
    </cfRule>
    <cfRule type="expression" dxfId="183" priority="41" stopIfTrue="1">
      <formula>OR(CODE(F29)&lt;48,CODE(F29)&gt;57)</formula>
    </cfRule>
    <cfRule type="expression" dxfId="182" priority="42" stopIfTrue="1">
      <formula>VLOOKUP(F29,Jumpers,7)&gt;12</formula>
    </cfRule>
  </conditionalFormatting>
  <conditionalFormatting sqref="D52:D71">
    <cfRule type="expression" dxfId="181" priority="34" stopIfTrue="1">
      <formula>AND(D52&lt;&gt;"",COUNTIF($D$6:$F$172,D52)&gt;1)</formula>
    </cfRule>
    <cfRule type="expression" dxfId="180" priority="35" stopIfTrue="1">
      <formula>OR(CODE(D52)&lt;48,CODE(D52)&gt;57)</formula>
    </cfRule>
    <cfRule type="expression" dxfId="179" priority="36" stopIfTrue="1">
      <formula>VLOOKUP(D52,Jumpers,7)&gt;14</formula>
    </cfRule>
  </conditionalFormatting>
  <conditionalFormatting sqref="F52:F71">
    <cfRule type="expression" dxfId="178" priority="31" stopIfTrue="1">
      <formula>AND(F52&lt;&gt;"",COUNTIF($D$6:$F$172,F52)&gt;1)</formula>
    </cfRule>
    <cfRule type="expression" dxfId="177" priority="32" stopIfTrue="1">
      <formula>OR(CODE(F52)&lt;48,CODE(F52)&gt;57)</formula>
    </cfRule>
    <cfRule type="expression" dxfId="176" priority="33" stopIfTrue="1">
      <formula>VLOOKUP(F52,Jumpers,7)&gt;14</formula>
    </cfRule>
  </conditionalFormatting>
  <conditionalFormatting sqref="D75:D77">
    <cfRule type="expression" dxfId="175" priority="28" stopIfTrue="1">
      <formula>AND(D75&lt;&gt;"",COUNTIF($D$6:$F$172,D75)&gt;1)</formula>
    </cfRule>
    <cfRule type="expression" dxfId="174" priority="29" stopIfTrue="1">
      <formula>OR(CODE(D75)&lt;48,CODE(D75)&gt;57)</formula>
    </cfRule>
    <cfRule type="expression" dxfId="173" priority="30" stopIfTrue="1">
      <formula>VLOOKUP(D75,Jumpers,7)&lt;30</formula>
    </cfRule>
  </conditionalFormatting>
  <conditionalFormatting sqref="F75:F77">
    <cfRule type="expression" dxfId="172" priority="25" stopIfTrue="1">
      <formula>AND(F75&lt;&gt;"",COUNTIF($D$6:$F$172,F75)&gt;1)</formula>
    </cfRule>
    <cfRule type="expression" dxfId="171" priority="26" stopIfTrue="1">
      <formula>OR(CODE(F75)&lt;48,CODE(F75)&gt;57)</formula>
    </cfRule>
    <cfRule type="expression" dxfId="170" priority="27" stopIfTrue="1">
      <formula>VLOOKUP(F75,Jumpers,7)&lt;30</formula>
    </cfRule>
  </conditionalFormatting>
  <conditionalFormatting sqref="D83:D102">
    <cfRule type="expression" dxfId="169" priority="23" stopIfTrue="1">
      <formula>OR(CODE(D83)&lt;48,CODE(D83)&gt;57)</formula>
    </cfRule>
    <cfRule type="expression" dxfId="168" priority="24" stopIfTrue="1">
      <formula>AND(D83&lt;&gt;"",COUNTIF($D$6:$F$172,D83)&gt;1)</formula>
    </cfRule>
    <cfRule type="expression" dxfId="167" priority="88" stopIfTrue="1">
      <formula>VLOOKUP(D83,Jumpers,5) &lt;&gt;"F"</formula>
    </cfRule>
    <cfRule type="expression" dxfId="166" priority="93" stopIfTrue="1">
      <formula>VLOOKUP(D83,Jumpers,7)&gt;17</formula>
    </cfRule>
  </conditionalFormatting>
  <conditionalFormatting sqref="F83:F102">
    <cfRule type="expression" dxfId="165" priority="19" stopIfTrue="1">
      <formula>OR(CODE(F83)&lt;48,CODE(F83)&gt;57)</formula>
    </cfRule>
    <cfRule type="expression" dxfId="164" priority="20" stopIfTrue="1">
      <formula>AND(F83&lt;&gt;"",COUNTIF($D$6:$F$172,F83)&gt;1)</formula>
    </cfRule>
    <cfRule type="expression" dxfId="163" priority="21" stopIfTrue="1">
      <formula>VLOOKUP(F83,Jumpers,5) &lt;&gt;"F"</formula>
    </cfRule>
    <cfRule type="expression" dxfId="162" priority="22" stopIfTrue="1">
      <formula>VLOOKUP(F83,Jumpers,7)&gt;17</formula>
    </cfRule>
  </conditionalFormatting>
  <conditionalFormatting sqref="D106:D125">
    <cfRule type="expression" dxfId="161" priority="15" stopIfTrue="1">
      <formula>OR(CODE(D106)&lt;48,CODE(D106)&gt;57)</formula>
    </cfRule>
    <cfRule type="expression" dxfId="160" priority="16" stopIfTrue="1">
      <formula>AND(D106&lt;&gt;"",COUNTIF($D$6:$F$172,D106)&gt;1)</formula>
    </cfRule>
    <cfRule type="expression" dxfId="159" priority="17" stopIfTrue="1">
      <formula>VLOOKUP(D106,Jumpers,5) &lt;&gt;"F"</formula>
    </cfRule>
  </conditionalFormatting>
  <conditionalFormatting sqref="F106:F125">
    <cfRule type="expression" dxfId="158" priority="12" stopIfTrue="1">
      <formula>OR(CODE(F106)&lt;48,CODE(F106)&gt;57)</formula>
    </cfRule>
    <cfRule type="expression" dxfId="157" priority="13" stopIfTrue="1">
      <formula>AND(F106&lt;&gt;"",COUNTIF($D$6:$F$172,F106)&gt;1)</formula>
    </cfRule>
    <cfRule type="expression" dxfId="156" priority="14" stopIfTrue="1">
      <formula>VLOOKUP(F106,Jumpers,5) &lt;&gt;"F"</formula>
    </cfRule>
  </conditionalFormatting>
  <conditionalFormatting sqref="D130:D149">
    <cfRule type="expression" dxfId="155" priority="9" stopIfTrue="1">
      <formula>AND(D130&lt;&gt;"",COUNTIF($D$6:$F$172,D130)&gt;1)</formula>
    </cfRule>
    <cfRule type="expression" dxfId="154" priority="10" stopIfTrue="1">
      <formula>OR(CODE(D130)&lt;48,CODE(D130)&gt;57)</formula>
    </cfRule>
    <cfRule type="expression" dxfId="153" priority="11" stopIfTrue="1">
      <formula>VLOOKUP(D130,Jumpers,7)&gt;17</formula>
    </cfRule>
  </conditionalFormatting>
  <conditionalFormatting sqref="F130:F149">
    <cfRule type="expression" dxfId="152" priority="6" stopIfTrue="1">
      <formula>AND(F130&lt;&gt;"",COUNTIF($D$6:$F$172,F130)&gt;1)</formula>
    </cfRule>
    <cfRule type="expression" dxfId="151" priority="7" stopIfTrue="1">
      <formula>OR(CODE(F130)&lt;48,CODE(F130)&gt;57)</formula>
    </cfRule>
    <cfRule type="expression" dxfId="150" priority="8" stopIfTrue="1">
      <formula>VLOOKUP(F130,Jumpers,7)&gt;17</formula>
    </cfRule>
  </conditionalFormatting>
  <conditionalFormatting sqref="D153:D172">
    <cfRule type="expression" dxfId="149" priority="3" stopIfTrue="1">
      <formula>AND(D153&lt;&gt;"",COUNTIF($D$6:$F$172,D153)&gt;1)</formula>
    </cfRule>
    <cfRule type="expression" dxfId="148" priority="4" stopIfTrue="1">
      <formula>OR(CODE(D153)&lt;48,CODE(D153)&gt;57)</formula>
    </cfRule>
  </conditionalFormatting>
  <conditionalFormatting sqref="F153:F172">
    <cfRule type="expression" dxfId="147" priority="1" stopIfTrue="1">
      <formula>AND(F153&lt;&gt;"",COUNTIF($D$6:$F$172,F153)&gt;1)</formula>
    </cfRule>
    <cfRule type="expression" dxfId="146" priority="2" stopIfTrue="1">
      <formula>OR(CODE(F153)&lt;48,CODE(F153)&gt;57)</formula>
    </cfRule>
  </conditionalFormatting>
  <pageMargins left="0.25" right="0.25" top="0.75" bottom="0.75" header="0.3" footer="0.3"/>
  <pageSetup scale="88" fitToHeight="2" orientation="portrait" horizontalDpi="180" verticalDpi="180"/>
  <headerFooter>
    <oddHeader>&amp;LUSAJR Regional Tournament&amp;R&amp;A</oddHeader>
    <oddFooter>&amp;RPage &amp;P of &amp;N</oddFooter>
  </headerFooter>
  <customProperties>
    <customPr name="DVSECTIONID" r:id="rId1"/>
  </customProperties>
  <extLst>
    <ext xmlns:mx="http://schemas.microsoft.com/office/mac/excel/2008/main" uri="{64002731-A6B0-56B0-2670-7721B7C09600}">
      <mx:PLV Mode="0" OnePage="0" WScale="83"/>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77"/>
  <sheetViews>
    <sheetView workbookViewId="0">
      <selection activeCell="D5" sqref="D5"/>
    </sheetView>
  </sheetViews>
  <sheetFormatPr defaultColWidth="8.85546875" defaultRowHeight="15" x14ac:dyDescent="0.25"/>
  <cols>
    <col min="1" max="1" width="4.28515625" style="37" customWidth="1"/>
    <col min="2" max="2" width="4.7109375" style="37" bestFit="1" customWidth="1"/>
    <col min="3" max="3" width="8.85546875" style="37"/>
    <col min="4" max="4" width="8.28515625" style="37" bestFit="1" customWidth="1"/>
    <col min="5" max="5" width="20.7109375" style="37" customWidth="1"/>
    <col min="6" max="6" width="8.28515625" style="37" bestFit="1" customWidth="1"/>
    <col min="7" max="7" width="20.7109375" style="37" customWidth="1"/>
    <col min="8" max="8" width="8.28515625" style="37" bestFit="1" customWidth="1"/>
    <col min="9" max="9" width="20.7109375" style="37" customWidth="1"/>
    <col min="10" max="16384" width="8.85546875" style="37"/>
  </cols>
  <sheetData>
    <row r="1" spans="1:9" ht="18.75" x14ac:dyDescent="0.3">
      <c r="A1" s="56" t="s">
        <v>87</v>
      </c>
      <c r="I1" s="43" t="str">
        <f>CONCATENATE("Team: ",'Team Info'!$B$3)</f>
        <v xml:space="preserve">Team: </v>
      </c>
    </row>
    <row r="2" spans="1:9" x14ac:dyDescent="0.25">
      <c r="A2" s="57" t="s">
        <v>133</v>
      </c>
    </row>
    <row r="3" spans="1:9" x14ac:dyDescent="0.25">
      <c r="A3" s="38" t="s">
        <v>9</v>
      </c>
      <c r="B3" s="54"/>
      <c r="C3" s="54"/>
      <c r="D3" s="38"/>
      <c r="E3" s="38"/>
      <c r="F3" s="38"/>
      <c r="G3" s="38"/>
      <c r="H3" s="38"/>
      <c r="I3" s="38"/>
    </row>
    <row r="4" spans="1:9" ht="23.25" x14ac:dyDescent="0.25">
      <c r="A4" s="39" t="s">
        <v>0</v>
      </c>
      <c r="B4" s="39" t="s">
        <v>55</v>
      </c>
      <c r="C4" s="39" t="s">
        <v>56</v>
      </c>
      <c r="D4" s="55" t="s">
        <v>8</v>
      </c>
      <c r="E4" s="39" t="s">
        <v>81</v>
      </c>
      <c r="F4" s="55" t="s">
        <v>8</v>
      </c>
      <c r="G4" s="39" t="s">
        <v>81</v>
      </c>
      <c r="H4" s="55" t="s">
        <v>8</v>
      </c>
      <c r="I4" s="39" t="s">
        <v>81</v>
      </c>
    </row>
    <row r="5" spans="1:9" x14ac:dyDescent="0.25">
      <c r="A5" s="52">
        <v>1</v>
      </c>
      <c r="B5" s="63" t="s">
        <v>119</v>
      </c>
      <c r="C5" s="90" t="s">
        <v>44</v>
      </c>
      <c r="D5" s="36"/>
      <c r="E5" s="42" t="str">
        <f t="shared" ref="E5:E19" si="0">IF(D5&gt;0,VLOOKUP(D5,Jumpers,3)&amp;", "&amp;VLOOKUP(D5,Jumpers,2)&amp;" ("&amp;VLOOKUP(D5,Jumpers,7)&amp;")","")</f>
        <v/>
      </c>
      <c r="F5" s="36"/>
      <c r="G5" s="42" t="str">
        <f t="shared" ref="G5:G19" si="1">IF(F5&gt;0,VLOOKUP(F5,Jumpers,3)&amp;", "&amp;VLOOKUP(F5,Jumpers,2)&amp;" ("&amp;VLOOKUP(F5,Jumpers,7)&amp;")","")</f>
        <v/>
      </c>
      <c r="H5" s="36"/>
      <c r="I5" s="42" t="str">
        <f t="shared" ref="I5:I19" si="2">IF(H5&gt;0,VLOOKUP(H5,Jumpers,3)&amp;", "&amp;VLOOKUP(H5,Jumpers,2)&amp;" ("&amp;VLOOKUP(H5,Jumpers,7)&amp;")","")</f>
        <v/>
      </c>
    </row>
    <row r="6" spans="1:9" x14ac:dyDescent="0.25">
      <c r="A6" s="52">
        <v>2</v>
      </c>
      <c r="B6" s="63" t="s">
        <v>119</v>
      </c>
      <c r="C6" s="90" t="s">
        <v>44</v>
      </c>
      <c r="D6" s="36"/>
      <c r="E6" s="42" t="str">
        <f t="shared" si="0"/>
        <v/>
      </c>
      <c r="F6" s="36"/>
      <c r="G6" s="42" t="str">
        <f t="shared" si="1"/>
        <v/>
      </c>
      <c r="H6" s="36"/>
      <c r="I6" s="42" t="str">
        <f t="shared" si="2"/>
        <v/>
      </c>
    </row>
    <row r="7" spans="1:9" x14ac:dyDescent="0.25">
      <c r="A7" s="52">
        <v>3</v>
      </c>
      <c r="B7" s="63" t="s">
        <v>119</v>
      </c>
      <c r="C7" s="90" t="s">
        <v>44</v>
      </c>
      <c r="D7" s="36"/>
      <c r="E7" s="42" t="str">
        <f t="shared" si="0"/>
        <v/>
      </c>
      <c r="F7" s="36"/>
      <c r="G7" s="42" t="str">
        <f t="shared" si="1"/>
        <v/>
      </c>
      <c r="H7" s="36"/>
      <c r="I7" s="42" t="str">
        <f t="shared" si="2"/>
        <v/>
      </c>
    </row>
    <row r="8" spans="1:9" x14ac:dyDescent="0.25">
      <c r="A8" s="52">
        <v>4</v>
      </c>
      <c r="B8" s="63" t="s">
        <v>119</v>
      </c>
      <c r="C8" s="90" t="s">
        <v>44</v>
      </c>
      <c r="D8" s="36"/>
      <c r="E8" s="42" t="str">
        <f t="shared" si="0"/>
        <v/>
      </c>
      <c r="F8" s="36"/>
      <c r="G8" s="42" t="str">
        <f t="shared" si="1"/>
        <v/>
      </c>
      <c r="H8" s="36"/>
      <c r="I8" s="42" t="str">
        <f t="shared" si="2"/>
        <v/>
      </c>
    </row>
    <row r="9" spans="1:9" x14ac:dyDescent="0.25">
      <c r="A9" s="52">
        <v>5</v>
      </c>
      <c r="B9" s="63" t="s">
        <v>119</v>
      </c>
      <c r="C9" s="90" t="s">
        <v>44</v>
      </c>
      <c r="D9" s="36"/>
      <c r="E9" s="42" t="str">
        <f t="shared" si="0"/>
        <v/>
      </c>
      <c r="F9" s="36"/>
      <c r="G9" s="42" t="str">
        <f t="shared" si="1"/>
        <v/>
      </c>
      <c r="H9" s="36"/>
      <c r="I9" s="42" t="str">
        <f t="shared" si="2"/>
        <v/>
      </c>
    </row>
    <row r="10" spans="1:9" x14ac:dyDescent="0.25">
      <c r="A10" s="52">
        <v>6</v>
      </c>
      <c r="B10" s="63" t="s">
        <v>119</v>
      </c>
      <c r="C10" s="90" t="s">
        <v>44</v>
      </c>
      <c r="D10" s="36"/>
      <c r="E10" s="42" t="str">
        <f t="shared" si="0"/>
        <v/>
      </c>
      <c r="F10" s="36"/>
      <c r="G10" s="42" t="str">
        <f t="shared" si="1"/>
        <v/>
      </c>
      <c r="H10" s="36"/>
      <c r="I10" s="42" t="str">
        <f t="shared" si="2"/>
        <v/>
      </c>
    </row>
    <row r="11" spans="1:9" x14ac:dyDescent="0.25">
      <c r="A11" s="52">
        <v>7</v>
      </c>
      <c r="B11" s="63" t="s">
        <v>119</v>
      </c>
      <c r="C11" s="90" t="s">
        <v>44</v>
      </c>
      <c r="D11" s="36"/>
      <c r="E11" s="42" t="str">
        <f t="shared" si="0"/>
        <v/>
      </c>
      <c r="F11" s="36"/>
      <c r="G11" s="42" t="str">
        <f t="shared" si="1"/>
        <v/>
      </c>
      <c r="H11" s="36"/>
      <c r="I11" s="42" t="str">
        <f t="shared" si="2"/>
        <v/>
      </c>
    </row>
    <row r="12" spans="1:9" x14ac:dyDescent="0.25">
      <c r="A12" s="52">
        <v>8</v>
      </c>
      <c r="B12" s="63" t="s">
        <v>119</v>
      </c>
      <c r="C12" s="90" t="s">
        <v>44</v>
      </c>
      <c r="D12" s="36"/>
      <c r="E12" s="42" t="str">
        <f t="shared" si="0"/>
        <v/>
      </c>
      <c r="F12" s="36"/>
      <c r="G12" s="42" t="str">
        <f t="shared" si="1"/>
        <v/>
      </c>
      <c r="H12" s="36"/>
      <c r="I12" s="42" t="str">
        <f t="shared" si="2"/>
        <v/>
      </c>
    </row>
    <row r="13" spans="1:9" x14ac:dyDescent="0.25">
      <c r="A13" s="85">
        <v>9</v>
      </c>
      <c r="B13" s="63" t="s">
        <v>119</v>
      </c>
      <c r="C13" s="90" t="s">
        <v>44</v>
      </c>
      <c r="D13" s="36"/>
      <c r="E13" s="42" t="str">
        <f t="shared" si="0"/>
        <v/>
      </c>
      <c r="F13" s="36"/>
      <c r="G13" s="42" t="str">
        <f t="shared" si="1"/>
        <v/>
      </c>
      <c r="H13" s="36"/>
      <c r="I13" s="42" t="str">
        <f t="shared" si="2"/>
        <v/>
      </c>
    </row>
    <row r="14" spans="1:9" x14ac:dyDescent="0.25">
      <c r="A14" s="85">
        <v>10</v>
      </c>
      <c r="B14" s="63" t="s">
        <v>119</v>
      </c>
      <c r="C14" s="90" t="s">
        <v>44</v>
      </c>
      <c r="D14" s="36"/>
      <c r="E14" s="42" t="str">
        <f t="shared" si="0"/>
        <v/>
      </c>
      <c r="F14" s="36"/>
      <c r="G14" s="42" t="str">
        <f t="shared" si="1"/>
        <v/>
      </c>
      <c r="H14" s="36"/>
      <c r="I14" s="42" t="str">
        <f t="shared" si="2"/>
        <v/>
      </c>
    </row>
    <row r="15" spans="1:9" x14ac:dyDescent="0.25">
      <c r="A15" s="85">
        <v>11</v>
      </c>
      <c r="B15" s="63" t="s">
        <v>119</v>
      </c>
      <c r="C15" s="90" t="s">
        <v>44</v>
      </c>
      <c r="D15" s="36"/>
      <c r="E15" s="42" t="str">
        <f t="shared" si="0"/>
        <v/>
      </c>
      <c r="F15" s="36"/>
      <c r="G15" s="42" t="str">
        <f t="shared" si="1"/>
        <v/>
      </c>
      <c r="H15" s="36"/>
      <c r="I15" s="42" t="str">
        <f t="shared" si="2"/>
        <v/>
      </c>
    </row>
    <row r="16" spans="1:9" x14ac:dyDescent="0.25">
      <c r="A16" s="85">
        <v>12</v>
      </c>
      <c r="B16" s="63" t="s">
        <v>119</v>
      </c>
      <c r="C16" s="90" t="s">
        <v>44</v>
      </c>
      <c r="D16" s="36"/>
      <c r="E16" s="42" t="str">
        <f t="shared" si="0"/>
        <v/>
      </c>
      <c r="F16" s="36"/>
      <c r="G16" s="42" t="str">
        <f t="shared" si="1"/>
        <v/>
      </c>
      <c r="H16" s="36"/>
      <c r="I16" s="42" t="str">
        <f t="shared" si="2"/>
        <v/>
      </c>
    </row>
    <row r="17" spans="1:9" x14ac:dyDescent="0.25">
      <c r="A17" s="85">
        <v>13</v>
      </c>
      <c r="B17" s="63" t="s">
        <v>119</v>
      </c>
      <c r="C17" s="90" t="s">
        <v>44</v>
      </c>
      <c r="D17" s="36"/>
      <c r="E17" s="42" t="str">
        <f t="shared" si="0"/>
        <v/>
      </c>
      <c r="F17" s="36"/>
      <c r="G17" s="42" t="str">
        <f t="shared" si="1"/>
        <v/>
      </c>
      <c r="H17" s="36"/>
      <c r="I17" s="42" t="str">
        <f t="shared" si="2"/>
        <v/>
      </c>
    </row>
    <row r="18" spans="1:9" x14ac:dyDescent="0.25">
      <c r="A18" s="85">
        <v>14</v>
      </c>
      <c r="B18" s="63" t="s">
        <v>119</v>
      </c>
      <c r="C18" s="90" t="s">
        <v>44</v>
      </c>
      <c r="D18" s="36"/>
      <c r="E18" s="42" t="str">
        <f t="shared" si="0"/>
        <v/>
      </c>
      <c r="F18" s="36"/>
      <c r="G18" s="42" t="str">
        <f t="shared" si="1"/>
        <v/>
      </c>
      <c r="H18" s="36"/>
      <c r="I18" s="42" t="str">
        <f t="shared" si="2"/>
        <v/>
      </c>
    </row>
    <row r="19" spans="1:9" x14ac:dyDescent="0.25">
      <c r="A19" s="85">
        <v>15</v>
      </c>
      <c r="B19" s="63" t="s">
        <v>119</v>
      </c>
      <c r="C19" s="90" t="s">
        <v>44</v>
      </c>
      <c r="D19" s="36"/>
      <c r="E19" s="42" t="str">
        <f t="shared" si="0"/>
        <v/>
      </c>
      <c r="F19" s="36"/>
      <c r="G19" s="42" t="str">
        <f t="shared" si="1"/>
        <v/>
      </c>
      <c r="H19" s="36"/>
      <c r="I19" s="42" t="str">
        <f t="shared" si="2"/>
        <v/>
      </c>
    </row>
    <row r="20" spans="1:9" x14ac:dyDescent="0.25">
      <c r="A20" s="93" t="s">
        <v>161</v>
      </c>
      <c r="B20" s="54"/>
      <c r="C20" s="54"/>
      <c r="D20" s="38"/>
      <c r="E20" s="38"/>
      <c r="F20" s="38"/>
      <c r="G20" s="38"/>
      <c r="H20" s="38"/>
      <c r="I20" s="38"/>
    </row>
    <row r="21" spans="1:9" ht="23.25" x14ac:dyDescent="0.25">
      <c r="A21" s="39" t="s">
        <v>0</v>
      </c>
      <c r="B21" s="39" t="s">
        <v>55</v>
      </c>
      <c r="C21" s="39" t="s">
        <v>56</v>
      </c>
      <c r="D21" s="55" t="s">
        <v>8</v>
      </c>
      <c r="E21" s="39" t="s">
        <v>81</v>
      </c>
      <c r="F21" s="55" t="s">
        <v>8</v>
      </c>
      <c r="G21" s="39" t="s">
        <v>81</v>
      </c>
      <c r="H21" s="55" t="s">
        <v>8</v>
      </c>
      <c r="I21" s="39" t="s">
        <v>81</v>
      </c>
    </row>
    <row r="22" spans="1:9" x14ac:dyDescent="0.25">
      <c r="A22" s="52">
        <v>1</v>
      </c>
      <c r="B22" s="63" t="s">
        <v>119</v>
      </c>
      <c r="C22" s="94" t="s">
        <v>45</v>
      </c>
      <c r="D22" s="36"/>
      <c r="E22" s="42" t="str">
        <f t="shared" ref="E22:E36" si="3">IF(D22&gt;0,VLOOKUP(D22,Jumpers,3)&amp;", "&amp;VLOOKUP(D22,Jumpers,2)&amp;" ("&amp;VLOOKUP(D22,Jumpers,7)&amp;")","")</f>
        <v/>
      </c>
      <c r="F22" s="36"/>
      <c r="G22" s="42" t="str">
        <f t="shared" ref="G22:G36" si="4">IF(F22&gt;0,VLOOKUP(F22,Jumpers,3)&amp;", "&amp;VLOOKUP(F22,Jumpers,2)&amp;" ("&amp;VLOOKUP(F22,Jumpers,7)&amp;")","")</f>
        <v/>
      </c>
      <c r="H22" s="36"/>
      <c r="I22" s="42" t="str">
        <f t="shared" ref="I22:I36" si="5">IF(H22&gt;0,VLOOKUP(H22,Jumpers,3)&amp;", "&amp;VLOOKUP(H22,Jumpers,2)&amp;" ("&amp;VLOOKUP(H22,Jumpers,7)&amp;")","")</f>
        <v/>
      </c>
    </row>
    <row r="23" spans="1:9" x14ac:dyDescent="0.25">
      <c r="A23" s="52">
        <v>2</v>
      </c>
      <c r="B23" s="63" t="s">
        <v>119</v>
      </c>
      <c r="C23" s="94" t="s">
        <v>45</v>
      </c>
      <c r="D23" s="36"/>
      <c r="E23" s="42" t="str">
        <f t="shared" si="3"/>
        <v/>
      </c>
      <c r="F23" s="36"/>
      <c r="G23" s="42" t="str">
        <f t="shared" si="4"/>
        <v/>
      </c>
      <c r="H23" s="36"/>
      <c r="I23" s="42" t="str">
        <f t="shared" si="5"/>
        <v/>
      </c>
    </row>
    <row r="24" spans="1:9" x14ac:dyDescent="0.25">
      <c r="A24" s="52">
        <v>3</v>
      </c>
      <c r="B24" s="63" t="s">
        <v>119</v>
      </c>
      <c r="C24" s="94" t="s">
        <v>45</v>
      </c>
      <c r="D24" s="36"/>
      <c r="E24" s="42" t="str">
        <f t="shared" si="3"/>
        <v/>
      </c>
      <c r="F24" s="36"/>
      <c r="G24" s="42" t="str">
        <f t="shared" si="4"/>
        <v/>
      </c>
      <c r="H24" s="36"/>
      <c r="I24" s="42" t="str">
        <f t="shared" si="5"/>
        <v/>
      </c>
    </row>
    <row r="25" spans="1:9" x14ac:dyDescent="0.25">
      <c r="A25" s="52">
        <v>4</v>
      </c>
      <c r="B25" s="63" t="s">
        <v>119</v>
      </c>
      <c r="C25" s="94" t="s">
        <v>45</v>
      </c>
      <c r="D25" s="36"/>
      <c r="E25" s="42" t="str">
        <f t="shared" si="3"/>
        <v/>
      </c>
      <c r="F25" s="36"/>
      <c r="G25" s="42" t="str">
        <f t="shared" si="4"/>
        <v/>
      </c>
      <c r="H25" s="36"/>
      <c r="I25" s="42" t="str">
        <f t="shared" si="5"/>
        <v/>
      </c>
    </row>
    <row r="26" spans="1:9" x14ac:dyDescent="0.25">
      <c r="A26" s="52">
        <v>5</v>
      </c>
      <c r="B26" s="63" t="s">
        <v>119</v>
      </c>
      <c r="C26" s="94" t="s">
        <v>45</v>
      </c>
      <c r="D26" s="36"/>
      <c r="E26" s="42" t="str">
        <f t="shared" si="3"/>
        <v/>
      </c>
      <c r="F26" s="36"/>
      <c r="G26" s="42" t="str">
        <f t="shared" si="4"/>
        <v/>
      </c>
      <c r="H26" s="36"/>
      <c r="I26" s="42" t="str">
        <f t="shared" si="5"/>
        <v/>
      </c>
    </row>
    <row r="27" spans="1:9" x14ac:dyDescent="0.25">
      <c r="A27" s="52">
        <v>6</v>
      </c>
      <c r="B27" s="63" t="s">
        <v>119</v>
      </c>
      <c r="C27" s="94" t="s">
        <v>45</v>
      </c>
      <c r="D27" s="36"/>
      <c r="E27" s="42" t="str">
        <f t="shared" si="3"/>
        <v/>
      </c>
      <c r="F27" s="36"/>
      <c r="G27" s="42" t="str">
        <f t="shared" si="4"/>
        <v/>
      </c>
      <c r="H27" s="36"/>
      <c r="I27" s="42" t="str">
        <f t="shared" si="5"/>
        <v/>
      </c>
    </row>
    <row r="28" spans="1:9" x14ac:dyDescent="0.25">
      <c r="A28" s="52">
        <v>7</v>
      </c>
      <c r="B28" s="63" t="s">
        <v>119</v>
      </c>
      <c r="C28" s="94" t="s">
        <v>45</v>
      </c>
      <c r="D28" s="36"/>
      <c r="E28" s="42" t="str">
        <f t="shared" si="3"/>
        <v/>
      </c>
      <c r="F28" s="36"/>
      <c r="G28" s="42" t="str">
        <f t="shared" si="4"/>
        <v/>
      </c>
      <c r="H28" s="36"/>
      <c r="I28" s="42" t="str">
        <f t="shared" si="5"/>
        <v/>
      </c>
    </row>
    <row r="29" spans="1:9" x14ac:dyDescent="0.25">
      <c r="A29" s="52">
        <v>8</v>
      </c>
      <c r="B29" s="63" t="s">
        <v>119</v>
      </c>
      <c r="C29" s="94" t="s">
        <v>45</v>
      </c>
      <c r="D29" s="36"/>
      <c r="E29" s="42" t="str">
        <f t="shared" si="3"/>
        <v/>
      </c>
      <c r="F29" s="36"/>
      <c r="G29" s="42" t="str">
        <f t="shared" si="4"/>
        <v/>
      </c>
      <c r="H29" s="36"/>
      <c r="I29" s="42" t="str">
        <f t="shared" si="5"/>
        <v/>
      </c>
    </row>
    <row r="30" spans="1:9" x14ac:dyDescent="0.25">
      <c r="A30" s="85">
        <v>9</v>
      </c>
      <c r="B30" s="63" t="s">
        <v>119</v>
      </c>
      <c r="C30" s="94" t="s">
        <v>45</v>
      </c>
      <c r="D30" s="36"/>
      <c r="E30" s="42" t="str">
        <f t="shared" si="3"/>
        <v/>
      </c>
      <c r="F30" s="36"/>
      <c r="G30" s="42" t="str">
        <f t="shared" si="4"/>
        <v/>
      </c>
      <c r="H30" s="36"/>
      <c r="I30" s="42" t="str">
        <f t="shared" si="5"/>
        <v/>
      </c>
    </row>
    <row r="31" spans="1:9" x14ac:dyDescent="0.25">
      <c r="A31" s="85">
        <v>10</v>
      </c>
      <c r="B31" s="63" t="s">
        <v>119</v>
      </c>
      <c r="C31" s="94" t="s">
        <v>45</v>
      </c>
      <c r="D31" s="36"/>
      <c r="E31" s="42" t="str">
        <f t="shared" si="3"/>
        <v/>
      </c>
      <c r="F31" s="36"/>
      <c r="G31" s="42" t="str">
        <f t="shared" si="4"/>
        <v/>
      </c>
      <c r="H31" s="36"/>
      <c r="I31" s="42" t="str">
        <f t="shared" si="5"/>
        <v/>
      </c>
    </row>
    <row r="32" spans="1:9" x14ac:dyDescent="0.25">
      <c r="A32" s="85">
        <v>11</v>
      </c>
      <c r="B32" s="63" t="s">
        <v>119</v>
      </c>
      <c r="C32" s="94" t="s">
        <v>45</v>
      </c>
      <c r="D32" s="36"/>
      <c r="E32" s="42" t="str">
        <f t="shared" si="3"/>
        <v/>
      </c>
      <c r="F32" s="36"/>
      <c r="G32" s="42" t="str">
        <f t="shared" si="4"/>
        <v/>
      </c>
      <c r="H32" s="36"/>
      <c r="I32" s="42" t="str">
        <f t="shared" si="5"/>
        <v/>
      </c>
    </row>
    <row r="33" spans="1:9" x14ac:dyDescent="0.25">
      <c r="A33" s="85">
        <v>12</v>
      </c>
      <c r="B33" s="63" t="s">
        <v>119</v>
      </c>
      <c r="C33" s="94" t="s">
        <v>45</v>
      </c>
      <c r="D33" s="36"/>
      <c r="E33" s="42" t="str">
        <f t="shared" si="3"/>
        <v/>
      </c>
      <c r="F33" s="36"/>
      <c r="G33" s="42" t="str">
        <f t="shared" si="4"/>
        <v/>
      </c>
      <c r="H33" s="36"/>
      <c r="I33" s="42" t="str">
        <f t="shared" si="5"/>
        <v/>
      </c>
    </row>
    <row r="34" spans="1:9" x14ac:dyDescent="0.25">
      <c r="A34" s="85">
        <v>13</v>
      </c>
      <c r="B34" s="63" t="s">
        <v>119</v>
      </c>
      <c r="C34" s="94" t="s">
        <v>45</v>
      </c>
      <c r="D34" s="36"/>
      <c r="E34" s="42" t="str">
        <f t="shared" si="3"/>
        <v/>
      </c>
      <c r="F34" s="36"/>
      <c r="G34" s="42" t="str">
        <f t="shared" si="4"/>
        <v/>
      </c>
      <c r="H34" s="36"/>
      <c r="I34" s="42" t="str">
        <f t="shared" si="5"/>
        <v/>
      </c>
    </row>
    <row r="35" spans="1:9" x14ac:dyDescent="0.25">
      <c r="A35" s="85">
        <v>14</v>
      </c>
      <c r="B35" s="63" t="s">
        <v>119</v>
      </c>
      <c r="C35" s="94" t="s">
        <v>45</v>
      </c>
      <c r="D35" s="36"/>
      <c r="E35" s="42" t="str">
        <f t="shared" si="3"/>
        <v/>
      </c>
      <c r="F35" s="36"/>
      <c r="G35" s="42" t="str">
        <f t="shared" si="4"/>
        <v/>
      </c>
      <c r="H35" s="36"/>
      <c r="I35" s="42" t="str">
        <f t="shared" si="5"/>
        <v/>
      </c>
    </row>
    <row r="36" spans="1:9" x14ac:dyDescent="0.25">
      <c r="A36" s="85">
        <v>15</v>
      </c>
      <c r="B36" s="63" t="s">
        <v>119</v>
      </c>
      <c r="C36" s="94" t="s">
        <v>45</v>
      </c>
      <c r="D36" s="36"/>
      <c r="E36" s="42" t="str">
        <f t="shared" si="3"/>
        <v/>
      </c>
      <c r="F36" s="36"/>
      <c r="G36" s="42" t="str">
        <f t="shared" si="4"/>
        <v/>
      </c>
      <c r="H36" s="36"/>
      <c r="I36" s="42" t="str">
        <f t="shared" si="5"/>
        <v/>
      </c>
    </row>
    <row r="37" spans="1:9" x14ac:dyDescent="0.25">
      <c r="A37" s="38" t="s">
        <v>108</v>
      </c>
      <c r="B37" s="54"/>
      <c r="C37" s="54"/>
      <c r="D37" s="38"/>
      <c r="E37" s="38"/>
      <c r="F37" s="38"/>
      <c r="G37" s="38"/>
      <c r="H37" s="38"/>
      <c r="I37" s="38"/>
    </row>
    <row r="38" spans="1:9" ht="23.25" x14ac:dyDescent="0.25">
      <c r="A38" s="39" t="s">
        <v>0</v>
      </c>
      <c r="B38" s="39" t="s">
        <v>55</v>
      </c>
      <c r="C38" s="39" t="s">
        <v>56</v>
      </c>
      <c r="D38" s="55" t="s">
        <v>8</v>
      </c>
      <c r="E38" s="39" t="s">
        <v>81</v>
      </c>
      <c r="F38" s="55" t="s">
        <v>8</v>
      </c>
      <c r="G38" s="39" t="s">
        <v>81</v>
      </c>
      <c r="H38" s="55" t="s">
        <v>8</v>
      </c>
      <c r="I38" s="39" t="s">
        <v>81</v>
      </c>
    </row>
    <row r="39" spans="1:9" x14ac:dyDescent="0.25">
      <c r="A39" s="52">
        <v>1</v>
      </c>
      <c r="B39" s="63" t="s">
        <v>119</v>
      </c>
      <c r="C39" s="63" t="s">
        <v>47</v>
      </c>
      <c r="D39" s="36"/>
      <c r="E39" s="42" t="str">
        <f t="shared" ref="E39:E50" si="6">IF(D39&gt;0,VLOOKUP(D39,Jumpers,3)&amp;", "&amp;VLOOKUP(D39,Jumpers,2)&amp;" ("&amp;VLOOKUP(D39,Jumpers,7)&amp;")","")</f>
        <v/>
      </c>
      <c r="F39" s="36"/>
      <c r="G39" s="42" t="str">
        <f t="shared" ref="G39:G50" si="7">IF(F39&gt;0,VLOOKUP(F39,Jumpers,3)&amp;", "&amp;VLOOKUP(F39,Jumpers,2)&amp;" ("&amp;VLOOKUP(F39,Jumpers,7)&amp;")","")</f>
        <v/>
      </c>
      <c r="H39" s="36"/>
      <c r="I39" s="42" t="str">
        <f t="shared" ref="I39:I50" si="8">IF(H39&gt;0,VLOOKUP(H39,Jumpers,3)&amp;", "&amp;VLOOKUP(H39,Jumpers,2)&amp;" ("&amp;VLOOKUP(H39,Jumpers,7)&amp;")","")</f>
        <v/>
      </c>
    </row>
    <row r="40" spans="1:9" x14ac:dyDescent="0.25">
      <c r="A40" s="52">
        <v>2</v>
      </c>
      <c r="B40" s="63" t="s">
        <v>119</v>
      </c>
      <c r="C40" s="63" t="s">
        <v>47</v>
      </c>
      <c r="D40" s="36"/>
      <c r="E40" s="42" t="str">
        <f t="shared" si="6"/>
        <v/>
      </c>
      <c r="F40" s="36"/>
      <c r="G40" s="42" t="str">
        <f t="shared" si="7"/>
        <v/>
      </c>
      <c r="H40" s="36"/>
      <c r="I40" s="42" t="str">
        <f t="shared" si="8"/>
        <v/>
      </c>
    </row>
    <row r="41" spans="1:9" x14ac:dyDescent="0.25">
      <c r="A41" s="52">
        <v>3</v>
      </c>
      <c r="B41" s="63" t="s">
        <v>119</v>
      </c>
      <c r="C41" s="63" t="s">
        <v>47</v>
      </c>
      <c r="D41" s="36"/>
      <c r="E41" s="42" t="str">
        <f t="shared" si="6"/>
        <v/>
      </c>
      <c r="F41" s="36"/>
      <c r="G41" s="42" t="str">
        <f t="shared" si="7"/>
        <v/>
      </c>
      <c r="H41" s="36"/>
      <c r="I41" s="42" t="str">
        <f t="shared" si="8"/>
        <v/>
      </c>
    </row>
    <row r="42" spans="1:9" x14ac:dyDescent="0.25">
      <c r="A42" s="52">
        <v>4</v>
      </c>
      <c r="B42" s="63" t="s">
        <v>119</v>
      </c>
      <c r="C42" s="63" t="s">
        <v>47</v>
      </c>
      <c r="D42" s="36"/>
      <c r="E42" s="42" t="str">
        <f t="shared" si="6"/>
        <v/>
      </c>
      <c r="F42" s="36"/>
      <c r="G42" s="42" t="str">
        <f t="shared" si="7"/>
        <v/>
      </c>
      <c r="H42" s="36"/>
      <c r="I42" s="42" t="str">
        <f t="shared" si="8"/>
        <v/>
      </c>
    </row>
    <row r="43" spans="1:9" x14ac:dyDescent="0.25">
      <c r="A43" s="52">
        <v>5</v>
      </c>
      <c r="B43" s="63" t="s">
        <v>119</v>
      </c>
      <c r="C43" s="63" t="s">
        <v>47</v>
      </c>
      <c r="D43" s="36"/>
      <c r="E43" s="42" t="str">
        <f t="shared" si="6"/>
        <v/>
      </c>
      <c r="F43" s="36"/>
      <c r="G43" s="42" t="str">
        <f t="shared" si="7"/>
        <v/>
      </c>
      <c r="H43" s="36"/>
      <c r="I43" s="42" t="str">
        <f t="shared" si="8"/>
        <v/>
      </c>
    </row>
    <row r="44" spans="1:9" x14ac:dyDescent="0.25">
      <c r="A44" s="52">
        <v>6</v>
      </c>
      <c r="B44" s="63" t="s">
        <v>119</v>
      </c>
      <c r="C44" s="63" t="s">
        <v>47</v>
      </c>
      <c r="D44" s="36"/>
      <c r="E44" s="42" t="str">
        <f t="shared" si="6"/>
        <v/>
      </c>
      <c r="F44" s="36"/>
      <c r="G44" s="42" t="str">
        <f t="shared" si="7"/>
        <v/>
      </c>
      <c r="H44" s="36"/>
      <c r="I44" s="42" t="str">
        <f t="shared" si="8"/>
        <v/>
      </c>
    </row>
    <row r="45" spans="1:9" x14ac:dyDescent="0.25">
      <c r="A45" s="52">
        <v>7</v>
      </c>
      <c r="B45" s="63" t="s">
        <v>119</v>
      </c>
      <c r="C45" s="63" t="s">
        <v>47</v>
      </c>
      <c r="D45" s="36"/>
      <c r="E45" s="42" t="str">
        <f t="shared" si="6"/>
        <v/>
      </c>
      <c r="F45" s="36"/>
      <c r="G45" s="42" t="str">
        <f t="shared" si="7"/>
        <v/>
      </c>
      <c r="H45" s="36"/>
      <c r="I45" s="42" t="str">
        <f t="shared" si="8"/>
        <v/>
      </c>
    </row>
    <row r="46" spans="1:9" x14ac:dyDescent="0.25">
      <c r="A46" s="52">
        <v>8</v>
      </c>
      <c r="B46" s="63" t="s">
        <v>119</v>
      </c>
      <c r="C46" s="63" t="s">
        <v>47</v>
      </c>
      <c r="D46" s="36"/>
      <c r="E46" s="42" t="str">
        <f t="shared" si="6"/>
        <v/>
      </c>
      <c r="F46" s="36"/>
      <c r="G46" s="42" t="str">
        <f t="shared" si="7"/>
        <v/>
      </c>
      <c r="H46" s="36"/>
      <c r="I46" s="42" t="str">
        <f t="shared" si="8"/>
        <v/>
      </c>
    </row>
    <row r="47" spans="1:9" x14ac:dyDescent="0.25">
      <c r="A47" s="85">
        <v>9</v>
      </c>
      <c r="B47" s="63" t="s">
        <v>119</v>
      </c>
      <c r="C47" s="63" t="s">
        <v>47</v>
      </c>
      <c r="D47" s="36"/>
      <c r="E47" s="42" t="str">
        <f t="shared" si="6"/>
        <v/>
      </c>
      <c r="F47" s="36"/>
      <c r="G47" s="42" t="str">
        <f t="shared" si="7"/>
        <v/>
      </c>
      <c r="H47" s="36"/>
      <c r="I47" s="42" t="str">
        <f t="shared" si="8"/>
        <v/>
      </c>
    </row>
    <row r="48" spans="1:9" x14ac:dyDescent="0.25">
      <c r="A48" s="85">
        <v>10</v>
      </c>
      <c r="B48" s="63" t="s">
        <v>119</v>
      </c>
      <c r="C48" s="63" t="s">
        <v>47</v>
      </c>
      <c r="D48" s="36"/>
      <c r="E48" s="42" t="str">
        <f t="shared" si="6"/>
        <v/>
      </c>
      <c r="F48" s="36"/>
      <c r="G48" s="42" t="str">
        <f t="shared" si="7"/>
        <v/>
      </c>
      <c r="H48" s="36"/>
      <c r="I48" s="42" t="str">
        <f t="shared" si="8"/>
        <v/>
      </c>
    </row>
    <row r="49" spans="1:9" x14ac:dyDescent="0.25">
      <c r="A49" s="85">
        <v>11</v>
      </c>
      <c r="B49" s="63" t="s">
        <v>119</v>
      </c>
      <c r="C49" s="63" t="s">
        <v>47</v>
      </c>
      <c r="D49" s="36"/>
      <c r="E49" s="42" t="str">
        <f t="shared" si="6"/>
        <v/>
      </c>
      <c r="F49" s="36"/>
      <c r="G49" s="42" t="str">
        <f t="shared" si="7"/>
        <v/>
      </c>
      <c r="H49" s="36"/>
      <c r="I49" s="42" t="str">
        <f t="shared" si="8"/>
        <v/>
      </c>
    </row>
    <row r="50" spans="1:9" x14ac:dyDescent="0.25">
      <c r="A50" s="85">
        <v>12</v>
      </c>
      <c r="B50" s="63" t="s">
        <v>119</v>
      </c>
      <c r="C50" s="63" t="s">
        <v>47</v>
      </c>
      <c r="D50" s="36"/>
      <c r="E50" s="42" t="str">
        <f t="shared" si="6"/>
        <v/>
      </c>
      <c r="F50" s="36"/>
      <c r="G50" s="42" t="str">
        <f t="shared" si="7"/>
        <v/>
      </c>
      <c r="H50" s="36"/>
      <c r="I50" s="42" t="str">
        <f t="shared" si="8"/>
        <v/>
      </c>
    </row>
    <row r="51" spans="1:9" x14ac:dyDescent="0.25">
      <c r="A51" s="38" t="s">
        <v>107</v>
      </c>
      <c r="B51" s="54"/>
      <c r="C51" s="54"/>
      <c r="D51" s="38"/>
      <c r="E51" s="38"/>
      <c r="F51" s="38"/>
      <c r="G51" s="38"/>
      <c r="H51" s="38"/>
      <c r="I51" s="38"/>
    </row>
    <row r="52" spans="1:9" ht="23.25" x14ac:dyDescent="0.25">
      <c r="A52" s="39" t="s">
        <v>0</v>
      </c>
      <c r="B52" s="39" t="s">
        <v>55</v>
      </c>
      <c r="C52" s="39" t="s">
        <v>56</v>
      </c>
      <c r="D52" s="55" t="s">
        <v>8</v>
      </c>
      <c r="E52" s="39" t="s">
        <v>81</v>
      </c>
      <c r="F52" s="55" t="s">
        <v>8</v>
      </c>
      <c r="G52" s="39" t="s">
        <v>81</v>
      </c>
      <c r="H52" s="55" t="s">
        <v>8</v>
      </c>
      <c r="I52" s="39" t="s">
        <v>81</v>
      </c>
    </row>
    <row r="53" spans="1:9" x14ac:dyDescent="0.25">
      <c r="A53" s="52">
        <v>1</v>
      </c>
      <c r="B53" s="63" t="s">
        <v>119</v>
      </c>
      <c r="C53" s="63" t="s">
        <v>48</v>
      </c>
      <c r="D53" s="36"/>
      <c r="E53" s="42" t="str">
        <f t="shared" ref="E53:E60" si="9">IF(D53&gt;0,VLOOKUP(D53,Jumpers,3)&amp;", "&amp;VLOOKUP(D53,Jumpers,2)&amp;" ("&amp;VLOOKUP(D53,Jumpers,7)&amp;")","")</f>
        <v/>
      </c>
      <c r="F53" s="36"/>
      <c r="G53" s="42" t="str">
        <f t="shared" ref="G53:G60" si="10">IF(F53&gt;0,VLOOKUP(F53,Jumpers,3)&amp;", "&amp;VLOOKUP(F53,Jumpers,2)&amp;" ("&amp;VLOOKUP(F53,Jumpers,7)&amp;")","")</f>
        <v/>
      </c>
      <c r="H53" s="36"/>
      <c r="I53" s="42" t="str">
        <f t="shared" ref="I53:I60" si="11">IF(H53&gt;0,VLOOKUP(H53,Jumpers,3)&amp;", "&amp;VLOOKUP(H53,Jumpers,2)&amp;" ("&amp;VLOOKUP(H53,Jumpers,7)&amp;")","")</f>
        <v/>
      </c>
    </row>
    <row r="54" spans="1:9" x14ac:dyDescent="0.25">
      <c r="A54" s="52">
        <v>2</v>
      </c>
      <c r="B54" s="63" t="s">
        <v>119</v>
      </c>
      <c r="C54" s="63" t="s">
        <v>48</v>
      </c>
      <c r="D54" s="36"/>
      <c r="E54" s="42" t="str">
        <f t="shared" si="9"/>
        <v/>
      </c>
      <c r="F54" s="36"/>
      <c r="G54" s="42" t="str">
        <f t="shared" si="10"/>
        <v/>
      </c>
      <c r="H54" s="36"/>
      <c r="I54" s="42" t="str">
        <f t="shared" si="11"/>
        <v/>
      </c>
    </row>
    <row r="55" spans="1:9" x14ac:dyDescent="0.25">
      <c r="A55" s="52">
        <v>3</v>
      </c>
      <c r="B55" s="63" t="s">
        <v>119</v>
      </c>
      <c r="C55" s="63" t="s">
        <v>48</v>
      </c>
      <c r="D55" s="36"/>
      <c r="E55" s="42" t="str">
        <f t="shared" si="9"/>
        <v/>
      </c>
      <c r="F55" s="36"/>
      <c r="G55" s="42" t="str">
        <f t="shared" si="10"/>
        <v/>
      </c>
      <c r="H55" s="36"/>
      <c r="I55" s="42" t="str">
        <f t="shared" si="11"/>
        <v/>
      </c>
    </row>
    <row r="56" spans="1:9" x14ac:dyDescent="0.25">
      <c r="A56" s="52">
        <v>4</v>
      </c>
      <c r="B56" s="63" t="s">
        <v>119</v>
      </c>
      <c r="C56" s="63" t="s">
        <v>48</v>
      </c>
      <c r="D56" s="36"/>
      <c r="E56" s="42" t="str">
        <f t="shared" si="9"/>
        <v/>
      </c>
      <c r="F56" s="36"/>
      <c r="G56" s="42" t="str">
        <f t="shared" si="10"/>
        <v/>
      </c>
      <c r="H56" s="36"/>
      <c r="I56" s="42" t="str">
        <f t="shared" si="11"/>
        <v/>
      </c>
    </row>
    <row r="57" spans="1:9" x14ac:dyDescent="0.25">
      <c r="A57" s="52">
        <v>5</v>
      </c>
      <c r="B57" s="63" t="s">
        <v>119</v>
      </c>
      <c r="C57" s="63" t="s">
        <v>48</v>
      </c>
      <c r="D57" s="36"/>
      <c r="E57" s="42" t="str">
        <f t="shared" si="9"/>
        <v/>
      </c>
      <c r="F57" s="36"/>
      <c r="G57" s="42" t="str">
        <f t="shared" si="10"/>
        <v/>
      </c>
      <c r="H57" s="36"/>
      <c r="I57" s="42" t="str">
        <f t="shared" si="11"/>
        <v/>
      </c>
    </row>
    <row r="58" spans="1:9" x14ac:dyDescent="0.25">
      <c r="A58" s="52">
        <v>6</v>
      </c>
      <c r="B58" s="63" t="s">
        <v>119</v>
      </c>
      <c r="C58" s="63" t="s">
        <v>48</v>
      </c>
      <c r="D58" s="36"/>
      <c r="E58" s="42" t="str">
        <f t="shared" si="9"/>
        <v/>
      </c>
      <c r="F58" s="36"/>
      <c r="G58" s="42" t="str">
        <f t="shared" si="10"/>
        <v/>
      </c>
      <c r="H58" s="36"/>
      <c r="I58" s="42" t="str">
        <f t="shared" si="11"/>
        <v/>
      </c>
    </row>
    <row r="59" spans="1:9" x14ac:dyDescent="0.25">
      <c r="A59" s="52">
        <v>7</v>
      </c>
      <c r="B59" s="63" t="s">
        <v>119</v>
      </c>
      <c r="C59" s="63" t="s">
        <v>48</v>
      </c>
      <c r="D59" s="36"/>
      <c r="E59" s="42" t="str">
        <f t="shared" si="9"/>
        <v/>
      </c>
      <c r="F59" s="36"/>
      <c r="G59" s="42" t="str">
        <f t="shared" si="10"/>
        <v/>
      </c>
      <c r="H59" s="36"/>
      <c r="I59" s="42" t="str">
        <f t="shared" si="11"/>
        <v/>
      </c>
    </row>
    <row r="60" spans="1:9" x14ac:dyDescent="0.25">
      <c r="A60" s="52">
        <v>8</v>
      </c>
      <c r="B60" s="63" t="s">
        <v>119</v>
      </c>
      <c r="C60" s="63" t="s">
        <v>48</v>
      </c>
      <c r="D60" s="36"/>
      <c r="E60" s="42" t="str">
        <f t="shared" si="9"/>
        <v/>
      </c>
      <c r="F60" s="36"/>
      <c r="G60" s="42" t="str">
        <f t="shared" si="10"/>
        <v/>
      </c>
      <c r="H60" s="36"/>
      <c r="I60" s="42" t="str">
        <f t="shared" si="11"/>
        <v/>
      </c>
    </row>
    <row r="61" spans="1:9" x14ac:dyDescent="0.25">
      <c r="A61" s="38" t="s">
        <v>70</v>
      </c>
      <c r="B61" s="54"/>
      <c r="C61" s="54"/>
      <c r="D61" s="38"/>
      <c r="E61" s="38"/>
      <c r="F61" s="38"/>
      <c r="G61" s="38"/>
      <c r="H61" s="38"/>
      <c r="I61" s="38"/>
    </row>
    <row r="62" spans="1:9" ht="23.25" x14ac:dyDescent="0.25">
      <c r="A62" s="39" t="s">
        <v>0</v>
      </c>
      <c r="B62" s="39" t="s">
        <v>55</v>
      </c>
      <c r="C62" s="39" t="s">
        <v>56</v>
      </c>
      <c r="D62" s="55" t="s">
        <v>8</v>
      </c>
      <c r="E62" s="39" t="s">
        <v>81</v>
      </c>
      <c r="F62" s="55" t="s">
        <v>8</v>
      </c>
      <c r="G62" s="39" t="s">
        <v>81</v>
      </c>
      <c r="H62" s="55" t="s">
        <v>8</v>
      </c>
      <c r="I62" s="39" t="s">
        <v>81</v>
      </c>
    </row>
    <row r="63" spans="1:9" x14ac:dyDescent="0.25">
      <c r="A63" s="52">
        <v>1</v>
      </c>
      <c r="B63" s="63" t="s">
        <v>119</v>
      </c>
      <c r="C63" s="63" t="s">
        <v>141</v>
      </c>
      <c r="D63" s="36"/>
      <c r="E63" s="42" t="str">
        <f t="shared" ref="E63:E70" si="12">IF(D63&gt;0,VLOOKUP(D63,Jumpers,3)&amp;", "&amp;VLOOKUP(D63,Jumpers,2)&amp;" ("&amp;VLOOKUP(D63,Jumpers,7)&amp;")","")</f>
        <v/>
      </c>
      <c r="F63" s="36"/>
      <c r="G63" s="42" t="str">
        <f t="shared" ref="G63:G70" si="13">IF(F63&gt;0,VLOOKUP(F63,Jumpers,3)&amp;", "&amp;VLOOKUP(F63,Jumpers,2)&amp;" ("&amp;VLOOKUP(F63,Jumpers,7)&amp;")","")</f>
        <v/>
      </c>
      <c r="H63" s="36"/>
      <c r="I63" s="42" t="str">
        <f t="shared" ref="I63:I70" si="14">IF(H63&gt;0,VLOOKUP(H63,Jumpers,3)&amp;", "&amp;VLOOKUP(H63,Jumpers,2)&amp;" ("&amp;VLOOKUP(H63,Jumpers,7)&amp;")","")</f>
        <v/>
      </c>
    </row>
    <row r="64" spans="1:9" x14ac:dyDescent="0.25">
      <c r="A64" s="52">
        <v>2</v>
      </c>
      <c r="B64" s="63" t="s">
        <v>119</v>
      </c>
      <c r="C64" s="63" t="s">
        <v>141</v>
      </c>
      <c r="D64" s="36"/>
      <c r="E64" s="42" t="str">
        <f t="shared" si="12"/>
        <v/>
      </c>
      <c r="F64" s="36"/>
      <c r="G64" s="42" t="str">
        <f t="shared" si="13"/>
        <v/>
      </c>
      <c r="H64" s="36"/>
      <c r="I64" s="42" t="str">
        <f t="shared" si="14"/>
        <v/>
      </c>
    </row>
    <row r="65" spans="1:9" x14ac:dyDescent="0.25">
      <c r="A65" s="52">
        <v>3</v>
      </c>
      <c r="B65" s="63" t="s">
        <v>119</v>
      </c>
      <c r="C65" s="63" t="s">
        <v>141</v>
      </c>
      <c r="D65" s="36"/>
      <c r="E65" s="42" t="str">
        <f t="shared" si="12"/>
        <v/>
      </c>
      <c r="F65" s="36"/>
      <c r="G65" s="42" t="str">
        <f t="shared" si="13"/>
        <v/>
      </c>
      <c r="H65" s="36"/>
      <c r="I65" s="42" t="str">
        <f t="shared" si="14"/>
        <v/>
      </c>
    </row>
    <row r="66" spans="1:9" x14ac:dyDescent="0.25">
      <c r="A66" s="52">
        <v>4</v>
      </c>
      <c r="B66" s="63" t="s">
        <v>119</v>
      </c>
      <c r="C66" s="63" t="s">
        <v>141</v>
      </c>
      <c r="D66" s="36"/>
      <c r="E66" s="42" t="str">
        <f t="shared" si="12"/>
        <v/>
      </c>
      <c r="F66" s="36"/>
      <c r="G66" s="42" t="str">
        <f t="shared" si="13"/>
        <v/>
      </c>
      <c r="H66" s="36"/>
      <c r="I66" s="42" t="str">
        <f t="shared" si="14"/>
        <v/>
      </c>
    </row>
    <row r="67" spans="1:9" x14ac:dyDescent="0.25">
      <c r="A67" s="52">
        <v>5</v>
      </c>
      <c r="B67" s="63" t="s">
        <v>119</v>
      </c>
      <c r="C67" s="63" t="s">
        <v>141</v>
      </c>
      <c r="D67" s="36"/>
      <c r="E67" s="42" t="str">
        <f t="shared" si="12"/>
        <v/>
      </c>
      <c r="F67" s="36"/>
      <c r="G67" s="42" t="str">
        <f t="shared" si="13"/>
        <v/>
      </c>
      <c r="H67" s="36"/>
      <c r="I67" s="42" t="str">
        <f t="shared" si="14"/>
        <v/>
      </c>
    </row>
    <row r="68" spans="1:9" x14ac:dyDescent="0.25">
      <c r="A68" s="52">
        <v>6</v>
      </c>
      <c r="B68" s="63" t="s">
        <v>119</v>
      </c>
      <c r="C68" s="63" t="s">
        <v>141</v>
      </c>
      <c r="D68" s="36"/>
      <c r="E68" s="42" t="str">
        <f t="shared" si="12"/>
        <v/>
      </c>
      <c r="F68" s="36"/>
      <c r="G68" s="42" t="str">
        <f t="shared" si="13"/>
        <v/>
      </c>
      <c r="H68" s="36"/>
      <c r="I68" s="42" t="str">
        <f t="shared" si="14"/>
        <v/>
      </c>
    </row>
    <row r="69" spans="1:9" x14ac:dyDescent="0.25">
      <c r="A69" s="52">
        <v>7</v>
      </c>
      <c r="B69" s="63" t="s">
        <v>119</v>
      </c>
      <c r="C69" s="63" t="s">
        <v>141</v>
      </c>
      <c r="D69" s="36"/>
      <c r="E69" s="42" t="str">
        <f t="shared" si="12"/>
        <v/>
      </c>
      <c r="F69" s="36"/>
      <c r="G69" s="42" t="str">
        <f t="shared" si="13"/>
        <v/>
      </c>
      <c r="H69" s="36"/>
      <c r="I69" s="42" t="str">
        <f t="shared" si="14"/>
        <v/>
      </c>
    </row>
    <row r="70" spans="1:9" x14ac:dyDescent="0.25">
      <c r="A70" s="52">
        <v>8</v>
      </c>
      <c r="B70" s="63" t="s">
        <v>119</v>
      </c>
      <c r="C70" s="63" t="s">
        <v>141</v>
      </c>
      <c r="D70" s="36"/>
      <c r="E70" s="42" t="str">
        <f t="shared" si="12"/>
        <v/>
      </c>
      <c r="F70" s="36"/>
      <c r="G70" s="42" t="str">
        <f t="shared" si="13"/>
        <v/>
      </c>
      <c r="H70" s="36"/>
      <c r="I70" s="42" t="str">
        <f t="shared" si="14"/>
        <v/>
      </c>
    </row>
    <row r="71" spans="1:9" x14ac:dyDescent="0.25">
      <c r="A71" s="38" t="s">
        <v>84</v>
      </c>
      <c r="B71" s="54"/>
      <c r="C71" s="54"/>
      <c r="D71" s="38"/>
      <c r="E71" s="38"/>
      <c r="F71" s="38"/>
      <c r="G71" s="38"/>
      <c r="H71" s="38"/>
      <c r="I71" s="38"/>
    </row>
    <row r="72" spans="1:9" ht="23.25" x14ac:dyDescent="0.25">
      <c r="A72" s="39" t="s">
        <v>0</v>
      </c>
      <c r="B72" s="39" t="s">
        <v>55</v>
      </c>
      <c r="C72" s="39" t="s">
        <v>56</v>
      </c>
      <c r="D72" s="55" t="s">
        <v>8</v>
      </c>
      <c r="E72" s="39" t="s">
        <v>81</v>
      </c>
      <c r="F72" s="55" t="s">
        <v>8</v>
      </c>
      <c r="G72" s="39" t="s">
        <v>81</v>
      </c>
      <c r="H72" s="55" t="s">
        <v>8</v>
      </c>
      <c r="I72" s="39" t="s">
        <v>81</v>
      </c>
    </row>
    <row r="73" spans="1:9" x14ac:dyDescent="0.25">
      <c r="A73" s="52">
        <v>1</v>
      </c>
      <c r="B73" s="63" t="s">
        <v>119</v>
      </c>
      <c r="C73" s="63" t="s">
        <v>142</v>
      </c>
      <c r="D73" s="36"/>
      <c r="E73" s="42" t="str">
        <f t="shared" ref="E73:E77" si="15">IF(D73&gt;0,VLOOKUP(D73,Jumpers,3)&amp;", "&amp;VLOOKUP(D73,Jumpers,2)&amp;" ("&amp;VLOOKUP(D73,Jumpers,7)&amp;")","")</f>
        <v/>
      </c>
      <c r="F73" s="36"/>
      <c r="G73" s="42" t="str">
        <f t="shared" ref="G73:G77" si="16">IF(F73&gt;0,VLOOKUP(F73,Jumpers,3)&amp;", "&amp;VLOOKUP(F73,Jumpers,2)&amp;" ("&amp;VLOOKUP(F73,Jumpers,7)&amp;")","")</f>
        <v/>
      </c>
      <c r="H73" s="36"/>
      <c r="I73" s="42" t="str">
        <f t="shared" ref="I73:I77" si="17">IF(H73&gt;0,VLOOKUP(H73,Jumpers,3)&amp;", "&amp;VLOOKUP(H73,Jumpers,2)&amp;" ("&amp;VLOOKUP(H73,Jumpers,7)&amp;")","")</f>
        <v/>
      </c>
    </row>
    <row r="74" spans="1:9" x14ac:dyDescent="0.25">
      <c r="A74" s="52">
        <v>2</v>
      </c>
      <c r="B74" s="63" t="s">
        <v>119</v>
      </c>
      <c r="C74" s="63" t="s">
        <v>142</v>
      </c>
      <c r="D74" s="36"/>
      <c r="E74" s="42" t="str">
        <f t="shared" si="15"/>
        <v/>
      </c>
      <c r="F74" s="36"/>
      <c r="G74" s="42" t="str">
        <f t="shared" si="16"/>
        <v/>
      </c>
      <c r="H74" s="36"/>
      <c r="I74" s="42" t="str">
        <f t="shared" si="17"/>
        <v/>
      </c>
    </row>
    <row r="75" spans="1:9" x14ac:dyDescent="0.25">
      <c r="A75" s="52">
        <v>3</v>
      </c>
      <c r="B75" s="63" t="s">
        <v>119</v>
      </c>
      <c r="C75" s="63" t="s">
        <v>142</v>
      </c>
      <c r="D75" s="36"/>
      <c r="E75" s="42" t="str">
        <f t="shared" si="15"/>
        <v/>
      </c>
      <c r="F75" s="36"/>
      <c r="G75" s="42" t="str">
        <f t="shared" si="16"/>
        <v/>
      </c>
      <c r="H75" s="36"/>
      <c r="I75" s="42" t="str">
        <f t="shared" si="17"/>
        <v/>
      </c>
    </row>
    <row r="76" spans="1:9" x14ac:dyDescent="0.25">
      <c r="A76" s="52">
        <v>4</v>
      </c>
      <c r="B76" s="63" t="s">
        <v>119</v>
      </c>
      <c r="C76" s="63" t="s">
        <v>142</v>
      </c>
      <c r="D76" s="36"/>
      <c r="E76" s="42" t="str">
        <f t="shared" si="15"/>
        <v/>
      </c>
      <c r="F76" s="36"/>
      <c r="G76" s="42" t="str">
        <f t="shared" si="16"/>
        <v/>
      </c>
      <c r="H76" s="36"/>
      <c r="I76" s="42" t="str">
        <f t="shared" si="17"/>
        <v/>
      </c>
    </row>
    <row r="77" spans="1:9" x14ac:dyDescent="0.25">
      <c r="A77" s="52">
        <v>5</v>
      </c>
      <c r="B77" s="63" t="s">
        <v>119</v>
      </c>
      <c r="C77" s="63" t="s">
        <v>142</v>
      </c>
      <c r="D77" s="36"/>
      <c r="E77" s="42" t="str">
        <f t="shared" si="15"/>
        <v/>
      </c>
      <c r="F77" s="36"/>
      <c r="G77" s="42" t="str">
        <f t="shared" si="16"/>
        <v/>
      </c>
      <c r="H77" s="36"/>
      <c r="I77" s="42" t="str">
        <f t="shared" si="17"/>
        <v/>
      </c>
    </row>
  </sheetData>
  <sheetProtection password="CE88" sheet="1" objects="1" scenarios="1" selectLockedCells="1"/>
  <phoneticPr fontId="23" type="noConversion"/>
  <conditionalFormatting sqref="D5:D19 F5:F19 H5:H19">
    <cfRule type="expression" dxfId="145" priority="19" stopIfTrue="1">
      <formula>AND(D5&lt;&gt;"",COUNTIF($D$5:$I$77,D5)&gt;1)</formula>
    </cfRule>
    <cfRule type="expression" dxfId="144" priority="20" stopIfTrue="1">
      <formula>OR(CODE(D5)&lt;48,CODE(D5)&gt;57)</formula>
    </cfRule>
    <cfRule type="expression" dxfId="143" priority="21" stopIfTrue="1">
      <formula>VLOOKUP(D5,Jumpers,7)&gt;10</formula>
    </cfRule>
  </conditionalFormatting>
  <conditionalFormatting sqref="D22:D36 F22:F36 H22:H36">
    <cfRule type="expression" dxfId="142" priority="13" stopIfTrue="1">
      <formula>AND(D22&lt;&gt;"",COUNTIF($D$5:$I$77,D22)&gt;1)</formula>
    </cfRule>
    <cfRule type="expression" dxfId="141" priority="14" stopIfTrue="1">
      <formula>OR(CODE(D22)&lt;48,CODE(D22)&gt;57)</formula>
    </cfRule>
    <cfRule type="expression" dxfId="140" priority="15" stopIfTrue="1">
      <formula>VLOOKUP(D22,Jumpers,7)&gt;12</formula>
    </cfRule>
  </conditionalFormatting>
  <conditionalFormatting sqref="D39:D50 F39:F50 H39:H50">
    <cfRule type="expression" dxfId="139" priority="10" stopIfTrue="1">
      <formula>AND(D39&lt;&gt;"",COUNTIF($D$5:$I$77,D39)&gt;1)</formula>
    </cfRule>
    <cfRule type="expression" dxfId="138" priority="11" stopIfTrue="1">
      <formula>OR(CODE(D39)&lt;48,CODE(D39)&gt;57)</formula>
    </cfRule>
    <cfRule type="expression" dxfId="137" priority="12" stopIfTrue="1">
      <formula>VLOOKUP(D39,Jumpers,7)&gt;14</formula>
    </cfRule>
  </conditionalFormatting>
  <conditionalFormatting sqref="D53:D60 F53:F60 H53:H60">
    <cfRule type="expression" dxfId="136" priority="7" stopIfTrue="1">
      <formula>AND(D53&lt;&gt;"",COUNTIF($D$5:$I$77,D53)&gt;1)</formula>
    </cfRule>
    <cfRule type="expression" dxfId="135" priority="8" stopIfTrue="1">
      <formula>OR(CODE(D53)&lt;48,CODE(D53)&gt;57)</formula>
    </cfRule>
    <cfRule type="expression" dxfId="134" priority="9" stopIfTrue="1">
      <formula>VLOOKUP(D53,Jumpers,7)&gt;17</formula>
    </cfRule>
  </conditionalFormatting>
  <conditionalFormatting sqref="D63:D70 F63:F70 H63:H70">
    <cfRule type="expression" dxfId="133" priority="4" stopIfTrue="1">
      <formula>AND(D63&lt;&gt;"",COUNTIF($D$5:$I$77,D63)&gt;1)</formula>
    </cfRule>
    <cfRule type="expression" dxfId="132" priority="5" stopIfTrue="1">
      <formula>OR(CODE(D63)&lt;48,CODE(D63)&gt;57)</formula>
    </cfRule>
  </conditionalFormatting>
  <conditionalFormatting sqref="D73:D77 F73:F77 H73:H77">
    <cfRule type="expression" dxfId="131" priority="1" stopIfTrue="1">
      <formula>AND(D73&lt;&gt;"",COUNTIF($D$5:$I$77,D73)&gt;1)</formula>
    </cfRule>
    <cfRule type="expression" dxfId="130" priority="2" stopIfTrue="1">
      <formula>OR(CODE(D73)&lt;48,CODE(D73)&gt;57)</formula>
    </cfRule>
    <cfRule type="expression" dxfId="129" priority="3" stopIfTrue="1">
      <formula>VLOOKUP(D73,Jumpers,7)&lt;30</formula>
    </cfRule>
  </conditionalFormatting>
  <pageMargins left="0.25" right="0.25" top="0.75" bottom="0.75" header="0.3" footer="0.3"/>
  <pageSetup scale="91" fitToHeight="2" orientation="portrait" horizontalDpi="180" verticalDpi="180"/>
  <headerFooter>
    <oddHeader>&amp;LUSAJR Regional Tournament&amp;R&amp;A</oddHeader>
    <oddFooter>&amp;RPage &amp;P of &amp;N</oddFooter>
  </headerFooter>
  <customProperties>
    <customPr name="DVSECTIONID" r:id="rId1"/>
  </customProperties>
  <ignoredErrors>
    <ignoredError sqref="G18" unlockedFormula="1"/>
  </ignoredErrors>
  <extLst>
    <ext xmlns:mx="http://schemas.microsoft.com/office/mac/excel/2008/main" uri="{64002731-A6B0-56B0-2670-7721B7C09600}">
      <mx:PLV Mode="0" OnePage="0" WScale="83"/>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I106"/>
  <sheetViews>
    <sheetView workbookViewId="0">
      <selection activeCell="D7" sqref="D7"/>
    </sheetView>
  </sheetViews>
  <sheetFormatPr defaultColWidth="8.85546875" defaultRowHeight="15" x14ac:dyDescent="0.25"/>
  <cols>
    <col min="1" max="1" width="3.85546875" style="37" customWidth="1"/>
    <col min="2" max="2" width="4.7109375" style="37" bestFit="1" customWidth="1"/>
    <col min="3" max="3" width="7.140625" style="37" bestFit="1" customWidth="1"/>
    <col min="4" max="4" width="8.28515625" style="37" bestFit="1" customWidth="1"/>
    <col min="5" max="5" width="25.7109375" style="37" customWidth="1"/>
    <col min="6" max="6" width="8.28515625" style="37" bestFit="1" customWidth="1"/>
    <col min="7" max="7" width="25.7109375" style="37" customWidth="1"/>
    <col min="8" max="8" width="8.28515625" style="37" bestFit="1" customWidth="1"/>
    <col min="9" max="9" width="25.7109375" style="37" customWidth="1"/>
    <col min="10" max="16384" width="8.85546875" style="37"/>
  </cols>
  <sheetData>
    <row r="1" spans="1:9" ht="18.75" x14ac:dyDescent="0.3">
      <c r="A1" s="56" t="s">
        <v>109</v>
      </c>
      <c r="G1" s="43"/>
      <c r="I1" s="43" t="str">
        <f>CONCATENATE("Team: ",'Team Info'!$B$3)</f>
        <v xml:space="preserve">Team: </v>
      </c>
    </row>
    <row r="2" spans="1:9" x14ac:dyDescent="0.25">
      <c r="A2" s="170" t="s">
        <v>135</v>
      </c>
      <c r="B2" s="170"/>
      <c r="C2" s="170"/>
      <c r="D2" s="170"/>
      <c r="E2" s="170"/>
      <c r="F2" s="170"/>
      <c r="G2" s="170"/>
    </row>
    <row r="3" spans="1:9" x14ac:dyDescent="0.25">
      <c r="A3" s="170" t="s">
        <v>136</v>
      </c>
      <c r="B3" s="170"/>
      <c r="C3" s="170"/>
      <c r="D3" s="170"/>
      <c r="E3" s="170"/>
      <c r="F3" s="170"/>
      <c r="G3" s="170"/>
    </row>
    <row r="4" spans="1:9" x14ac:dyDescent="0.25">
      <c r="A4" s="57"/>
    </row>
    <row r="5" spans="1:9" x14ac:dyDescent="0.25">
      <c r="A5" s="38" t="s">
        <v>9</v>
      </c>
      <c r="B5" s="54"/>
      <c r="C5" s="54"/>
      <c r="D5" s="38"/>
      <c r="E5" s="38"/>
      <c r="F5" s="38"/>
      <c r="G5" s="38"/>
      <c r="H5" s="38"/>
      <c r="I5" s="38"/>
    </row>
    <row r="6" spans="1:9" ht="23.25" x14ac:dyDescent="0.25">
      <c r="A6" s="62" t="s">
        <v>104</v>
      </c>
      <c r="B6" s="39" t="s">
        <v>55</v>
      </c>
      <c r="C6" s="39" t="s">
        <v>56</v>
      </c>
      <c r="D6" s="55" t="s">
        <v>8</v>
      </c>
      <c r="E6" s="39" t="s">
        <v>81</v>
      </c>
      <c r="F6" s="55" t="s">
        <v>8</v>
      </c>
      <c r="G6" s="39" t="s">
        <v>81</v>
      </c>
      <c r="H6" s="55" t="s">
        <v>8</v>
      </c>
      <c r="I6" s="39" t="s">
        <v>81</v>
      </c>
    </row>
    <row r="7" spans="1:9" x14ac:dyDescent="0.25">
      <c r="A7" s="52">
        <v>1</v>
      </c>
      <c r="B7" s="63" t="s">
        <v>112</v>
      </c>
      <c r="C7" s="90" t="s">
        <v>44</v>
      </c>
      <c r="D7" s="36"/>
      <c r="E7" s="42" t="str">
        <f t="shared" ref="E7:E21" si="0">IF(D7&gt;0,VLOOKUP(D7,Jumpers,3)&amp;", "&amp;VLOOKUP(D7,Jumpers,2)&amp;" ("&amp;VLOOKUP(D7,Jumpers,7)&amp;")","")</f>
        <v/>
      </c>
      <c r="F7" s="36"/>
      <c r="G7" s="42" t="str">
        <f t="shared" ref="G7:G21" si="1">IF(F7&gt;0,VLOOKUP(F7,Jumpers,3)&amp;", "&amp;VLOOKUP(F7,Jumpers,2)&amp;" ("&amp;VLOOKUP(F7,Jumpers,7)&amp;")","")</f>
        <v/>
      </c>
      <c r="H7" s="36"/>
      <c r="I7" s="42" t="str">
        <f t="shared" ref="I7:I21" si="2">IF(H7&gt;0,VLOOKUP(H7,Jumpers,3)&amp;", "&amp;VLOOKUP(H7,Jumpers,2)&amp;" ("&amp;VLOOKUP(H7,Jumpers,7)&amp;")","")</f>
        <v/>
      </c>
    </row>
    <row r="8" spans="1:9" x14ac:dyDescent="0.25">
      <c r="A8" s="52">
        <v>2</v>
      </c>
      <c r="B8" s="63" t="s">
        <v>112</v>
      </c>
      <c r="C8" s="90" t="s">
        <v>44</v>
      </c>
      <c r="D8" s="36"/>
      <c r="E8" s="42" t="str">
        <f t="shared" si="0"/>
        <v/>
      </c>
      <c r="F8" s="36"/>
      <c r="G8" s="42" t="str">
        <f t="shared" si="1"/>
        <v/>
      </c>
      <c r="H8" s="36"/>
      <c r="I8" s="42" t="str">
        <f t="shared" si="2"/>
        <v/>
      </c>
    </row>
    <row r="9" spans="1:9" x14ac:dyDescent="0.25">
      <c r="A9" s="52">
        <v>3</v>
      </c>
      <c r="B9" s="63" t="s">
        <v>112</v>
      </c>
      <c r="C9" s="90" t="s">
        <v>44</v>
      </c>
      <c r="D9" s="36"/>
      <c r="E9" s="42" t="str">
        <f t="shared" si="0"/>
        <v/>
      </c>
      <c r="F9" s="36"/>
      <c r="G9" s="42" t="str">
        <f t="shared" si="1"/>
        <v/>
      </c>
      <c r="H9" s="36"/>
      <c r="I9" s="42" t="str">
        <f t="shared" si="2"/>
        <v/>
      </c>
    </row>
    <row r="10" spans="1:9" x14ac:dyDescent="0.25">
      <c r="A10" s="52">
        <v>4</v>
      </c>
      <c r="B10" s="63" t="s">
        <v>112</v>
      </c>
      <c r="C10" s="90" t="s">
        <v>44</v>
      </c>
      <c r="D10" s="36"/>
      <c r="E10" s="42" t="str">
        <f t="shared" si="0"/>
        <v/>
      </c>
      <c r="F10" s="36"/>
      <c r="G10" s="42" t="str">
        <f t="shared" si="1"/>
        <v/>
      </c>
      <c r="H10" s="36"/>
      <c r="I10" s="42" t="str">
        <f t="shared" si="2"/>
        <v/>
      </c>
    </row>
    <row r="11" spans="1:9" x14ac:dyDescent="0.25">
      <c r="A11" s="52">
        <v>5</v>
      </c>
      <c r="B11" s="63" t="s">
        <v>112</v>
      </c>
      <c r="C11" s="90" t="s">
        <v>44</v>
      </c>
      <c r="D11" s="36"/>
      <c r="E11" s="42" t="str">
        <f t="shared" si="0"/>
        <v/>
      </c>
      <c r="F11" s="36"/>
      <c r="G11" s="42" t="str">
        <f t="shared" si="1"/>
        <v/>
      </c>
      <c r="H11" s="36"/>
      <c r="I11" s="42" t="str">
        <f t="shared" si="2"/>
        <v/>
      </c>
    </row>
    <row r="12" spans="1:9" x14ac:dyDescent="0.25">
      <c r="A12" s="52">
        <v>6</v>
      </c>
      <c r="B12" s="63" t="s">
        <v>112</v>
      </c>
      <c r="C12" s="90" t="s">
        <v>44</v>
      </c>
      <c r="D12" s="36"/>
      <c r="E12" s="42" t="str">
        <f t="shared" si="0"/>
        <v/>
      </c>
      <c r="F12" s="36"/>
      <c r="G12" s="42" t="str">
        <f t="shared" si="1"/>
        <v/>
      </c>
      <c r="H12" s="36"/>
      <c r="I12" s="42" t="str">
        <f t="shared" si="2"/>
        <v/>
      </c>
    </row>
    <row r="13" spans="1:9" x14ac:dyDescent="0.25">
      <c r="A13" s="52">
        <v>7</v>
      </c>
      <c r="B13" s="63" t="s">
        <v>112</v>
      </c>
      <c r="C13" s="90" t="s">
        <v>44</v>
      </c>
      <c r="D13" s="36"/>
      <c r="E13" s="42" t="str">
        <f t="shared" si="0"/>
        <v/>
      </c>
      <c r="F13" s="36"/>
      <c r="G13" s="42" t="str">
        <f t="shared" si="1"/>
        <v/>
      </c>
      <c r="H13" s="36"/>
      <c r="I13" s="42" t="str">
        <f t="shared" si="2"/>
        <v/>
      </c>
    </row>
    <row r="14" spans="1:9" x14ac:dyDescent="0.25">
      <c r="A14" s="52">
        <v>8</v>
      </c>
      <c r="B14" s="63" t="s">
        <v>112</v>
      </c>
      <c r="C14" s="90" t="s">
        <v>44</v>
      </c>
      <c r="D14" s="36"/>
      <c r="E14" s="42" t="str">
        <f t="shared" si="0"/>
        <v/>
      </c>
      <c r="F14" s="36"/>
      <c r="G14" s="42" t="str">
        <f t="shared" si="1"/>
        <v/>
      </c>
      <c r="H14" s="36"/>
      <c r="I14" s="42" t="str">
        <f t="shared" si="2"/>
        <v/>
      </c>
    </row>
    <row r="15" spans="1:9" x14ac:dyDescent="0.25">
      <c r="A15" s="85">
        <v>9</v>
      </c>
      <c r="B15" s="63" t="s">
        <v>112</v>
      </c>
      <c r="C15" s="90" t="s">
        <v>44</v>
      </c>
      <c r="D15" s="36"/>
      <c r="E15" s="42" t="str">
        <f t="shared" si="0"/>
        <v/>
      </c>
      <c r="F15" s="36"/>
      <c r="G15" s="42" t="str">
        <f t="shared" si="1"/>
        <v/>
      </c>
      <c r="H15" s="36"/>
      <c r="I15" s="42" t="str">
        <f t="shared" si="2"/>
        <v/>
      </c>
    </row>
    <row r="16" spans="1:9" x14ac:dyDescent="0.25">
      <c r="A16" s="85">
        <v>10</v>
      </c>
      <c r="B16" s="63" t="s">
        <v>112</v>
      </c>
      <c r="C16" s="90" t="s">
        <v>44</v>
      </c>
      <c r="D16" s="36"/>
      <c r="E16" s="42" t="str">
        <f t="shared" si="0"/>
        <v/>
      </c>
      <c r="F16" s="36"/>
      <c r="G16" s="42" t="str">
        <f t="shared" si="1"/>
        <v/>
      </c>
      <c r="H16" s="36"/>
      <c r="I16" s="42" t="str">
        <f t="shared" si="2"/>
        <v/>
      </c>
    </row>
    <row r="17" spans="1:9" x14ac:dyDescent="0.25">
      <c r="A17" s="85">
        <v>11</v>
      </c>
      <c r="B17" s="63" t="s">
        <v>112</v>
      </c>
      <c r="C17" s="90" t="s">
        <v>44</v>
      </c>
      <c r="D17" s="36"/>
      <c r="E17" s="42" t="str">
        <f t="shared" si="0"/>
        <v/>
      </c>
      <c r="F17" s="36"/>
      <c r="G17" s="42" t="str">
        <f t="shared" si="1"/>
        <v/>
      </c>
      <c r="H17" s="36"/>
      <c r="I17" s="42" t="str">
        <f t="shared" si="2"/>
        <v/>
      </c>
    </row>
    <row r="18" spans="1:9" x14ac:dyDescent="0.25">
      <c r="A18" s="85">
        <v>12</v>
      </c>
      <c r="B18" s="63" t="s">
        <v>112</v>
      </c>
      <c r="C18" s="90" t="s">
        <v>44</v>
      </c>
      <c r="D18" s="36"/>
      <c r="E18" s="42" t="str">
        <f t="shared" si="0"/>
        <v/>
      </c>
      <c r="F18" s="36"/>
      <c r="G18" s="42" t="str">
        <f t="shared" si="1"/>
        <v/>
      </c>
      <c r="H18" s="36"/>
      <c r="I18" s="42" t="str">
        <f t="shared" si="2"/>
        <v/>
      </c>
    </row>
    <row r="19" spans="1:9" x14ac:dyDescent="0.25">
      <c r="A19" s="85">
        <v>13</v>
      </c>
      <c r="B19" s="63" t="s">
        <v>112</v>
      </c>
      <c r="C19" s="90" t="s">
        <v>44</v>
      </c>
      <c r="D19" s="36"/>
      <c r="E19" s="42" t="str">
        <f t="shared" si="0"/>
        <v/>
      </c>
      <c r="F19" s="36"/>
      <c r="G19" s="42" t="str">
        <f t="shared" si="1"/>
        <v/>
      </c>
      <c r="H19" s="36"/>
      <c r="I19" s="42" t="str">
        <f t="shared" si="2"/>
        <v/>
      </c>
    </row>
    <row r="20" spans="1:9" x14ac:dyDescent="0.25">
      <c r="A20" s="85">
        <v>14</v>
      </c>
      <c r="B20" s="63" t="s">
        <v>112</v>
      </c>
      <c r="C20" s="90" t="s">
        <v>44</v>
      </c>
      <c r="D20" s="36"/>
      <c r="E20" s="42" t="str">
        <f t="shared" si="0"/>
        <v/>
      </c>
      <c r="F20" s="36"/>
      <c r="G20" s="42" t="str">
        <f t="shared" si="1"/>
        <v/>
      </c>
      <c r="H20" s="36"/>
      <c r="I20" s="42" t="str">
        <f t="shared" si="2"/>
        <v/>
      </c>
    </row>
    <row r="21" spans="1:9" x14ac:dyDescent="0.25">
      <c r="A21" s="85">
        <v>15</v>
      </c>
      <c r="B21" s="63" t="s">
        <v>112</v>
      </c>
      <c r="C21" s="90" t="s">
        <v>44</v>
      </c>
      <c r="D21" s="36"/>
      <c r="E21" s="42" t="str">
        <f t="shared" si="0"/>
        <v/>
      </c>
      <c r="F21" s="36"/>
      <c r="G21" s="42" t="str">
        <f t="shared" si="1"/>
        <v/>
      </c>
      <c r="H21" s="36"/>
      <c r="I21" s="42" t="str">
        <f t="shared" si="2"/>
        <v/>
      </c>
    </row>
    <row r="22" spans="1:9" x14ac:dyDescent="0.25">
      <c r="A22" s="93" t="s">
        <v>161</v>
      </c>
      <c r="B22" s="54"/>
      <c r="C22" s="54"/>
      <c r="D22" s="38"/>
      <c r="E22" s="38"/>
      <c r="F22" s="38"/>
      <c r="G22" s="38"/>
      <c r="H22" s="38"/>
      <c r="I22" s="38"/>
    </row>
    <row r="23" spans="1:9" ht="23.25" x14ac:dyDescent="0.25">
      <c r="A23" s="62" t="s">
        <v>104</v>
      </c>
      <c r="B23" s="39" t="s">
        <v>55</v>
      </c>
      <c r="C23" s="39" t="s">
        <v>56</v>
      </c>
      <c r="D23" s="55" t="s">
        <v>8</v>
      </c>
      <c r="E23" s="39" t="s">
        <v>81</v>
      </c>
      <c r="F23" s="55" t="s">
        <v>8</v>
      </c>
      <c r="G23" s="39" t="s">
        <v>81</v>
      </c>
      <c r="H23" s="55" t="s">
        <v>8</v>
      </c>
      <c r="I23" s="39" t="s">
        <v>81</v>
      </c>
    </row>
    <row r="24" spans="1:9" x14ac:dyDescent="0.25">
      <c r="A24" s="52">
        <v>1</v>
      </c>
      <c r="B24" s="63" t="s">
        <v>112</v>
      </c>
      <c r="C24" s="94" t="s">
        <v>45</v>
      </c>
      <c r="D24" s="36"/>
      <c r="E24" s="42" t="str">
        <f t="shared" ref="E24:E35" si="3">IF(D24&gt;0,VLOOKUP(D24,Jumpers,3)&amp;", "&amp;VLOOKUP(D24,Jumpers,2)&amp;" ("&amp;VLOOKUP(D24,Jumpers,7)&amp;")","")</f>
        <v/>
      </c>
      <c r="F24" s="36"/>
      <c r="G24" s="42" t="str">
        <f t="shared" ref="G24:G35" si="4">IF(F24&gt;0,VLOOKUP(F24,Jumpers,3)&amp;", "&amp;VLOOKUP(F24,Jumpers,2)&amp;" ("&amp;VLOOKUP(F24,Jumpers,7)&amp;")","")</f>
        <v/>
      </c>
      <c r="H24" s="36"/>
      <c r="I24" s="42" t="str">
        <f t="shared" ref="I24:I35" si="5">IF(H24&gt;0,VLOOKUP(H24,Jumpers,3)&amp;", "&amp;VLOOKUP(H24,Jumpers,2)&amp;" ("&amp;VLOOKUP(H24,Jumpers,7)&amp;")","")</f>
        <v/>
      </c>
    </row>
    <row r="25" spans="1:9" x14ac:dyDescent="0.25">
      <c r="A25" s="52">
        <v>2</v>
      </c>
      <c r="B25" s="63" t="s">
        <v>112</v>
      </c>
      <c r="C25" s="94" t="s">
        <v>45</v>
      </c>
      <c r="D25" s="36"/>
      <c r="E25" s="42" t="str">
        <f t="shared" si="3"/>
        <v/>
      </c>
      <c r="F25" s="36"/>
      <c r="G25" s="42" t="str">
        <f t="shared" si="4"/>
        <v/>
      </c>
      <c r="H25" s="36"/>
      <c r="I25" s="42" t="str">
        <f t="shared" si="5"/>
        <v/>
      </c>
    </row>
    <row r="26" spans="1:9" x14ac:dyDescent="0.25">
      <c r="A26" s="52">
        <v>3</v>
      </c>
      <c r="B26" s="63" t="s">
        <v>112</v>
      </c>
      <c r="C26" s="94" t="s">
        <v>45</v>
      </c>
      <c r="D26" s="36"/>
      <c r="E26" s="42" t="str">
        <f t="shared" si="3"/>
        <v/>
      </c>
      <c r="F26" s="36"/>
      <c r="G26" s="42" t="str">
        <f t="shared" si="4"/>
        <v/>
      </c>
      <c r="H26" s="36"/>
      <c r="I26" s="42" t="str">
        <f t="shared" si="5"/>
        <v/>
      </c>
    </row>
    <row r="27" spans="1:9" x14ac:dyDescent="0.25">
      <c r="A27" s="52">
        <v>4</v>
      </c>
      <c r="B27" s="63" t="s">
        <v>112</v>
      </c>
      <c r="C27" s="94" t="s">
        <v>45</v>
      </c>
      <c r="D27" s="36"/>
      <c r="E27" s="42" t="str">
        <f t="shared" si="3"/>
        <v/>
      </c>
      <c r="F27" s="36"/>
      <c r="G27" s="42" t="str">
        <f t="shared" si="4"/>
        <v/>
      </c>
      <c r="H27" s="36"/>
      <c r="I27" s="42" t="str">
        <f t="shared" si="5"/>
        <v/>
      </c>
    </row>
    <row r="28" spans="1:9" x14ac:dyDescent="0.25">
      <c r="A28" s="52">
        <v>5</v>
      </c>
      <c r="B28" s="63" t="s">
        <v>112</v>
      </c>
      <c r="C28" s="94" t="s">
        <v>45</v>
      </c>
      <c r="D28" s="36"/>
      <c r="E28" s="42" t="str">
        <f t="shared" si="3"/>
        <v/>
      </c>
      <c r="F28" s="36"/>
      <c r="G28" s="42" t="str">
        <f t="shared" si="4"/>
        <v/>
      </c>
      <c r="H28" s="36"/>
      <c r="I28" s="42" t="str">
        <f t="shared" si="5"/>
        <v/>
      </c>
    </row>
    <row r="29" spans="1:9" x14ac:dyDescent="0.25">
      <c r="A29" s="52">
        <v>6</v>
      </c>
      <c r="B29" s="63" t="s">
        <v>112</v>
      </c>
      <c r="C29" s="94" t="s">
        <v>45</v>
      </c>
      <c r="D29" s="36"/>
      <c r="E29" s="42" t="str">
        <f t="shared" si="3"/>
        <v/>
      </c>
      <c r="F29" s="36"/>
      <c r="G29" s="42" t="str">
        <f t="shared" si="4"/>
        <v/>
      </c>
      <c r="H29" s="36"/>
      <c r="I29" s="42" t="str">
        <f t="shared" si="5"/>
        <v/>
      </c>
    </row>
    <row r="30" spans="1:9" x14ac:dyDescent="0.25">
      <c r="A30" s="52">
        <v>7</v>
      </c>
      <c r="B30" s="63" t="s">
        <v>112</v>
      </c>
      <c r="C30" s="94" t="s">
        <v>45</v>
      </c>
      <c r="D30" s="36"/>
      <c r="E30" s="42" t="str">
        <f t="shared" si="3"/>
        <v/>
      </c>
      <c r="F30" s="36"/>
      <c r="G30" s="42" t="str">
        <f t="shared" si="4"/>
        <v/>
      </c>
      <c r="H30" s="36"/>
      <c r="I30" s="42" t="str">
        <f t="shared" si="5"/>
        <v/>
      </c>
    </row>
    <row r="31" spans="1:9" x14ac:dyDescent="0.25">
      <c r="A31" s="52">
        <v>8</v>
      </c>
      <c r="B31" s="63" t="s">
        <v>112</v>
      </c>
      <c r="C31" s="94" t="s">
        <v>45</v>
      </c>
      <c r="D31" s="36"/>
      <c r="E31" s="42" t="str">
        <f t="shared" si="3"/>
        <v/>
      </c>
      <c r="F31" s="36"/>
      <c r="G31" s="42" t="str">
        <f t="shared" si="4"/>
        <v/>
      </c>
      <c r="H31" s="36"/>
      <c r="I31" s="42" t="str">
        <f t="shared" si="5"/>
        <v/>
      </c>
    </row>
    <row r="32" spans="1:9" x14ac:dyDescent="0.25">
      <c r="A32" s="85">
        <v>9</v>
      </c>
      <c r="B32" s="63" t="s">
        <v>112</v>
      </c>
      <c r="C32" s="94" t="s">
        <v>45</v>
      </c>
      <c r="D32" s="36"/>
      <c r="E32" s="42" t="str">
        <f t="shared" si="3"/>
        <v/>
      </c>
      <c r="F32" s="36"/>
      <c r="G32" s="42" t="str">
        <f t="shared" si="4"/>
        <v/>
      </c>
      <c r="H32" s="36"/>
      <c r="I32" s="42" t="str">
        <f t="shared" si="5"/>
        <v/>
      </c>
    </row>
    <row r="33" spans="1:9" x14ac:dyDescent="0.25">
      <c r="A33" s="85">
        <v>10</v>
      </c>
      <c r="B33" s="63" t="s">
        <v>112</v>
      </c>
      <c r="C33" s="94" t="s">
        <v>45</v>
      </c>
      <c r="D33" s="36"/>
      <c r="E33" s="42" t="str">
        <f t="shared" si="3"/>
        <v/>
      </c>
      <c r="F33" s="36"/>
      <c r="G33" s="42" t="str">
        <f t="shared" si="4"/>
        <v/>
      </c>
      <c r="H33" s="36"/>
      <c r="I33" s="42" t="str">
        <f t="shared" si="5"/>
        <v/>
      </c>
    </row>
    <row r="34" spans="1:9" x14ac:dyDescent="0.25">
      <c r="A34" s="85">
        <v>11</v>
      </c>
      <c r="B34" s="63" t="s">
        <v>112</v>
      </c>
      <c r="C34" s="94" t="s">
        <v>45</v>
      </c>
      <c r="D34" s="36"/>
      <c r="E34" s="42" t="str">
        <f t="shared" si="3"/>
        <v/>
      </c>
      <c r="F34" s="36"/>
      <c r="G34" s="42" t="str">
        <f t="shared" si="4"/>
        <v/>
      </c>
      <c r="H34" s="36"/>
      <c r="I34" s="42" t="str">
        <f t="shared" si="5"/>
        <v/>
      </c>
    </row>
    <row r="35" spans="1:9" x14ac:dyDescent="0.25">
      <c r="A35" s="85">
        <v>12</v>
      </c>
      <c r="B35" s="63" t="s">
        <v>112</v>
      </c>
      <c r="C35" s="94" t="s">
        <v>45</v>
      </c>
      <c r="D35" s="36"/>
      <c r="E35" s="42" t="str">
        <f t="shared" si="3"/>
        <v/>
      </c>
      <c r="F35" s="36"/>
      <c r="G35" s="42" t="str">
        <f t="shared" si="4"/>
        <v/>
      </c>
      <c r="H35" s="36"/>
      <c r="I35" s="42" t="str">
        <f t="shared" si="5"/>
        <v/>
      </c>
    </row>
    <row r="36" spans="1:9" x14ac:dyDescent="0.25">
      <c r="A36" s="85">
        <v>13</v>
      </c>
      <c r="B36" s="63" t="s">
        <v>112</v>
      </c>
      <c r="C36" s="94" t="s">
        <v>45</v>
      </c>
      <c r="D36" s="36"/>
      <c r="E36" s="42" t="str">
        <f t="shared" ref="E36:E38" si="6">IF(D36&gt;0,VLOOKUP(D36,Jumpers,3)&amp;", "&amp;VLOOKUP(D36,Jumpers,2)&amp;" ("&amp;VLOOKUP(D36,Jumpers,7)&amp;")","")</f>
        <v/>
      </c>
      <c r="F36" s="36"/>
      <c r="G36" s="42" t="str">
        <f t="shared" ref="G36:G38" si="7">IF(F36&gt;0,VLOOKUP(F36,Jumpers,3)&amp;", "&amp;VLOOKUP(F36,Jumpers,2)&amp;" ("&amp;VLOOKUP(F36,Jumpers,7)&amp;")","")</f>
        <v/>
      </c>
      <c r="H36" s="36"/>
      <c r="I36" s="42" t="str">
        <f t="shared" ref="I36:I38" si="8">IF(H36&gt;0,VLOOKUP(H36,Jumpers,3)&amp;", "&amp;VLOOKUP(H36,Jumpers,2)&amp;" ("&amp;VLOOKUP(H36,Jumpers,7)&amp;")","")</f>
        <v/>
      </c>
    </row>
    <row r="37" spans="1:9" x14ac:dyDescent="0.25">
      <c r="A37" s="85">
        <v>14</v>
      </c>
      <c r="B37" s="63" t="s">
        <v>112</v>
      </c>
      <c r="C37" s="94" t="s">
        <v>45</v>
      </c>
      <c r="D37" s="36"/>
      <c r="E37" s="42" t="str">
        <f t="shared" si="6"/>
        <v/>
      </c>
      <c r="F37" s="36"/>
      <c r="G37" s="42" t="str">
        <f t="shared" si="7"/>
        <v/>
      </c>
      <c r="H37" s="36"/>
      <c r="I37" s="42" t="str">
        <f t="shared" si="8"/>
        <v/>
      </c>
    </row>
    <row r="38" spans="1:9" x14ac:dyDescent="0.25">
      <c r="A38" s="85">
        <v>15</v>
      </c>
      <c r="B38" s="63" t="s">
        <v>112</v>
      </c>
      <c r="C38" s="94" t="s">
        <v>45</v>
      </c>
      <c r="D38" s="36"/>
      <c r="E38" s="42" t="str">
        <f t="shared" si="6"/>
        <v/>
      </c>
      <c r="F38" s="36"/>
      <c r="G38" s="42" t="str">
        <f t="shared" si="7"/>
        <v/>
      </c>
      <c r="H38" s="36"/>
      <c r="I38" s="42" t="str">
        <f t="shared" si="8"/>
        <v/>
      </c>
    </row>
    <row r="40" spans="1:9" x14ac:dyDescent="0.25">
      <c r="A40" s="38" t="s">
        <v>108</v>
      </c>
      <c r="B40" s="54"/>
      <c r="C40" s="54"/>
      <c r="D40" s="38"/>
      <c r="E40" s="38"/>
      <c r="F40" s="38"/>
      <c r="G40" s="38"/>
      <c r="H40" s="38"/>
      <c r="I40" s="38"/>
    </row>
    <row r="41" spans="1:9" ht="23.25" x14ac:dyDescent="0.25">
      <c r="A41" s="62" t="s">
        <v>104</v>
      </c>
      <c r="B41" s="39" t="s">
        <v>55</v>
      </c>
      <c r="C41" s="39" t="s">
        <v>56</v>
      </c>
      <c r="D41" s="55" t="s">
        <v>8</v>
      </c>
      <c r="E41" s="39" t="s">
        <v>81</v>
      </c>
      <c r="F41" s="55" t="s">
        <v>8</v>
      </c>
      <c r="G41" s="39" t="s">
        <v>81</v>
      </c>
      <c r="H41" s="55" t="s">
        <v>8</v>
      </c>
      <c r="I41" s="39" t="s">
        <v>81</v>
      </c>
    </row>
    <row r="42" spans="1:9" x14ac:dyDescent="0.25">
      <c r="A42" s="52">
        <v>1</v>
      </c>
      <c r="B42" s="63" t="s">
        <v>112</v>
      </c>
      <c r="C42" s="63" t="s">
        <v>47</v>
      </c>
      <c r="D42" s="36"/>
      <c r="E42" s="42" t="str">
        <f t="shared" ref="E42:E53" si="9">IF(D42&gt;0,VLOOKUP(D42,Jumpers,3)&amp;", "&amp;VLOOKUP(D42,Jumpers,2)&amp;" ("&amp;VLOOKUP(D42,Jumpers,7)&amp;")","")</f>
        <v/>
      </c>
      <c r="F42" s="36"/>
      <c r="G42" s="42" t="str">
        <f t="shared" ref="G42:G53" si="10">IF(F42&gt;0,VLOOKUP(F42,Jumpers,3)&amp;", "&amp;VLOOKUP(F42,Jumpers,2)&amp;" ("&amp;VLOOKUP(F42,Jumpers,7)&amp;")","")</f>
        <v/>
      </c>
      <c r="H42" s="36"/>
      <c r="I42" s="42" t="str">
        <f t="shared" ref="I42:I53" si="11">IF(H42&gt;0,VLOOKUP(H42,Jumpers,3)&amp;", "&amp;VLOOKUP(H42,Jumpers,2)&amp;" ("&amp;VLOOKUP(H42,Jumpers,7)&amp;")","")</f>
        <v/>
      </c>
    </row>
    <row r="43" spans="1:9" x14ac:dyDescent="0.25">
      <c r="A43" s="52">
        <v>2</v>
      </c>
      <c r="B43" s="63" t="s">
        <v>112</v>
      </c>
      <c r="C43" s="63" t="s">
        <v>47</v>
      </c>
      <c r="D43" s="36"/>
      <c r="E43" s="42" t="str">
        <f t="shared" si="9"/>
        <v/>
      </c>
      <c r="F43" s="36"/>
      <c r="G43" s="42" t="str">
        <f t="shared" si="10"/>
        <v/>
      </c>
      <c r="H43" s="36"/>
      <c r="I43" s="42" t="str">
        <f t="shared" si="11"/>
        <v/>
      </c>
    </row>
    <row r="44" spans="1:9" x14ac:dyDescent="0.25">
      <c r="A44" s="52">
        <v>3</v>
      </c>
      <c r="B44" s="63" t="s">
        <v>112</v>
      </c>
      <c r="C44" s="63" t="s">
        <v>47</v>
      </c>
      <c r="D44" s="36"/>
      <c r="E44" s="42" t="str">
        <f t="shared" si="9"/>
        <v/>
      </c>
      <c r="F44" s="36"/>
      <c r="G44" s="42" t="str">
        <f t="shared" si="10"/>
        <v/>
      </c>
      <c r="H44" s="36"/>
      <c r="I44" s="42" t="str">
        <f t="shared" si="11"/>
        <v/>
      </c>
    </row>
    <row r="45" spans="1:9" x14ac:dyDescent="0.25">
      <c r="A45" s="52">
        <v>4</v>
      </c>
      <c r="B45" s="63" t="s">
        <v>112</v>
      </c>
      <c r="C45" s="63" t="s">
        <v>47</v>
      </c>
      <c r="D45" s="36"/>
      <c r="E45" s="42" t="str">
        <f t="shared" si="9"/>
        <v/>
      </c>
      <c r="F45" s="36"/>
      <c r="G45" s="42" t="str">
        <f t="shared" si="10"/>
        <v/>
      </c>
      <c r="H45" s="36"/>
      <c r="I45" s="42" t="str">
        <f t="shared" si="11"/>
        <v/>
      </c>
    </row>
    <row r="46" spans="1:9" x14ac:dyDescent="0.25">
      <c r="A46" s="52">
        <v>5</v>
      </c>
      <c r="B46" s="63" t="s">
        <v>112</v>
      </c>
      <c r="C46" s="63" t="s">
        <v>47</v>
      </c>
      <c r="D46" s="36"/>
      <c r="E46" s="42" t="str">
        <f t="shared" si="9"/>
        <v/>
      </c>
      <c r="F46" s="36"/>
      <c r="G46" s="42" t="str">
        <f t="shared" si="10"/>
        <v/>
      </c>
      <c r="H46" s="36"/>
      <c r="I46" s="42" t="str">
        <f t="shared" si="11"/>
        <v/>
      </c>
    </row>
    <row r="47" spans="1:9" x14ac:dyDescent="0.25">
      <c r="A47" s="52">
        <v>6</v>
      </c>
      <c r="B47" s="63" t="s">
        <v>112</v>
      </c>
      <c r="C47" s="63" t="s">
        <v>47</v>
      </c>
      <c r="D47" s="36"/>
      <c r="E47" s="42" t="str">
        <f t="shared" si="9"/>
        <v/>
      </c>
      <c r="F47" s="36"/>
      <c r="G47" s="42" t="str">
        <f t="shared" si="10"/>
        <v/>
      </c>
      <c r="H47" s="36"/>
      <c r="I47" s="42" t="str">
        <f t="shared" si="11"/>
        <v/>
      </c>
    </row>
    <row r="48" spans="1:9" x14ac:dyDescent="0.25">
      <c r="A48" s="52">
        <v>7</v>
      </c>
      <c r="B48" s="63" t="s">
        <v>112</v>
      </c>
      <c r="C48" s="63" t="s">
        <v>47</v>
      </c>
      <c r="D48" s="36"/>
      <c r="E48" s="42" t="str">
        <f t="shared" si="9"/>
        <v/>
      </c>
      <c r="F48" s="36"/>
      <c r="G48" s="42" t="str">
        <f t="shared" si="10"/>
        <v/>
      </c>
      <c r="H48" s="36"/>
      <c r="I48" s="42" t="str">
        <f t="shared" si="11"/>
        <v/>
      </c>
    </row>
    <row r="49" spans="1:9" x14ac:dyDescent="0.25">
      <c r="A49" s="52">
        <v>8</v>
      </c>
      <c r="B49" s="63" t="s">
        <v>112</v>
      </c>
      <c r="C49" s="63" t="s">
        <v>47</v>
      </c>
      <c r="D49" s="36"/>
      <c r="E49" s="42" t="str">
        <f t="shared" si="9"/>
        <v/>
      </c>
      <c r="F49" s="36"/>
      <c r="G49" s="42" t="str">
        <f t="shared" si="10"/>
        <v/>
      </c>
      <c r="H49" s="36"/>
      <c r="I49" s="42" t="str">
        <f t="shared" si="11"/>
        <v/>
      </c>
    </row>
    <row r="50" spans="1:9" x14ac:dyDescent="0.25">
      <c r="A50" s="85">
        <v>9</v>
      </c>
      <c r="B50" s="63" t="s">
        <v>112</v>
      </c>
      <c r="C50" s="63" t="s">
        <v>47</v>
      </c>
      <c r="D50" s="36"/>
      <c r="E50" s="42" t="str">
        <f t="shared" si="9"/>
        <v/>
      </c>
      <c r="F50" s="36"/>
      <c r="G50" s="42" t="str">
        <f t="shared" si="10"/>
        <v/>
      </c>
      <c r="H50" s="36"/>
      <c r="I50" s="42" t="str">
        <f t="shared" si="11"/>
        <v/>
      </c>
    </row>
    <row r="51" spans="1:9" x14ac:dyDescent="0.25">
      <c r="A51" s="85">
        <v>10</v>
      </c>
      <c r="B51" s="63" t="s">
        <v>112</v>
      </c>
      <c r="C51" s="63" t="s">
        <v>47</v>
      </c>
      <c r="D51" s="36"/>
      <c r="E51" s="42" t="str">
        <f t="shared" si="9"/>
        <v/>
      </c>
      <c r="F51" s="36"/>
      <c r="G51" s="42" t="str">
        <f t="shared" si="10"/>
        <v/>
      </c>
      <c r="H51" s="36"/>
      <c r="I51" s="42" t="str">
        <f t="shared" si="11"/>
        <v/>
      </c>
    </row>
    <row r="52" spans="1:9" x14ac:dyDescent="0.25">
      <c r="A52" s="85">
        <v>11</v>
      </c>
      <c r="B52" s="63" t="s">
        <v>112</v>
      </c>
      <c r="C52" s="63" t="s">
        <v>47</v>
      </c>
      <c r="D52" s="36"/>
      <c r="E52" s="42" t="str">
        <f t="shared" si="9"/>
        <v/>
      </c>
      <c r="F52" s="36"/>
      <c r="G52" s="42" t="str">
        <f t="shared" si="10"/>
        <v/>
      </c>
      <c r="H52" s="36"/>
      <c r="I52" s="42" t="str">
        <f t="shared" si="11"/>
        <v/>
      </c>
    </row>
    <row r="53" spans="1:9" x14ac:dyDescent="0.25">
      <c r="A53" s="85">
        <v>12</v>
      </c>
      <c r="B53" s="63" t="s">
        <v>112</v>
      </c>
      <c r="C53" s="63" t="s">
        <v>47</v>
      </c>
      <c r="D53" s="36"/>
      <c r="E53" s="42" t="str">
        <f t="shared" si="9"/>
        <v/>
      </c>
      <c r="F53" s="36"/>
      <c r="G53" s="42" t="str">
        <f t="shared" si="10"/>
        <v/>
      </c>
      <c r="H53" s="36"/>
      <c r="I53" s="42" t="str">
        <f t="shared" si="11"/>
        <v/>
      </c>
    </row>
    <row r="55" spans="1:9" x14ac:dyDescent="0.25">
      <c r="A55" s="38" t="s">
        <v>84</v>
      </c>
      <c r="B55" s="54"/>
      <c r="C55" s="54"/>
      <c r="D55" s="38"/>
      <c r="E55" s="38"/>
      <c r="F55" s="38"/>
      <c r="G55" s="38"/>
      <c r="H55" s="38"/>
      <c r="I55" s="38"/>
    </row>
    <row r="56" spans="1:9" ht="23.25" x14ac:dyDescent="0.25">
      <c r="A56" s="62" t="s">
        <v>104</v>
      </c>
      <c r="B56" s="39" t="s">
        <v>55</v>
      </c>
      <c r="C56" s="39" t="s">
        <v>56</v>
      </c>
      <c r="D56" s="55" t="s">
        <v>8</v>
      </c>
      <c r="E56" s="39" t="s">
        <v>81</v>
      </c>
      <c r="F56" s="55" t="s">
        <v>8</v>
      </c>
      <c r="G56" s="39" t="s">
        <v>81</v>
      </c>
      <c r="H56" s="55" t="s">
        <v>8</v>
      </c>
      <c r="I56" s="39" t="s">
        <v>81</v>
      </c>
    </row>
    <row r="57" spans="1:9" x14ac:dyDescent="0.25">
      <c r="A57" s="52">
        <v>1</v>
      </c>
      <c r="B57" s="63" t="s">
        <v>112</v>
      </c>
      <c r="C57" s="63" t="s">
        <v>142</v>
      </c>
      <c r="D57" s="36"/>
      <c r="E57" s="42" t="str">
        <f t="shared" ref="E57:E59" si="12">IF(D57&gt;0,VLOOKUP(D57,Jumpers,3)&amp;", "&amp;VLOOKUP(D57,Jumpers,2)&amp;" ("&amp;VLOOKUP(D57,Jumpers,7)&amp;")","")</f>
        <v/>
      </c>
      <c r="F57" s="36"/>
      <c r="G57" s="42" t="str">
        <f t="shared" ref="G57:G59" si="13">IF(F57&gt;0,VLOOKUP(F57,Jumpers,3)&amp;", "&amp;VLOOKUP(F57,Jumpers,2)&amp;" ("&amp;VLOOKUP(F57,Jumpers,7)&amp;")","")</f>
        <v/>
      </c>
      <c r="H57" s="36"/>
      <c r="I57" s="42" t="str">
        <f t="shared" ref="I57:I59" si="14">IF(H57&gt;0,VLOOKUP(H57,Jumpers,3)&amp;", "&amp;VLOOKUP(H57,Jumpers,2)&amp;" ("&amp;VLOOKUP(H57,Jumpers,7)&amp;")","")</f>
        <v/>
      </c>
    </row>
    <row r="58" spans="1:9" x14ac:dyDescent="0.25">
      <c r="A58" s="52">
        <v>2</v>
      </c>
      <c r="B58" s="63" t="s">
        <v>112</v>
      </c>
      <c r="C58" s="63" t="s">
        <v>142</v>
      </c>
      <c r="D58" s="36"/>
      <c r="E58" s="42" t="str">
        <f t="shared" si="12"/>
        <v/>
      </c>
      <c r="F58" s="36"/>
      <c r="G58" s="42" t="str">
        <f t="shared" si="13"/>
        <v/>
      </c>
      <c r="H58" s="36"/>
      <c r="I58" s="42" t="str">
        <f t="shared" si="14"/>
        <v/>
      </c>
    </row>
    <row r="59" spans="1:9" x14ac:dyDescent="0.25">
      <c r="A59" s="52">
        <v>3</v>
      </c>
      <c r="B59" s="63" t="s">
        <v>112</v>
      </c>
      <c r="C59" s="63" t="s">
        <v>142</v>
      </c>
      <c r="D59" s="36"/>
      <c r="E59" s="42" t="str">
        <f t="shared" si="12"/>
        <v/>
      </c>
      <c r="F59" s="36"/>
      <c r="G59" s="42" t="str">
        <f t="shared" si="13"/>
        <v/>
      </c>
      <c r="H59" s="36"/>
      <c r="I59" s="42" t="str">
        <f t="shared" si="14"/>
        <v/>
      </c>
    </row>
    <row r="62" spans="1:9" ht="18.75" x14ac:dyDescent="0.3">
      <c r="A62" s="64" t="str">
        <f>CONCATENATE(A1," - Female Division")</f>
        <v>Double Dutch Single Freestyle - Female Division</v>
      </c>
      <c r="B62" s="54"/>
      <c r="C62" s="54"/>
      <c r="D62" s="38"/>
      <c r="E62" s="38"/>
      <c r="F62" s="38"/>
      <c r="G62" s="38"/>
      <c r="H62" s="38"/>
      <c r="I62" s="38"/>
    </row>
    <row r="63" spans="1:9" x14ac:dyDescent="0.25">
      <c r="A63" s="38" t="s">
        <v>107</v>
      </c>
      <c r="B63" s="54"/>
      <c r="C63" s="54"/>
      <c r="D63" s="38"/>
      <c r="E63" s="38"/>
      <c r="F63" s="38"/>
      <c r="G63" s="38"/>
      <c r="H63" s="38"/>
      <c r="I63" s="38"/>
    </row>
    <row r="64" spans="1:9" ht="23.25" x14ac:dyDescent="0.25">
      <c r="A64" s="62" t="s">
        <v>104</v>
      </c>
      <c r="B64" s="39" t="s">
        <v>55</v>
      </c>
      <c r="C64" s="39" t="s">
        <v>56</v>
      </c>
      <c r="D64" s="55" t="s">
        <v>8</v>
      </c>
      <c r="E64" s="39" t="s">
        <v>81</v>
      </c>
      <c r="F64" s="55" t="s">
        <v>8</v>
      </c>
      <c r="G64" s="39" t="s">
        <v>81</v>
      </c>
      <c r="H64" s="55" t="s">
        <v>8</v>
      </c>
      <c r="I64" s="39" t="s">
        <v>81</v>
      </c>
    </row>
    <row r="65" spans="1:9" x14ac:dyDescent="0.25">
      <c r="A65" s="52">
        <v>1</v>
      </c>
      <c r="B65" s="63" t="s">
        <v>114</v>
      </c>
      <c r="C65" s="63" t="s">
        <v>48</v>
      </c>
      <c r="D65" s="36"/>
      <c r="E65" s="42" t="str">
        <f t="shared" ref="E65:E72" si="15">IF(D65&gt;0,VLOOKUP(D65,Jumpers,3)&amp;", "&amp;VLOOKUP(D65,Jumpers,2)&amp;" ("&amp;VLOOKUP(D65,Jumpers,7)&amp;")","")</f>
        <v/>
      </c>
      <c r="F65" s="36"/>
      <c r="G65" s="42" t="str">
        <f t="shared" ref="G65:G72" si="16">IF(F65&gt;0,VLOOKUP(F65,Jumpers,3)&amp;", "&amp;VLOOKUP(F65,Jumpers,2)&amp;" ("&amp;VLOOKUP(F65,Jumpers,7)&amp;")","")</f>
        <v/>
      </c>
      <c r="H65" s="36"/>
      <c r="I65" s="42" t="str">
        <f t="shared" ref="I65:I72" si="17">IF(H65&gt;0,VLOOKUP(H65,Jumpers,3)&amp;", "&amp;VLOOKUP(H65,Jumpers,2)&amp;" ("&amp;VLOOKUP(H65,Jumpers,7)&amp;")","")</f>
        <v/>
      </c>
    </row>
    <row r="66" spans="1:9" x14ac:dyDescent="0.25">
      <c r="A66" s="52">
        <v>2</v>
      </c>
      <c r="B66" s="63" t="s">
        <v>114</v>
      </c>
      <c r="C66" s="63" t="s">
        <v>48</v>
      </c>
      <c r="D66" s="36"/>
      <c r="E66" s="42" t="str">
        <f t="shared" si="15"/>
        <v/>
      </c>
      <c r="F66" s="36"/>
      <c r="G66" s="42" t="str">
        <f t="shared" si="16"/>
        <v/>
      </c>
      <c r="H66" s="36"/>
      <c r="I66" s="42" t="str">
        <f t="shared" si="17"/>
        <v/>
      </c>
    </row>
    <row r="67" spans="1:9" x14ac:dyDescent="0.25">
      <c r="A67" s="52">
        <v>3</v>
      </c>
      <c r="B67" s="63" t="s">
        <v>114</v>
      </c>
      <c r="C67" s="63" t="s">
        <v>48</v>
      </c>
      <c r="D67" s="36"/>
      <c r="E67" s="42" t="str">
        <f t="shared" si="15"/>
        <v/>
      </c>
      <c r="F67" s="36"/>
      <c r="G67" s="42" t="str">
        <f t="shared" si="16"/>
        <v/>
      </c>
      <c r="H67" s="36"/>
      <c r="I67" s="42" t="str">
        <f t="shared" si="17"/>
        <v/>
      </c>
    </row>
    <row r="68" spans="1:9" x14ac:dyDescent="0.25">
      <c r="A68" s="52">
        <v>4</v>
      </c>
      <c r="B68" s="63" t="s">
        <v>114</v>
      </c>
      <c r="C68" s="63" t="s">
        <v>48</v>
      </c>
      <c r="D68" s="36"/>
      <c r="E68" s="42" t="str">
        <f t="shared" si="15"/>
        <v/>
      </c>
      <c r="F68" s="36"/>
      <c r="G68" s="42" t="str">
        <f t="shared" si="16"/>
        <v/>
      </c>
      <c r="H68" s="36"/>
      <c r="I68" s="42" t="str">
        <f t="shared" si="17"/>
        <v/>
      </c>
    </row>
    <row r="69" spans="1:9" x14ac:dyDescent="0.25">
      <c r="A69" s="52">
        <v>5</v>
      </c>
      <c r="B69" s="63" t="s">
        <v>114</v>
      </c>
      <c r="C69" s="63" t="s">
        <v>48</v>
      </c>
      <c r="D69" s="36"/>
      <c r="E69" s="42" t="str">
        <f t="shared" si="15"/>
        <v/>
      </c>
      <c r="F69" s="36"/>
      <c r="G69" s="42" t="str">
        <f t="shared" si="16"/>
        <v/>
      </c>
      <c r="H69" s="36"/>
      <c r="I69" s="42" t="str">
        <f t="shared" si="17"/>
        <v/>
      </c>
    </row>
    <row r="70" spans="1:9" x14ac:dyDescent="0.25">
      <c r="A70" s="52">
        <v>6</v>
      </c>
      <c r="B70" s="63" t="s">
        <v>114</v>
      </c>
      <c r="C70" s="63" t="s">
        <v>48</v>
      </c>
      <c r="D70" s="36"/>
      <c r="E70" s="42" t="str">
        <f t="shared" si="15"/>
        <v/>
      </c>
      <c r="F70" s="36"/>
      <c r="G70" s="42" t="str">
        <f t="shared" si="16"/>
        <v/>
      </c>
      <c r="H70" s="36"/>
      <c r="I70" s="42" t="str">
        <f t="shared" si="17"/>
        <v/>
      </c>
    </row>
    <row r="71" spans="1:9" x14ac:dyDescent="0.25">
      <c r="A71" s="52">
        <v>7</v>
      </c>
      <c r="B71" s="63" t="s">
        <v>114</v>
      </c>
      <c r="C71" s="63" t="s">
        <v>48</v>
      </c>
      <c r="D71" s="36"/>
      <c r="E71" s="42" t="str">
        <f t="shared" si="15"/>
        <v/>
      </c>
      <c r="F71" s="36"/>
      <c r="G71" s="42" t="str">
        <f t="shared" si="16"/>
        <v/>
      </c>
      <c r="H71" s="36"/>
      <c r="I71" s="42" t="str">
        <f t="shared" si="17"/>
        <v/>
      </c>
    </row>
    <row r="72" spans="1:9" x14ac:dyDescent="0.25">
      <c r="A72" s="52">
        <v>8</v>
      </c>
      <c r="B72" s="63" t="s">
        <v>114</v>
      </c>
      <c r="C72" s="63" t="s">
        <v>48</v>
      </c>
      <c r="D72" s="36"/>
      <c r="E72" s="42" t="str">
        <f t="shared" si="15"/>
        <v/>
      </c>
      <c r="F72" s="36"/>
      <c r="G72" s="42" t="str">
        <f t="shared" si="16"/>
        <v/>
      </c>
      <c r="H72" s="36"/>
      <c r="I72" s="42" t="str">
        <f t="shared" si="17"/>
        <v/>
      </c>
    </row>
    <row r="74" spans="1:9" x14ac:dyDescent="0.25">
      <c r="A74" s="38" t="s">
        <v>70</v>
      </c>
      <c r="B74" s="54"/>
      <c r="C74" s="54"/>
      <c r="D74" s="38"/>
      <c r="E74" s="38"/>
      <c r="F74" s="38"/>
      <c r="G74" s="38"/>
      <c r="H74" s="38"/>
      <c r="I74" s="38"/>
    </row>
    <row r="75" spans="1:9" ht="23.25" x14ac:dyDescent="0.25">
      <c r="A75" s="62" t="s">
        <v>104</v>
      </c>
      <c r="B75" s="39" t="s">
        <v>55</v>
      </c>
      <c r="C75" s="39" t="s">
        <v>56</v>
      </c>
      <c r="D75" s="55" t="s">
        <v>8</v>
      </c>
      <c r="E75" s="39" t="s">
        <v>81</v>
      </c>
      <c r="F75" s="55" t="s">
        <v>8</v>
      </c>
      <c r="G75" s="39" t="s">
        <v>81</v>
      </c>
      <c r="H75" s="55" t="s">
        <v>8</v>
      </c>
      <c r="I75" s="39" t="s">
        <v>81</v>
      </c>
    </row>
    <row r="76" spans="1:9" x14ac:dyDescent="0.25">
      <c r="A76" s="52">
        <v>1</v>
      </c>
      <c r="B76" s="63" t="s">
        <v>114</v>
      </c>
      <c r="C76" s="63" t="s">
        <v>141</v>
      </c>
      <c r="D76" s="36"/>
      <c r="E76" s="42" t="str">
        <f t="shared" ref="E76:E83" si="18">IF(D76&gt;0,VLOOKUP(D76,Jumpers,3)&amp;", "&amp;VLOOKUP(D76,Jumpers,2)&amp;" ("&amp;VLOOKUP(D76,Jumpers,7)&amp;")","")</f>
        <v/>
      </c>
      <c r="F76" s="36"/>
      <c r="G76" s="42" t="str">
        <f t="shared" ref="G76:G83" si="19">IF(F76&gt;0,VLOOKUP(F76,Jumpers,3)&amp;", "&amp;VLOOKUP(F76,Jumpers,2)&amp;" ("&amp;VLOOKUP(F76,Jumpers,7)&amp;")","")</f>
        <v/>
      </c>
      <c r="H76" s="36"/>
      <c r="I76" s="42" t="str">
        <f t="shared" ref="I76:I83" si="20">IF(H76&gt;0,VLOOKUP(H76,Jumpers,3)&amp;", "&amp;VLOOKUP(H76,Jumpers,2)&amp;" ("&amp;VLOOKUP(H76,Jumpers,7)&amp;")","")</f>
        <v/>
      </c>
    </row>
    <row r="77" spans="1:9" x14ac:dyDescent="0.25">
      <c r="A77" s="52">
        <v>2</v>
      </c>
      <c r="B77" s="63" t="s">
        <v>114</v>
      </c>
      <c r="C77" s="63" t="s">
        <v>141</v>
      </c>
      <c r="D77" s="36"/>
      <c r="E77" s="42" t="str">
        <f t="shared" si="18"/>
        <v/>
      </c>
      <c r="F77" s="36"/>
      <c r="G77" s="42" t="str">
        <f t="shared" si="19"/>
        <v/>
      </c>
      <c r="H77" s="36"/>
      <c r="I77" s="42" t="str">
        <f t="shared" si="20"/>
        <v/>
      </c>
    </row>
    <row r="78" spans="1:9" x14ac:dyDescent="0.25">
      <c r="A78" s="52">
        <v>3</v>
      </c>
      <c r="B78" s="63" t="s">
        <v>114</v>
      </c>
      <c r="C78" s="63" t="s">
        <v>141</v>
      </c>
      <c r="D78" s="36"/>
      <c r="E78" s="42" t="str">
        <f t="shared" si="18"/>
        <v/>
      </c>
      <c r="F78" s="36"/>
      <c r="G78" s="42" t="str">
        <f t="shared" si="19"/>
        <v/>
      </c>
      <c r="H78" s="36"/>
      <c r="I78" s="42" t="str">
        <f t="shared" si="20"/>
        <v/>
      </c>
    </row>
    <row r="79" spans="1:9" x14ac:dyDescent="0.25">
      <c r="A79" s="52">
        <v>4</v>
      </c>
      <c r="B79" s="63" t="s">
        <v>114</v>
      </c>
      <c r="C79" s="63" t="s">
        <v>141</v>
      </c>
      <c r="D79" s="36"/>
      <c r="E79" s="42" t="str">
        <f t="shared" si="18"/>
        <v/>
      </c>
      <c r="F79" s="36"/>
      <c r="G79" s="42" t="str">
        <f t="shared" si="19"/>
        <v/>
      </c>
      <c r="H79" s="36"/>
      <c r="I79" s="42" t="str">
        <f t="shared" si="20"/>
        <v/>
      </c>
    </row>
    <row r="80" spans="1:9" x14ac:dyDescent="0.25">
      <c r="A80" s="52">
        <v>5</v>
      </c>
      <c r="B80" s="63" t="s">
        <v>114</v>
      </c>
      <c r="C80" s="63" t="s">
        <v>141</v>
      </c>
      <c r="D80" s="36"/>
      <c r="E80" s="42" t="str">
        <f t="shared" si="18"/>
        <v/>
      </c>
      <c r="F80" s="36"/>
      <c r="G80" s="42" t="str">
        <f t="shared" si="19"/>
        <v/>
      </c>
      <c r="H80" s="36"/>
      <c r="I80" s="42" t="str">
        <f t="shared" si="20"/>
        <v/>
      </c>
    </row>
    <row r="81" spans="1:9" x14ac:dyDescent="0.25">
      <c r="A81" s="52">
        <v>6</v>
      </c>
      <c r="B81" s="63" t="s">
        <v>114</v>
      </c>
      <c r="C81" s="63" t="s">
        <v>141</v>
      </c>
      <c r="D81" s="36"/>
      <c r="E81" s="42" t="str">
        <f t="shared" si="18"/>
        <v/>
      </c>
      <c r="F81" s="36"/>
      <c r="G81" s="42" t="str">
        <f t="shared" si="19"/>
        <v/>
      </c>
      <c r="H81" s="36"/>
      <c r="I81" s="42" t="str">
        <f t="shared" si="20"/>
        <v/>
      </c>
    </row>
    <row r="82" spans="1:9" x14ac:dyDescent="0.25">
      <c r="A82" s="52">
        <v>7</v>
      </c>
      <c r="B82" s="63" t="s">
        <v>114</v>
      </c>
      <c r="C82" s="63" t="s">
        <v>141</v>
      </c>
      <c r="D82" s="36"/>
      <c r="E82" s="42" t="str">
        <f t="shared" si="18"/>
        <v/>
      </c>
      <c r="F82" s="36"/>
      <c r="G82" s="42" t="str">
        <f t="shared" si="19"/>
        <v/>
      </c>
      <c r="H82" s="36"/>
      <c r="I82" s="42" t="str">
        <f t="shared" si="20"/>
        <v/>
      </c>
    </row>
    <row r="83" spans="1:9" x14ac:dyDescent="0.25">
      <c r="A83" s="52">
        <v>8</v>
      </c>
      <c r="B83" s="63" t="s">
        <v>114</v>
      </c>
      <c r="C83" s="63" t="s">
        <v>141</v>
      </c>
      <c r="D83" s="36"/>
      <c r="E83" s="42" t="str">
        <f t="shared" si="18"/>
        <v/>
      </c>
      <c r="F83" s="36"/>
      <c r="G83" s="42" t="str">
        <f t="shared" si="19"/>
        <v/>
      </c>
      <c r="H83" s="36"/>
      <c r="I83" s="42" t="str">
        <f t="shared" si="20"/>
        <v/>
      </c>
    </row>
    <row r="85" spans="1:9" ht="18.75" x14ac:dyDescent="0.3">
      <c r="A85" s="64" t="str">
        <f>CONCATENATE(A1," - Open Division")</f>
        <v>Double Dutch Single Freestyle - Open Division</v>
      </c>
      <c r="B85" s="54"/>
      <c r="C85" s="54"/>
      <c r="D85" s="38"/>
      <c r="E85" s="38"/>
      <c r="F85" s="38"/>
      <c r="G85" s="38"/>
      <c r="H85" s="38"/>
      <c r="I85" s="38"/>
    </row>
    <row r="86" spans="1:9" x14ac:dyDescent="0.25">
      <c r="A86" s="38" t="s">
        <v>107</v>
      </c>
      <c r="B86" s="54"/>
      <c r="C86" s="54"/>
      <c r="D86" s="38"/>
      <c r="E86" s="38"/>
      <c r="F86" s="38"/>
      <c r="G86" s="38"/>
      <c r="H86" s="38"/>
      <c r="I86" s="38"/>
    </row>
    <row r="87" spans="1:9" ht="23.25" x14ac:dyDescent="0.25">
      <c r="A87" s="62" t="s">
        <v>104</v>
      </c>
      <c r="B87" s="39" t="s">
        <v>55</v>
      </c>
      <c r="C87" s="39" t="s">
        <v>56</v>
      </c>
      <c r="D87" s="55" t="s">
        <v>8</v>
      </c>
      <c r="E87" s="39" t="s">
        <v>81</v>
      </c>
      <c r="F87" s="55" t="s">
        <v>8</v>
      </c>
      <c r="G87" s="39" t="s">
        <v>81</v>
      </c>
      <c r="H87" s="55" t="s">
        <v>8</v>
      </c>
      <c r="I87" s="39" t="s">
        <v>81</v>
      </c>
    </row>
    <row r="88" spans="1:9" x14ac:dyDescent="0.25">
      <c r="A88" s="52">
        <v>1</v>
      </c>
      <c r="B88" s="63" t="s">
        <v>112</v>
      </c>
      <c r="C88" s="63" t="s">
        <v>48</v>
      </c>
      <c r="D88" s="36"/>
      <c r="E88" s="42" t="str">
        <f t="shared" ref="E88:E95" si="21">IF(D88&gt;0,VLOOKUP(D88,Jumpers,3)&amp;", "&amp;VLOOKUP(D88,Jumpers,2)&amp;" ("&amp;VLOOKUP(D88,Jumpers,7)&amp;")","")</f>
        <v/>
      </c>
      <c r="F88" s="36"/>
      <c r="G88" s="42" t="str">
        <f t="shared" ref="G88:G95" si="22">IF(F88&gt;0,VLOOKUP(F88,Jumpers,3)&amp;", "&amp;VLOOKUP(F88,Jumpers,2)&amp;" ("&amp;VLOOKUP(F88,Jumpers,7)&amp;")","")</f>
        <v/>
      </c>
      <c r="H88" s="36"/>
      <c r="I88" s="42" t="str">
        <f t="shared" ref="I88:I95" si="23">IF(H88&gt;0,VLOOKUP(H88,Jumpers,3)&amp;", "&amp;VLOOKUP(H88,Jumpers,2)&amp;" ("&amp;VLOOKUP(H88,Jumpers,7)&amp;")","")</f>
        <v/>
      </c>
    </row>
    <row r="89" spans="1:9" x14ac:dyDescent="0.25">
      <c r="A89" s="52">
        <v>2</v>
      </c>
      <c r="B89" s="63" t="s">
        <v>112</v>
      </c>
      <c r="C89" s="63" t="s">
        <v>48</v>
      </c>
      <c r="D89" s="36"/>
      <c r="E89" s="42" t="str">
        <f t="shared" si="21"/>
        <v/>
      </c>
      <c r="F89" s="36"/>
      <c r="G89" s="42" t="str">
        <f t="shared" si="22"/>
        <v/>
      </c>
      <c r="H89" s="36"/>
      <c r="I89" s="42" t="str">
        <f t="shared" si="23"/>
        <v/>
      </c>
    </row>
    <row r="90" spans="1:9" x14ac:dyDescent="0.25">
      <c r="A90" s="52">
        <v>3</v>
      </c>
      <c r="B90" s="63" t="s">
        <v>112</v>
      </c>
      <c r="C90" s="63" t="s">
        <v>48</v>
      </c>
      <c r="D90" s="36"/>
      <c r="E90" s="42" t="str">
        <f t="shared" si="21"/>
        <v/>
      </c>
      <c r="F90" s="36"/>
      <c r="G90" s="42" t="str">
        <f t="shared" si="22"/>
        <v/>
      </c>
      <c r="H90" s="36"/>
      <c r="I90" s="42" t="str">
        <f t="shared" si="23"/>
        <v/>
      </c>
    </row>
    <row r="91" spans="1:9" x14ac:dyDescent="0.25">
      <c r="A91" s="52">
        <v>4</v>
      </c>
      <c r="B91" s="63" t="s">
        <v>112</v>
      </c>
      <c r="C91" s="63" t="s">
        <v>48</v>
      </c>
      <c r="D91" s="36"/>
      <c r="E91" s="42" t="str">
        <f t="shared" si="21"/>
        <v/>
      </c>
      <c r="F91" s="36"/>
      <c r="G91" s="42" t="str">
        <f t="shared" si="22"/>
        <v/>
      </c>
      <c r="H91" s="36"/>
      <c r="I91" s="42" t="str">
        <f t="shared" si="23"/>
        <v/>
      </c>
    </row>
    <row r="92" spans="1:9" x14ac:dyDescent="0.25">
      <c r="A92" s="52">
        <v>5</v>
      </c>
      <c r="B92" s="63" t="s">
        <v>112</v>
      </c>
      <c r="C92" s="63" t="s">
        <v>48</v>
      </c>
      <c r="D92" s="36"/>
      <c r="E92" s="42" t="str">
        <f t="shared" si="21"/>
        <v/>
      </c>
      <c r="F92" s="36"/>
      <c r="G92" s="42" t="str">
        <f t="shared" si="22"/>
        <v/>
      </c>
      <c r="H92" s="36"/>
      <c r="I92" s="42" t="str">
        <f t="shared" si="23"/>
        <v/>
      </c>
    </row>
    <row r="93" spans="1:9" x14ac:dyDescent="0.25">
      <c r="A93" s="52">
        <v>6</v>
      </c>
      <c r="B93" s="63" t="s">
        <v>112</v>
      </c>
      <c r="C93" s="63" t="s">
        <v>48</v>
      </c>
      <c r="D93" s="36"/>
      <c r="E93" s="42" t="str">
        <f t="shared" si="21"/>
        <v/>
      </c>
      <c r="F93" s="36"/>
      <c r="G93" s="42" t="str">
        <f t="shared" si="22"/>
        <v/>
      </c>
      <c r="H93" s="36"/>
      <c r="I93" s="42" t="str">
        <f t="shared" si="23"/>
        <v/>
      </c>
    </row>
    <row r="94" spans="1:9" x14ac:dyDescent="0.25">
      <c r="A94" s="52">
        <v>7</v>
      </c>
      <c r="B94" s="63" t="s">
        <v>112</v>
      </c>
      <c r="C94" s="63" t="s">
        <v>48</v>
      </c>
      <c r="D94" s="36"/>
      <c r="E94" s="42" t="str">
        <f t="shared" si="21"/>
        <v/>
      </c>
      <c r="F94" s="36"/>
      <c r="G94" s="42" t="str">
        <f t="shared" si="22"/>
        <v/>
      </c>
      <c r="H94" s="36"/>
      <c r="I94" s="42" t="str">
        <f t="shared" si="23"/>
        <v/>
      </c>
    </row>
    <row r="95" spans="1:9" x14ac:dyDescent="0.25">
      <c r="A95" s="52">
        <v>8</v>
      </c>
      <c r="B95" s="63" t="s">
        <v>112</v>
      </c>
      <c r="C95" s="63" t="s">
        <v>48</v>
      </c>
      <c r="D95" s="36"/>
      <c r="E95" s="42" t="str">
        <f t="shared" si="21"/>
        <v/>
      </c>
      <c r="F95" s="36"/>
      <c r="G95" s="42" t="str">
        <f t="shared" si="22"/>
        <v/>
      </c>
      <c r="H95" s="36"/>
      <c r="I95" s="42" t="str">
        <f t="shared" si="23"/>
        <v/>
      </c>
    </row>
    <row r="97" spans="1:9" x14ac:dyDescent="0.25">
      <c r="A97" s="38" t="s">
        <v>70</v>
      </c>
      <c r="B97" s="54"/>
      <c r="C97" s="54"/>
      <c r="D97" s="38"/>
      <c r="E97" s="38"/>
      <c r="F97" s="38"/>
      <c r="G97" s="38"/>
      <c r="H97" s="38"/>
      <c r="I97" s="38"/>
    </row>
    <row r="98" spans="1:9" ht="23.25" x14ac:dyDescent="0.25">
      <c r="A98" s="62" t="s">
        <v>104</v>
      </c>
      <c r="B98" s="39" t="s">
        <v>55</v>
      </c>
      <c r="C98" s="39" t="s">
        <v>56</v>
      </c>
      <c r="D98" s="55" t="s">
        <v>8</v>
      </c>
      <c r="E98" s="39" t="s">
        <v>81</v>
      </c>
      <c r="F98" s="55" t="s">
        <v>8</v>
      </c>
      <c r="G98" s="39" t="s">
        <v>81</v>
      </c>
      <c r="H98" s="55" t="s">
        <v>8</v>
      </c>
      <c r="I98" s="39" t="s">
        <v>81</v>
      </c>
    </row>
    <row r="99" spans="1:9" x14ac:dyDescent="0.25">
      <c r="A99" s="52">
        <v>1</v>
      </c>
      <c r="B99" s="63" t="s">
        <v>112</v>
      </c>
      <c r="C99" s="63" t="s">
        <v>141</v>
      </c>
      <c r="D99" s="36"/>
      <c r="E99" s="42" t="str">
        <f t="shared" ref="E99:E106" si="24">IF(D99&gt;0,VLOOKUP(D99,Jumpers,3)&amp;", "&amp;VLOOKUP(D99,Jumpers,2)&amp;" ("&amp;VLOOKUP(D99,Jumpers,7)&amp;")","")</f>
        <v/>
      </c>
      <c r="F99" s="36"/>
      <c r="G99" s="42" t="str">
        <f t="shared" ref="G99:G106" si="25">IF(F99&gt;0,VLOOKUP(F99,Jumpers,3)&amp;", "&amp;VLOOKUP(F99,Jumpers,2)&amp;" ("&amp;VLOOKUP(F99,Jumpers,7)&amp;")","")</f>
        <v/>
      </c>
      <c r="H99" s="36"/>
      <c r="I99" s="42" t="str">
        <f t="shared" ref="I99:I106" si="26">IF(H99&gt;0,VLOOKUP(H99,Jumpers,3)&amp;", "&amp;VLOOKUP(H99,Jumpers,2)&amp;" ("&amp;VLOOKUP(H99,Jumpers,7)&amp;")","")</f>
        <v/>
      </c>
    </row>
    <row r="100" spans="1:9" x14ac:dyDescent="0.25">
      <c r="A100" s="52">
        <v>2</v>
      </c>
      <c r="B100" s="63" t="s">
        <v>112</v>
      </c>
      <c r="C100" s="63" t="s">
        <v>141</v>
      </c>
      <c r="D100" s="36"/>
      <c r="E100" s="42" t="str">
        <f t="shared" si="24"/>
        <v/>
      </c>
      <c r="F100" s="36"/>
      <c r="G100" s="42" t="str">
        <f t="shared" si="25"/>
        <v/>
      </c>
      <c r="H100" s="36"/>
      <c r="I100" s="42" t="str">
        <f t="shared" si="26"/>
        <v/>
      </c>
    </row>
    <row r="101" spans="1:9" x14ac:dyDescent="0.25">
      <c r="A101" s="52">
        <v>3</v>
      </c>
      <c r="B101" s="63" t="s">
        <v>112</v>
      </c>
      <c r="C101" s="63" t="s">
        <v>141</v>
      </c>
      <c r="D101" s="36"/>
      <c r="E101" s="42" t="str">
        <f t="shared" si="24"/>
        <v/>
      </c>
      <c r="F101" s="36"/>
      <c r="G101" s="42" t="str">
        <f t="shared" si="25"/>
        <v/>
      </c>
      <c r="H101" s="36"/>
      <c r="I101" s="42" t="str">
        <f t="shared" si="26"/>
        <v/>
      </c>
    </row>
    <row r="102" spans="1:9" x14ac:dyDescent="0.25">
      <c r="A102" s="52">
        <v>4</v>
      </c>
      <c r="B102" s="63" t="s">
        <v>112</v>
      </c>
      <c r="C102" s="63" t="s">
        <v>141</v>
      </c>
      <c r="D102" s="36"/>
      <c r="E102" s="42" t="str">
        <f t="shared" si="24"/>
        <v/>
      </c>
      <c r="F102" s="36"/>
      <c r="G102" s="42" t="str">
        <f t="shared" si="25"/>
        <v/>
      </c>
      <c r="H102" s="36"/>
      <c r="I102" s="42" t="str">
        <f t="shared" si="26"/>
        <v/>
      </c>
    </row>
    <row r="103" spans="1:9" x14ac:dyDescent="0.25">
      <c r="A103" s="52">
        <v>5</v>
      </c>
      <c r="B103" s="63" t="s">
        <v>112</v>
      </c>
      <c r="C103" s="63" t="s">
        <v>141</v>
      </c>
      <c r="D103" s="36"/>
      <c r="E103" s="42" t="str">
        <f t="shared" si="24"/>
        <v/>
      </c>
      <c r="F103" s="36"/>
      <c r="G103" s="42" t="str">
        <f t="shared" si="25"/>
        <v/>
      </c>
      <c r="H103" s="36"/>
      <c r="I103" s="42" t="str">
        <f t="shared" si="26"/>
        <v/>
      </c>
    </row>
    <row r="104" spans="1:9" x14ac:dyDescent="0.25">
      <c r="A104" s="52">
        <v>6</v>
      </c>
      <c r="B104" s="63" t="s">
        <v>112</v>
      </c>
      <c r="C104" s="63" t="s">
        <v>141</v>
      </c>
      <c r="D104" s="36"/>
      <c r="E104" s="42" t="str">
        <f t="shared" si="24"/>
        <v/>
      </c>
      <c r="F104" s="36"/>
      <c r="G104" s="42" t="str">
        <f t="shared" si="25"/>
        <v/>
      </c>
      <c r="H104" s="36"/>
      <c r="I104" s="42" t="str">
        <f t="shared" si="26"/>
        <v/>
      </c>
    </row>
    <row r="105" spans="1:9" x14ac:dyDescent="0.25">
      <c r="A105" s="52">
        <v>7</v>
      </c>
      <c r="B105" s="63" t="s">
        <v>112</v>
      </c>
      <c r="C105" s="63" t="s">
        <v>141</v>
      </c>
      <c r="D105" s="36"/>
      <c r="E105" s="42" t="str">
        <f t="shared" si="24"/>
        <v/>
      </c>
      <c r="F105" s="36"/>
      <c r="G105" s="42" t="str">
        <f t="shared" si="25"/>
        <v/>
      </c>
      <c r="H105" s="36"/>
      <c r="I105" s="42" t="str">
        <f t="shared" si="26"/>
        <v/>
      </c>
    </row>
    <row r="106" spans="1:9" x14ac:dyDescent="0.25">
      <c r="A106" s="52">
        <v>8</v>
      </c>
      <c r="B106" s="63" t="s">
        <v>112</v>
      </c>
      <c r="C106" s="63" t="s">
        <v>141</v>
      </c>
      <c r="D106" s="36"/>
      <c r="E106" s="42" t="str">
        <f t="shared" si="24"/>
        <v/>
      </c>
      <c r="F106" s="36"/>
      <c r="G106" s="42" t="str">
        <f t="shared" si="25"/>
        <v/>
      </c>
      <c r="H106" s="36"/>
      <c r="I106" s="42" t="str">
        <f t="shared" si="26"/>
        <v/>
      </c>
    </row>
  </sheetData>
  <sheetProtection password="CE88" sheet="1" objects="1" scenarios="1" selectLockedCells="1"/>
  <mergeCells count="2">
    <mergeCell ref="A2:G2"/>
    <mergeCell ref="A3:G3"/>
  </mergeCells>
  <phoneticPr fontId="23" type="noConversion"/>
  <conditionalFormatting sqref="D7:D21 F7:F21 H7:H21">
    <cfRule type="expression" dxfId="128" priority="29" stopIfTrue="1">
      <formula>AND(D7&lt;&gt;"",COUNTIF($D$7:$I$106,D7)&gt;1)</formula>
    </cfRule>
    <cfRule type="expression" dxfId="127" priority="30" stopIfTrue="1">
      <formula>OR(CODE(D7)&lt;48,CODE(D7)&gt;57)</formula>
    </cfRule>
    <cfRule type="expression" dxfId="126" priority="31" stopIfTrue="1">
      <formula>VLOOKUP(D7,Jumpers,7)&gt;10</formula>
    </cfRule>
  </conditionalFormatting>
  <conditionalFormatting sqref="D36:D38 F36:F38 H36:H38">
    <cfRule type="expression" dxfId="125" priority="26" stopIfTrue="1">
      <formula>AND(D36&lt;&gt;"",COUNTIF($D$7:$I$106,D36)&gt;1)</formula>
    </cfRule>
    <cfRule type="expression" dxfId="124" priority="27" stopIfTrue="1">
      <formula>OR(CODE(D36)&lt;48,CODE(D36)&gt;57)</formula>
    </cfRule>
    <cfRule type="expression" dxfId="123" priority="28" stopIfTrue="1">
      <formula>VLOOKUP(D36,Jumpers,7)&gt;10</formula>
    </cfRule>
  </conditionalFormatting>
  <conditionalFormatting sqref="D24:D35 F24:F35 H24:H35">
    <cfRule type="expression" dxfId="122" priority="23" stopIfTrue="1">
      <formula>AND(D24&lt;&gt;"",COUNTIF($D$7:$I$106,D24)&gt;1)</formula>
    </cfRule>
    <cfRule type="expression" dxfId="121" priority="24" stopIfTrue="1">
      <formula>OR(CODE(D24)&lt;48,CODE(D24)&gt;57)</formula>
    </cfRule>
    <cfRule type="expression" dxfId="120" priority="25" stopIfTrue="1">
      <formula>VLOOKUP(D24,Jumpers,7)&gt;12</formula>
    </cfRule>
  </conditionalFormatting>
  <conditionalFormatting sqref="D42:D53 F42:F53 H42:H53">
    <cfRule type="expression" dxfId="119" priority="20" stopIfTrue="1">
      <formula>AND(D42&lt;&gt;"",COUNTIF($D$7:$I$106,D42)&gt;1)</formula>
    </cfRule>
    <cfRule type="expression" dxfId="118" priority="21" stopIfTrue="1">
      <formula>OR(CODE(D42)&lt;48,CODE(D42)&gt;57)</formula>
    </cfRule>
    <cfRule type="expression" dxfId="117" priority="22" stopIfTrue="1">
      <formula>VLOOKUP(D42,Jumpers,7)&gt;14</formula>
    </cfRule>
  </conditionalFormatting>
  <conditionalFormatting sqref="D57:D59 F57:F59 H57:H59">
    <cfRule type="expression" dxfId="116" priority="17" stopIfTrue="1">
      <formula>AND(D57&lt;&gt;"",COUNTIF($D$7:$I$106,D57)&gt;1)</formula>
    </cfRule>
    <cfRule type="expression" dxfId="115" priority="18" stopIfTrue="1">
      <formula>OR(CODE(D57)&lt;48,CODE(D57)&gt;57)</formula>
    </cfRule>
    <cfRule type="expression" dxfId="114" priority="19" stopIfTrue="1">
      <formula>VLOOKUP(D57,Jumpers,7)&lt;30</formula>
    </cfRule>
  </conditionalFormatting>
  <conditionalFormatting sqref="D88:D95 F88:F95 H88:H95">
    <cfRule type="expression" dxfId="113" priority="14" stopIfTrue="1">
      <formula>AND(D88&lt;&gt;"",COUNTIF($D$7:$I$106,D88)&gt;1)</formula>
    </cfRule>
    <cfRule type="expression" dxfId="112" priority="15" stopIfTrue="1">
      <formula>OR(CODE(D88)&lt;48,CODE(D88)&gt;57)</formula>
    </cfRule>
    <cfRule type="expression" dxfId="111" priority="16" stopIfTrue="1">
      <formula>VLOOKUP(D88,Jumpers,7)&gt;17</formula>
    </cfRule>
  </conditionalFormatting>
  <conditionalFormatting sqref="D99:D106 F99:F106 H99:H106">
    <cfRule type="expression" dxfId="110" priority="11" stopIfTrue="1">
      <formula>AND(D99&lt;&gt;"",COUNTIF($D$7:$I$106,D99)&gt;1)</formula>
    </cfRule>
    <cfRule type="expression" dxfId="109" priority="12" stopIfTrue="1">
      <formula>OR(CODE(D99)&lt;48,CODE(D99)&gt;57)</formula>
    </cfRule>
  </conditionalFormatting>
  <conditionalFormatting sqref="D65:D72 F65:F72 H65:H72">
    <cfRule type="expression" dxfId="108" priority="5" stopIfTrue="1">
      <formula>VLOOKUP(D65,Jumpers,5) &lt;&gt;"F"</formula>
    </cfRule>
    <cfRule type="expression" dxfId="107" priority="8" stopIfTrue="1">
      <formula>AND(D65&lt;&gt;"",COUNTIF($D$7:$I$106,D65)&gt;1)</formula>
    </cfRule>
    <cfRule type="expression" dxfId="106" priority="9" stopIfTrue="1">
      <formula>OR(CODE(D65)&lt;48,CODE(D65)&gt;57)</formula>
    </cfRule>
    <cfRule type="expression" dxfId="105" priority="10" stopIfTrue="1">
      <formula>VLOOKUP(D65,Jumpers,7)&gt;17</formula>
    </cfRule>
  </conditionalFormatting>
  <conditionalFormatting sqref="D76:D83 F76:F83 H76:H83">
    <cfRule type="expression" dxfId="104" priority="1" stopIfTrue="1">
      <formula>VLOOKUP(D76,Jumpers,5) &lt;&gt;"F"</formula>
    </cfRule>
    <cfRule type="expression" dxfId="103" priority="2" stopIfTrue="1">
      <formula>AND(D76&lt;&gt;"",COUNTIF($D$7:$I$106,D76)&gt;1)</formula>
    </cfRule>
    <cfRule type="expression" dxfId="102" priority="3" stopIfTrue="1">
      <formula>OR(CODE(D76)&lt;48,CODE(D76)&gt;57)</formula>
    </cfRule>
  </conditionalFormatting>
  <pageMargins left="0.25" right="0.25" top="0.75" bottom="0.75" header="0.3" footer="0.3"/>
  <pageSetup scale="83" fitToHeight="2" orientation="portrait" horizontalDpi="180" verticalDpi="180" r:id="rId1"/>
  <headerFooter>
    <oddHeader>&amp;LUSAJR Regional Tournament&amp;R&amp;A</oddHeader>
    <oddFooter>&amp;RPage &amp;P of &amp;N</oddFooter>
  </headerFooter>
  <customProperties>
    <customPr name="DVSECTIONID" r:id="rId2"/>
  </customProperties>
  <extLst>
    <ext xmlns:mx="http://schemas.microsoft.com/office/mac/excel/2008/main" uri="{64002731-A6B0-56B0-2670-7721B7C09600}">
      <mx:PLV Mode="0" OnePage="0" WScale="83"/>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A7" sqref="A7"/>
    </sheetView>
  </sheetViews>
  <sheetFormatPr defaultRowHeight="15" x14ac:dyDescent="0.25"/>
  <cols>
    <col min="1" max="1" width="18" customWidth="1"/>
    <col min="2" max="2" width="22.5703125" customWidth="1"/>
    <col min="3" max="3" width="13.85546875" customWidth="1"/>
    <col min="4" max="4" width="5.7109375" customWidth="1"/>
    <col min="5" max="6" width="4.7109375" customWidth="1"/>
    <col min="7" max="10" width="5.140625" customWidth="1"/>
    <col min="11" max="11" width="4.7109375" customWidth="1"/>
    <col min="12" max="12" width="5" customWidth="1"/>
    <col min="13" max="13" width="5.5703125" customWidth="1"/>
    <col min="14" max="14" width="5.7109375" customWidth="1"/>
    <col min="15" max="15" width="3.7109375" customWidth="1"/>
    <col min="16" max="17" width="4.7109375" customWidth="1"/>
    <col min="18" max="18" width="4.5703125" customWidth="1"/>
    <col min="19" max="20" width="4.28515625" customWidth="1"/>
    <col min="21" max="21" width="4.5703125" customWidth="1"/>
    <col min="22" max="22" width="12.5703125" customWidth="1"/>
  </cols>
  <sheetData>
    <row r="1" spans="1:22" ht="23.25" x14ac:dyDescent="0.35">
      <c r="A1" s="143" t="s">
        <v>89</v>
      </c>
      <c r="N1" s="161" t="s">
        <v>212</v>
      </c>
      <c r="O1" s="161" t="str">
        <f>CONCATENATE("Team: ",'Team Info'!$B$3)</f>
        <v xml:space="preserve">Team: </v>
      </c>
      <c r="P1" s="161" t="str">
        <f>CONCATENATE("Team: ",'Team Info'!$B$3)</f>
        <v xml:space="preserve">Team: </v>
      </c>
      <c r="Q1" s="144"/>
      <c r="R1" s="144"/>
      <c r="S1" s="144"/>
      <c r="T1" s="144"/>
      <c r="U1" s="144"/>
      <c r="V1" s="145"/>
    </row>
    <row r="2" spans="1:22" ht="72" customHeight="1" x14ac:dyDescent="0.25">
      <c r="B2" s="162" t="s">
        <v>187</v>
      </c>
      <c r="C2" s="162"/>
      <c r="D2" s="162"/>
      <c r="E2" s="162"/>
      <c r="F2" s="162"/>
      <c r="G2" s="162"/>
      <c r="H2" s="162"/>
      <c r="I2" s="162"/>
      <c r="J2" s="162"/>
      <c r="K2" s="162"/>
      <c r="L2" s="162"/>
      <c r="M2" s="162"/>
      <c r="N2" s="162"/>
      <c r="O2" s="162"/>
      <c r="P2" s="162"/>
      <c r="V2" s="134"/>
    </row>
    <row r="3" spans="1:22" ht="23.45" customHeight="1" x14ac:dyDescent="0.25">
      <c r="B3" s="163"/>
      <c r="C3" s="163"/>
      <c r="D3" s="163"/>
      <c r="E3" s="163"/>
      <c r="F3" s="163"/>
      <c r="G3" s="163"/>
      <c r="H3" s="163"/>
      <c r="I3" s="163"/>
      <c r="J3" s="163"/>
      <c r="K3" s="163"/>
      <c r="L3" s="163"/>
      <c r="M3" s="163"/>
      <c r="N3" s="163"/>
      <c r="O3" s="163"/>
      <c r="P3" s="163"/>
      <c r="Q3" s="164" t="s">
        <v>188</v>
      </c>
      <c r="R3" s="164"/>
      <c r="S3" s="164"/>
      <c r="T3" s="164"/>
      <c r="U3" s="164"/>
      <c r="V3" s="164"/>
    </row>
    <row r="4" spans="1:22" ht="69" x14ac:dyDescent="0.25">
      <c r="A4" s="146" t="s">
        <v>1</v>
      </c>
      <c r="B4" s="146" t="s">
        <v>2</v>
      </c>
      <c r="C4" s="142" t="s">
        <v>213</v>
      </c>
      <c r="D4" s="147" t="s">
        <v>189</v>
      </c>
      <c r="E4" s="148" t="s">
        <v>190</v>
      </c>
      <c r="F4" s="148" t="s">
        <v>191</v>
      </c>
      <c r="G4" s="148" t="s">
        <v>192</v>
      </c>
      <c r="H4" s="148" t="s">
        <v>193</v>
      </c>
      <c r="I4" s="148" t="s">
        <v>194</v>
      </c>
      <c r="J4" s="148" t="s">
        <v>195</v>
      </c>
      <c r="K4" s="136" t="s">
        <v>196</v>
      </c>
      <c r="L4" s="136" t="s">
        <v>197</v>
      </c>
      <c r="M4" s="136" t="s">
        <v>198</v>
      </c>
      <c r="N4" s="148" t="s">
        <v>199</v>
      </c>
      <c r="O4" s="136" t="s">
        <v>200</v>
      </c>
      <c r="P4" s="148" t="s">
        <v>201</v>
      </c>
      <c r="Q4" s="148" t="s">
        <v>202</v>
      </c>
      <c r="R4" s="148" t="s">
        <v>203</v>
      </c>
      <c r="S4" s="148" t="s">
        <v>204</v>
      </c>
      <c r="T4" s="149" t="s">
        <v>205</v>
      </c>
      <c r="U4" s="149" t="s">
        <v>206</v>
      </c>
      <c r="V4" s="137"/>
    </row>
    <row r="5" spans="1:22" x14ac:dyDescent="0.25">
      <c r="A5" s="138" t="s">
        <v>207</v>
      </c>
      <c r="B5" s="138" t="s">
        <v>208</v>
      </c>
      <c r="C5" s="138" t="s">
        <v>209</v>
      </c>
      <c r="D5" s="139">
        <v>1</v>
      </c>
      <c r="E5" s="139" t="s">
        <v>210</v>
      </c>
      <c r="F5" s="139" t="s">
        <v>211</v>
      </c>
      <c r="G5" s="139" t="s">
        <v>210</v>
      </c>
      <c r="H5" s="139" t="s">
        <v>211</v>
      </c>
      <c r="I5" s="139" t="s">
        <v>211</v>
      </c>
      <c r="J5" s="139" t="s">
        <v>211</v>
      </c>
      <c r="K5" s="139" t="s">
        <v>211</v>
      </c>
      <c r="L5" s="139" t="s">
        <v>210</v>
      </c>
      <c r="M5" s="139">
        <v>2</v>
      </c>
      <c r="N5" s="139">
        <v>0</v>
      </c>
      <c r="O5" s="140"/>
      <c r="P5" s="139" t="s">
        <v>210</v>
      </c>
      <c r="Q5" s="139" t="s">
        <v>210</v>
      </c>
      <c r="R5" s="139" t="s">
        <v>210</v>
      </c>
      <c r="S5" s="139" t="s">
        <v>211</v>
      </c>
      <c r="T5" s="139"/>
      <c r="U5" s="135"/>
      <c r="V5" s="134"/>
    </row>
    <row r="6" spans="1:22" x14ac:dyDescent="0.25">
      <c r="A6" s="113"/>
      <c r="B6" s="113"/>
      <c r="C6" s="113"/>
      <c r="D6" s="141"/>
      <c r="E6" s="141"/>
      <c r="F6" s="141"/>
      <c r="G6" s="141"/>
      <c r="H6" s="141"/>
      <c r="I6" s="141"/>
      <c r="J6" s="141"/>
      <c r="K6" s="141"/>
      <c r="L6" s="141"/>
      <c r="M6" s="141"/>
      <c r="N6" s="141"/>
      <c r="O6" s="141"/>
      <c r="P6" s="141"/>
      <c r="Q6" s="141"/>
      <c r="R6" s="141"/>
      <c r="S6" s="141"/>
      <c r="T6" s="141"/>
      <c r="U6" s="113"/>
      <c r="V6" s="134"/>
    </row>
    <row r="7" spans="1:22" x14ac:dyDescent="0.25">
      <c r="A7" s="113"/>
      <c r="B7" s="113"/>
      <c r="C7" s="113"/>
      <c r="D7" s="141"/>
      <c r="E7" s="141"/>
      <c r="F7" s="141"/>
      <c r="G7" s="141"/>
      <c r="H7" s="141"/>
      <c r="I7" s="141"/>
      <c r="J7" s="141"/>
      <c r="K7" s="141"/>
      <c r="L7" s="141"/>
      <c r="M7" s="141"/>
      <c r="N7" s="141"/>
      <c r="O7" s="141"/>
      <c r="P7" s="141"/>
      <c r="Q7" s="141"/>
      <c r="R7" s="141"/>
      <c r="S7" s="141"/>
      <c r="T7" s="141"/>
      <c r="U7" s="113"/>
      <c r="V7" s="134"/>
    </row>
    <row r="8" spans="1:22" x14ac:dyDescent="0.25">
      <c r="A8" s="113"/>
      <c r="B8" s="113"/>
      <c r="C8" s="113"/>
      <c r="D8" s="141"/>
      <c r="E8" s="141"/>
      <c r="F8" s="141"/>
      <c r="G8" s="141"/>
      <c r="H8" s="141"/>
      <c r="I8" s="141"/>
      <c r="J8" s="141"/>
      <c r="K8" s="141"/>
      <c r="L8" s="141"/>
      <c r="M8" s="141"/>
      <c r="N8" s="141"/>
      <c r="O8" s="141"/>
      <c r="P8" s="141"/>
      <c r="Q8" s="141"/>
      <c r="R8" s="141"/>
      <c r="S8" s="141"/>
      <c r="T8" s="141"/>
      <c r="U8" s="113"/>
      <c r="V8" s="134"/>
    </row>
    <row r="9" spans="1:22" x14ac:dyDescent="0.25">
      <c r="A9" s="113"/>
      <c r="B9" s="113"/>
      <c r="C9" s="113"/>
      <c r="D9" s="141"/>
      <c r="E9" s="141"/>
      <c r="F9" s="141"/>
      <c r="G9" s="141"/>
      <c r="H9" s="141"/>
      <c r="I9" s="141"/>
      <c r="J9" s="141"/>
      <c r="K9" s="141"/>
      <c r="L9" s="141"/>
      <c r="M9" s="141"/>
      <c r="N9" s="141"/>
      <c r="O9" s="141"/>
      <c r="P9" s="141"/>
      <c r="Q9" s="141"/>
      <c r="R9" s="141"/>
      <c r="S9" s="141"/>
      <c r="T9" s="141"/>
      <c r="U9" s="113"/>
      <c r="V9" s="134"/>
    </row>
    <row r="10" spans="1:22" x14ac:dyDescent="0.25">
      <c r="A10" s="113"/>
      <c r="B10" s="113"/>
      <c r="C10" s="113"/>
      <c r="D10" s="141"/>
      <c r="E10" s="141"/>
      <c r="F10" s="141"/>
      <c r="G10" s="141"/>
      <c r="H10" s="141"/>
      <c r="I10" s="141"/>
      <c r="J10" s="141"/>
      <c r="K10" s="141"/>
      <c r="L10" s="141"/>
      <c r="M10" s="141"/>
      <c r="N10" s="141"/>
      <c r="O10" s="141"/>
      <c r="P10" s="141"/>
      <c r="Q10" s="141"/>
      <c r="R10" s="141"/>
      <c r="S10" s="141"/>
      <c r="T10" s="141"/>
      <c r="U10" s="113"/>
      <c r="V10" s="134"/>
    </row>
    <row r="11" spans="1:22" x14ac:dyDescent="0.25">
      <c r="A11" s="113"/>
      <c r="B11" s="113"/>
      <c r="C11" s="113"/>
      <c r="D11" s="141"/>
      <c r="E11" s="141"/>
      <c r="F11" s="141"/>
      <c r="G11" s="141"/>
      <c r="H11" s="141"/>
      <c r="I11" s="141"/>
      <c r="J11" s="141"/>
      <c r="K11" s="141"/>
      <c r="L11" s="141"/>
      <c r="M11" s="141"/>
      <c r="N11" s="141"/>
      <c r="O11" s="141"/>
      <c r="P11" s="141"/>
      <c r="Q11" s="141"/>
      <c r="R11" s="141"/>
      <c r="S11" s="141"/>
      <c r="T11" s="141"/>
      <c r="U11" s="113"/>
      <c r="V11" s="134"/>
    </row>
    <row r="12" spans="1:22" x14ac:dyDescent="0.25">
      <c r="A12" s="113"/>
      <c r="B12" s="113"/>
      <c r="C12" s="113"/>
      <c r="D12" s="141"/>
      <c r="E12" s="141"/>
      <c r="F12" s="141"/>
      <c r="G12" s="141"/>
      <c r="H12" s="141"/>
      <c r="I12" s="141"/>
      <c r="J12" s="141"/>
      <c r="K12" s="141"/>
      <c r="L12" s="141"/>
      <c r="M12" s="141"/>
      <c r="N12" s="141"/>
      <c r="O12" s="141"/>
      <c r="P12" s="141"/>
      <c r="Q12" s="141"/>
      <c r="R12" s="141"/>
      <c r="S12" s="141"/>
      <c r="T12" s="141"/>
      <c r="U12" s="113"/>
      <c r="V12" s="134"/>
    </row>
    <row r="13" spans="1:22" x14ac:dyDescent="0.25">
      <c r="A13" s="113"/>
      <c r="B13" s="113"/>
      <c r="C13" s="113"/>
      <c r="D13" s="141"/>
      <c r="E13" s="141"/>
      <c r="F13" s="141"/>
      <c r="G13" s="141"/>
      <c r="H13" s="141"/>
      <c r="I13" s="141"/>
      <c r="J13" s="141"/>
      <c r="K13" s="141"/>
      <c r="L13" s="141"/>
      <c r="M13" s="141"/>
      <c r="N13" s="141"/>
      <c r="O13" s="141"/>
      <c r="P13" s="141"/>
      <c r="Q13" s="141"/>
      <c r="R13" s="141"/>
      <c r="S13" s="141"/>
      <c r="T13" s="141"/>
      <c r="U13" s="113"/>
      <c r="V13" s="134"/>
    </row>
    <row r="14" spans="1:22" x14ac:dyDescent="0.25">
      <c r="A14" s="113"/>
      <c r="B14" s="113"/>
      <c r="C14" s="113"/>
      <c r="D14" s="141"/>
      <c r="E14" s="141"/>
      <c r="F14" s="141"/>
      <c r="G14" s="141"/>
      <c r="H14" s="141"/>
      <c r="I14" s="141"/>
      <c r="J14" s="141"/>
      <c r="K14" s="141"/>
      <c r="L14" s="141"/>
      <c r="M14" s="141"/>
      <c r="N14" s="141"/>
      <c r="O14" s="141"/>
      <c r="P14" s="141"/>
      <c r="Q14" s="141"/>
      <c r="R14" s="141"/>
      <c r="S14" s="141"/>
      <c r="T14" s="141"/>
      <c r="U14" s="113"/>
      <c r="V14" s="134"/>
    </row>
    <row r="15" spans="1:22" x14ac:dyDescent="0.25">
      <c r="A15" s="113"/>
      <c r="B15" s="113"/>
      <c r="C15" s="113"/>
      <c r="D15" s="141"/>
      <c r="E15" s="141"/>
      <c r="F15" s="141"/>
      <c r="G15" s="141"/>
      <c r="H15" s="141"/>
      <c r="I15" s="141"/>
      <c r="J15" s="141"/>
      <c r="K15" s="141"/>
      <c r="L15" s="141"/>
      <c r="M15" s="141"/>
      <c r="N15" s="141"/>
      <c r="O15" s="141"/>
      <c r="P15" s="141"/>
      <c r="Q15" s="141"/>
      <c r="R15" s="141"/>
      <c r="S15" s="141"/>
      <c r="T15" s="141"/>
      <c r="U15" s="113"/>
      <c r="V15" s="134"/>
    </row>
    <row r="16" spans="1:22" x14ac:dyDescent="0.25">
      <c r="A16" s="113"/>
      <c r="B16" s="113"/>
      <c r="C16" s="113"/>
      <c r="D16" s="141"/>
      <c r="E16" s="141"/>
      <c r="F16" s="141"/>
      <c r="G16" s="141"/>
      <c r="H16" s="141"/>
      <c r="I16" s="141"/>
      <c r="J16" s="141"/>
      <c r="K16" s="141"/>
      <c r="L16" s="141"/>
      <c r="M16" s="141"/>
      <c r="N16" s="141"/>
      <c r="O16" s="141"/>
      <c r="P16" s="141"/>
      <c r="Q16" s="141"/>
      <c r="R16" s="141"/>
      <c r="S16" s="141"/>
      <c r="T16" s="141"/>
      <c r="U16" s="113"/>
      <c r="V16" s="134"/>
    </row>
    <row r="17" spans="1:22" x14ac:dyDescent="0.25">
      <c r="A17" s="113"/>
      <c r="B17" s="113"/>
      <c r="C17" s="113"/>
      <c r="D17" s="141"/>
      <c r="E17" s="141"/>
      <c r="F17" s="141"/>
      <c r="G17" s="141"/>
      <c r="H17" s="141"/>
      <c r="I17" s="141"/>
      <c r="J17" s="141"/>
      <c r="K17" s="141"/>
      <c r="L17" s="141"/>
      <c r="M17" s="141"/>
      <c r="N17" s="141"/>
      <c r="O17" s="141"/>
      <c r="P17" s="141"/>
      <c r="Q17" s="141"/>
      <c r="R17" s="141"/>
      <c r="S17" s="141"/>
      <c r="T17" s="141"/>
      <c r="U17" s="113"/>
      <c r="V17" s="134"/>
    </row>
    <row r="18" spans="1:22" x14ac:dyDescent="0.25">
      <c r="A18" s="113"/>
      <c r="B18" s="113"/>
      <c r="C18" s="113"/>
      <c r="D18" s="141"/>
      <c r="E18" s="141"/>
      <c r="F18" s="141"/>
      <c r="G18" s="141"/>
      <c r="H18" s="141"/>
      <c r="I18" s="141"/>
      <c r="J18" s="141"/>
      <c r="K18" s="141"/>
      <c r="L18" s="141"/>
      <c r="M18" s="141"/>
      <c r="N18" s="141"/>
      <c r="O18" s="141"/>
      <c r="P18" s="141"/>
      <c r="Q18" s="141"/>
      <c r="R18" s="141"/>
      <c r="S18" s="141"/>
      <c r="T18" s="141"/>
      <c r="U18" s="113"/>
      <c r="V18" s="134"/>
    </row>
    <row r="19" spans="1:22" x14ac:dyDescent="0.25">
      <c r="A19" s="113"/>
      <c r="B19" s="113"/>
      <c r="C19" s="113"/>
      <c r="D19" s="141"/>
      <c r="E19" s="141"/>
      <c r="F19" s="141"/>
      <c r="G19" s="141"/>
      <c r="H19" s="141"/>
      <c r="I19" s="141"/>
      <c r="J19" s="141"/>
      <c r="K19" s="141"/>
      <c r="L19" s="141"/>
      <c r="M19" s="141"/>
      <c r="N19" s="141"/>
      <c r="O19" s="141"/>
      <c r="P19" s="141"/>
      <c r="Q19" s="141"/>
      <c r="R19" s="141"/>
      <c r="S19" s="141"/>
      <c r="T19" s="141"/>
      <c r="U19" s="113"/>
      <c r="V19" s="134"/>
    </row>
    <row r="20" spans="1:22" x14ac:dyDescent="0.25">
      <c r="A20" s="113"/>
      <c r="B20" s="113"/>
      <c r="C20" s="113"/>
      <c r="D20" s="141"/>
      <c r="E20" s="141"/>
      <c r="F20" s="141"/>
      <c r="G20" s="141"/>
      <c r="H20" s="141"/>
      <c r="I20" s="141"/>
      <c r="J20" s="141"/>
      <c r="K20" s="141"/>
      <c r="L20" s="141"/>
      <c r="M20" s="141"/>
      <c r="N20" s="141"/>
      <c r="O20" s="141"/>
      <c r="P20" s="141"/>
      <c r="Q20" s="141"/>
      <c r="R20" s="141"/>
      <c r="S20" s="141"/>
      <c r="T20" s="141"/>
      <c r="U20" s="113"/>
      <c r="V20" s="134"/>
    </row>
    <row r="21" spans="1:22" x14ac:dyDescent="0.25">
      <c r="A21" s="113"/>
      <c r="B21" s="113"/>
      <c r="C21" s="113"/>
      <c r="D21" s="141"/>
      <c r="E21" s="141"/>
      <c r="F21" s="141"/>
      <c r="G21" s="141"/>
      <c r="H21" s="141"/>
      <c r="I21" s="141"/>
      <c r="J21" s="141"/>
      <c r="K21" s="141"/>
      <c r="L21" s="141"/>
      <c r="M21" s="141"/>
      <c r="N21" s="141"/>
      <c r="O21" s="141"/>
      <c r="P21" s="141"/>
      <c r="Q21" s="141"/>
      <c r="R21" s="141"/>
      <c r="S21" s="141"/>
      <c r="T21" s="141"/>
      <c r="U21" s="113"/>
      <c r="V21" s="134"/>
    </row>
    <row r="22" spans="1:22" x14ac:dyDescent="0.25">
      <c r="A22" s="113"/>
      <c r="B22" s="113"/>
      <c r="C22" s="113"/>
      <c r="D22" s="141"/>
      <c r="E22" s="141"/>
      <c r="F22" s="141"/>
      <c r="G22" s="141"/>
      <c r="H22" s="141"/>
      <c r="I22" s="141"/>
      <c r="J22" s="141"/>
      <c r="K22" s="141"/>
      <c r="L22" s="141"/>
      <c r="M22" s="141"/>
      <c r="N22" s="141"/>
      <c r="O22" s="141"/>
      <c r="P22" s="141"/>
      <c r="Q22" s="141"/>
      <c r="R22" s="141"/>
      <c r="S22" s="141"/>
      <c r="T22" s="141"/>
      <c r="U22" s="113"/>
      <c r="V22" s="134"/>
    </row>
    <row r="23" spans="1:22" x14ac:dyDescent="0.25">
      <c r="A23" s="113"/>
      <c r="B23" s="113"/>
      <c r="C23" s="113"/>
      <c r="D23" s="141"/>
      <c r="E23" s="141"/>
      <c r="F23" s="141"/>
      <c r="G23" s="141"/>
      <c r="H23" s="141"/>
      <c r="I23" s="141"/>
      <c r="J23" s="141"/>
      <c r="K23" s="141"/>
      <c r="L23" s="141"/>
      <c r="M23" s="141"/>
      <c r="N23" s="141"/>
      <c r="O23" s="141"/>
      <c r="P23" s="141"/>
      <c r="Q23" s="141"/>
      <c r="R23" s="141"/>
      <c r="S23" s="141"/>
      <c r="T23" s="141"/>
      <c r="U23" s="113"/>
      <c r="V23" s="134"/>
    </row>
    <row r="24" spans="1:22" x14ac:dyDescent="0.25">
      <c r="A24" s="113"/>
      <c r="B24" s="113"/>
      <c r="C24" s="113"/>
      <c r="D24" s="141"/>
      <c r="E24" s="141"/>
      <c r="F24" s="141"/>
      <c r="G24" s="141"/>
      <c r="H24" s="141"/>
      <c r="I24" s="141"/>
      <c r="J24" s="141"/>
      <c r="K24" s="141"/>
      <c r="L24" s="141"/>
      <c r="M24" s="141"/>
      <c r="N24" s="141"/>
      <c r="O24" s="141"/>
      <c r="P24" s="141"/>
      <c r="Q24" s="141"/>
      <c r="R24" s="141"/>
      <c r="S24" s="141"/>
      <c r="T24" s="141"/>
      <c r="U24" s="113"/>
    </row>
    <row r="25" spans="1:22" x14ac:dyDescent="0.25">
      <c r="A25" s="113"/>
      <c r="B25" s="113"/>
      <c r="C25" s="113"/>
      <c r="D25" s="141"/>
      <c r="E25" s="141"/>
      <c r="F25" s="141"/>
      <c r="G25" s="141"/>
      <c r="H25" s="141"/>
      <c r="I25" s="141"/>
      <c r="J25" s="141"/>
      <c r="K25" s="141"/>
      <c r="L25" s="141"/>
      <c r="M25" s="141"/>
      <c r="N25" s="141"/>
      <c r="O25" s="141"/>
      <c r="P25" s="141"/>
      <c r="Q25" s="141"/>
      <c r="R25" s="141"/>
      <c r="S25" s="141"/>
      <c r="T25" s="141"/>
      <c r="U25" s="113"/>
    </row>
    <row r="26" spans="1:22" x14ac:dyDescent="0.25">
      <c r="A26" s="113"/>
      <c r="B26" s="113"/>
      <c r="C26" s="113"/>
      <c r="D26" s="141"/>
      <c r="E26" s="141"/>
      <c r="F26" s="141"/>
      <c r="G26" s="141"/>
      <c r="H26" s="141"/>
      <c r="I26" s="141"/>
      <c r="J26" s="141"/>
      <c r="K26" s="141"/>
      <c r="L26" s="141"/>
      <c r="M26" s="141"/>
      <c r="N26" s="141"/>
      <c r="O26" s="141"/>
      <c r="P26" s="141"/>
      <c r="Q26" s="141"/>
      <c r="R26" s="141"/>
      <c r="S26" s="141"/>
      <c r="T26" s="141"/>
      <c r="U26" s="113"/>
    </row>
    <row r="27" spans="1:22" x14ac:dyDescent="0.25">
      <c r="A27" s="113"/>
      <c r="B27" s="113"/>
      <c r="C27" s="113"/>
      <c r="D27" s="141"/>
      <c r="E27" s="141"/>
      <c r="F27" s="141"/>
      <c r="G27" s="141"/>
      <c r="H27" s="141"/>
      <c r="I27" s="141"/>
      <c r="J27" s="141"/>
      <c r="K27" s="141"/>
      <c r="L27" s="141"/>
      <c r="M27" s="141"/>
      <c r="N27" s="141"/>
      <c r="O27" s="141"/>
      <c r="P27" s="141"/>
      <c r="Q27" s="141"/>
      <c r="R27" s="141"/>
      <c r="S27" s="141"/>
      <c r="T27" s="141"/>
      <c r="U27" s="113"/>
    </row>
    <row r="28" spans="1:22" x14ac:dyDescent="0.25">
      <c r="A28" s="113"/>
      <c r="B28" s="113"/>
      <c r="C28" s="113"/>
      <c r="D28" s="141"/>
      <c r="E28" s="141"/>
      <c r="F28" s="141"/>
      <c r="G28" s="141"/>
      <c r="H28" s="141"/>
      <c r="I28" s="141"/>
      <c r="J28" s="141"/>
      <c r="K28" s="141"/>
      <c r="L28" s="141"/>
      <c r="M28" s="141"/>
      <c r="N28" s="141"/>
      <c r="O28" s="141"/>
      <c r="P28" s="141"/>
      <c r="Q28" s="141"/>
      <c r="R28" s="141"/>
      <c r="S28" s="141"/>
      <c r="T28" s="141"/>
      <c r="U28" s="113"/>
    </row>
    <row r="29" spans="1:22" x14ac:dyDescent="0.25">
      <c r="A29" s="113"/>
      <c r="B29" s="113"/>
      <c r="C29" s="113"/>
      <c r="D29" s="141"/>
      <c r="E29" s="141"/>
      <c r="F29" s="141"/>
      <c r="G29" s="141"/>
      <c r="H29" s="141"/>
      <c r="I29" s="141"/>
      <c r="J29" s="141"/>
      <c r="K29" s="141"/>
      <c r="L29" s="141"/>
      <c r="M29" s="141"/>
      <c r="N29" s="141"/>
      <c r="O29" s="141"/>
      <c r="P29" s="141"/>
      <c r="Q29" s="141"/>
      <c r="R29" s="141"/>
      <c r="S29" s="141"/>
      <c r="T29" s="141"/>
      <c r="U29" s="113"/>
    </row>
    <row r="30" spans="1:22" x14ac:dyDescent="0.25">
      <c r="A30" s="113"/>
      <c r="B30" s="113"/>
      <c r="C30" s="113"/>
      <c r="D30" s="141"/>
      <c r="E30" s="141"/>
      <c r="F30" s="141"/>
      <c r="G30" s="141"/>
      <c r="H30" s="141"/>
      <c r="I30" s="141"/>
      <c r="J30" s="141"/>
      <c r="K30" s="141"/>
      <c r="L30" s="141"/>
      <c r="M30" s="141"/>
      <c r="N30" s="141"/>
      <c r="O30" s="141"/>
      <c r="P30" s="141"/>
      <c r="Q30" s="141"/>
      <c r="R30" s="141"/>
      <c r="S30" s="141"/>
      <c r="T30" s="141"/>
      <c r="U30" s="113"/>
    </row>
  </sheetData>
  <sheetProtection password="CE88" sheet="1" objects="1" scenarios="1"/>
  <mergeCells count="4">
    <mergeCell ref="N1:P1"/>
    <mergeCell ref="B2:P2"/>
    <mergeCell ref="B3:P3"/>
    <mergeCell ref="Q3:V3"/>
  </mergeCells>
  <pageMargins left="0.7" right="0.7" top="0.75" bottom="0.75" header="0.3" footer="0.3"/>
  <pageSetup orientation="portrait" horizontalDpi="4294967293"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72"/>
  <sheetViews>
    <sheetView workbookViewId="0">
      <selection activeCell="D5" sqref="D5"/>
    </sheetView>
  </sheetViews>
  <sheetFormatPr defaultColWidth="8.85546875" defaultRowHeight="15" x14ac:dyDescent="0.25"/>
  <cols>
    <col min="1" max="1" width="4" style="37" customWidth="1"/>
    <col min="2" max="2" width="4.7109375" style="37" bestFit="1" customWidth="1"/>
    <col min="3" max="3" width="7.140625" style="37" bestFit="1" customWidth="1"/>
    <col min="4" max="4" width="8.28515625" style="37" bestFit="1" customWidth="1"/>
    <col min="5" max="5" width="20.7109375" style="37" customWidth="1"/>
    <col min="6" max="6" width="8.28515625" style="37" bestFit="1" customWidth="1"/>
    <col min="7" max="7" width="20.7109375" style="37" customWidth="1"/>
    <col min="8" max="8" width="8.28515625" style="37" bestFit="1" customWidth="1"/>
    <col min="9" max="9" width="20.7109375" style="37" customWidth="1"/>
    <col min="10" max="10" width="8.28515625" style="37" bestFit="1" customWidth="1"/>
    <col min="11" max="11" width="20.7109375" style="37" customWidth="1"/>
    <col min="12" max="16384" width="8.85546875" style="37"/>
  </cols>
  <sheetData>
    <row r="1" spans="1:11" ht="18.75" x14ac:dyDescent="0.3">
      <c r="A1" s="56" t="s">
        <v>79</v>
      </c>
      <c r="K1" s="43" t="str">
        <f>CONCATENATE("Team: ",'Team Info'!$B$3)</f>
        <v xml:space="preserve">Team: </v>
      </c>
    </row>
    <row r="2" spans="1:11" x14ac:dyDescent="0.25">
      <c r="A2" s="37" t="s">
        <v>133</v>
      </c>
    </row>
    <row r="3" spans="1:11" x14ac:dyDescent="0.25">
      <c r="A3" s="38" t="s">
        <v>9</v>
      </c>
      <c r="B3" s="54"/>
      <c r="C3" s="54"/>
      <c r="D3" s="38"/>
      <c r="E3" s="38"/>
      <c r="F3" s="38"/>
      <c r="G3" s="38"/>
      <c r="H3" s="38"/>
      <c r="I3" s="38"/>
      <c r="J3" s="38"/>
      <c r="K3" s="38"/>
    </row>
    <row r="4" spans="1:11" ht="23.25" x14ac:dyDescent="0.25">
      <c r="A4" s="39" t="s">
        <v>0</v>
      </c>
      <c r="B4" s="39" t="s">
        <v>55</v>
      </c>
      <c r="C4" s="39" t="s">
        <v>56</v>
      </c>
      <c r="D4" s="55" t="s">
        <v>8</v>
      </c>
      <c r="E4" s="39" t="s">
        <v>81</v>
      </c>
      <c r="F4" s="55" t="s">
        <v>8</v>
      </c>
      <c r="G4" s="39" t="s">
        <v>81</v>
      </c>
      <c r="H4" s="55" t="s">
        <v>8</v>
      </c>
      <c r="I4" s="39" t="s">
        <v>81</v>
      </c>
      <c r="J4" s="55" t="s">
        <v>8</v>
      </c>
      <c r="K4" s="39" t="s">
        <v>81</v>
      </c>
    </row>
    <row r="5" spans="1:11" x14ac:dyDescent="0.25">
      <c r="A5" s="52">
        <v>1</v>
      </c>
      <c r="B5" s="63" t="s">
        <v>80</v>
      </c>
      <c r="C5" s="90" t="s">
        <v>44</v>
      </c>
      <c r="D5" s="36"/>
      <c r="E5" s="42" t="str">
        <f t="shared" ref="E5:E16" si="0">IF(D5&gt;0,VLOOKUP(D5,Jumpers,3)&amp;", "&amp;VLOOKUP(D5,Jumpers,2)&amp;" ("&amp;VLOOKUP(D5,Jumpers,7)&amp;")","")</f>
        <v/>
      </c>
      <c r="F5" s="36"/>
      <c r="G5" s="42" t="str">
        <f t="shared" ref="G5:G16" si="1">IF(F5&gt;0,VLOOKUP(F5,Jumpers,3)&amp;", "&amp;VLOOKUP(F5,Jumpers,2)&amp;" ("&amp;VLOOKUP(F5,Jumpers,7)&amp;")","")</f>
        <v/>
      </c>
      <c r="H5" s="36"/>
      <c r="I5" s="42" t="str">
        <f t="shared" ref="I5:I16" si="2">IF(H5&gt;0,VLOOKUP(H5,Jumpers,3)&amp;", "&amp;VLOOKUP(H5,Jumpers,2)&amp;" ("&amp;VLOOKUP(H5,Jumpers,7)&amp;")","")</f>
        <v/>
      </c>
      <c r="J5" s="36"/>
      <c r="K5" s="42" t="str">
        <f t="shared" ref="K5:K16" si="3">IF(J5&gt;0,VLOOKUP(J5,Jumpers,3)&amp;", "&amp;VLOOKUP(J5,Jumpers,2)&amp;" ("&amp;VLOOKUP(J5,Jumpers,7)&amp;")","")</f>
        <v/>
      </c>
    </row>
    <row r="6" spans="1:11" x14ac:dyDescent="0.25">
      <c r="A6" s="52">
        <v>2</v>
      </c>
      <c r="B6" s="63" t="s">
        <v>80</v>
      </c>
      <c r="C6" s="90" t="s">
        <v>44</v>
      </c>
      <c r="D6" s="36"/>
      <c r="E6" s="42" t="str">
        <f t="shared" si="0"/>
        <v/>
      </c>
      <c r="F6" s="36"/>
      <c r="G6" s="42" t="str">
        <f t="shared" si="1"/>
        <v/>
      </c>
      <c r="H6" s="36"/>
      <c r="I6" s="42" t="str">
        <f t="shared" si="2"/>
        <v/>
      </c>
      <c r="J6" s="36"/>
      <c r="K6" s="42" t="str">
        <f t="shared" si="3"/>
        <v/>
      </c>
    </row>
    <row r="7" spans="1:11" x14ac:dyDescent="0.25">
      <c r="A7" s="52">
        <v>3</v>
      </c>
      <c r="B7" s="63" t="s">
        <v>80</v>
      </c>
      <c r="C7" s="90" t="s">
        <v>44</v>
      </c>
      <c r="D7" s="36"/>
      <c r="E7" s="42" t="str">
        <f t="shared" si="0"/>
        <v/>
      </c>
      <c r="F7" s="36"/>
      <c r="G7" s="42" t="str">
        <f t="shared" si="1"/>
        <v/>
      </c>
      <c r="H7" s="36"/>
      <c r="I7" s="42" t="str">
        <f t="shared" si="2"/>
        <v/>
      </c>
      <c r="J7" s="36"/>
      <c r="K7" s="42" t="str">
        <f t="shared" si="3"/>
        <v/>
      </c>
    </row>
    <row r="8" spans="1:11" x14ac:dyDescent="0.25">
      <c r="A8" s="52">
        <v>4</v>
      </c>
      <c r="B8" s="63" t="s">
        <v>80</v>
      </c>
      <c r="C8" s="90" t="s">
        <v>44</v>
      </c>
      <c r="D8" s="36"/>
      <c r="E8" s="42" t="str">
        <f t="shared" si="0"/>
        <v/>
      </c>
      <c r="F8" s="36"/>
      <c r="G8" s="42" t="str">
        <f t="shared" si="1"/>
        <v/>
      </c>
      <c r="H8" s="36"/>
      <c r="I8" s="42" t="str">
        <f t="shared" si="2"/>
        <v/>
      </c>
      <c r="J8" s="36"/>
      <c r="K8" s="42" t="str">
        <f t="shared" si="3"/>
        <v/>
      </c>
    </row>
    <row r="9" spans="1:11" x14ac:dyDescent="0.25">
      <c r="A9" s="52">
        <v>5</v>
      </c>
      <c r="B9" s="63" t="s">
        <v>80</v>
      </c>
      <c r="C9" s="90" t="s">
        <v>44</v>
      </c>
      <c r="D9" s="36"/>
      <c r="E9" s="42" t="str">
        <f t="shared" si="0"/>
        <v/>
      </c>
      <c r="F9" s="36"/>
      <c r="G9" s="42" t="str">
        <f t="shared" si="1"/>
        <v/>
      </c>
      <c r="H9" s="36"/>
      <c r="I9" s="42" t="str">
        <f t="shared" si="2"/>
        <v/>
      </c>
      <c r="J9" s="36"/>
      <c r="K9" s="42" t="str">
        <f t="shared" si="3"/>
        <v/>
      </c>
    </row>
    <row r="10" spans="1:11" x14ac:dyDescent="0.25">
      <c r="A10" s="52">
        <v>6</v>
      </c>
      <c r="B10" s="63" t="s">
        <v>80</v>
      </c>
      <c r="C10" s="90" t="s">
        <v>44</v>
      </c>
      <c r="D10" s="36"/>
      <c r="E10" s="42" t="str">
        <f t="shared" si="0"/>
        <v/>
      </c>
      <c r="F10" s="36"/>
      <c r="G10" s="42" t="str">
        <f t="shared" si="1"/>
        <v/>
      </c>
      <c r="H10" s="36"/>
      <c r="I10" s="42" t="str">
        <f t="shared" si="2"/>
        <v/>
      </c>
      <c r="J10" s="36"/>
      <c r="K10" s="42" t="str">
        <f t="shared" si="3"/>
        <v/>
      </c>
    </row>
    <row r="11" spans="1:11" x14ac:dyDescent="0.25">
      <c r="A11" s="52">
        <v>7</v>
      </c>
      <c r="B11" s="63" t="s">
        <v>80</v>
      </c>
      <c r="C11" s="90" t="s">
        <v>44</v>
      </c>
      <c r="D11" s="36"/>
      <c r="E11" s="42" t="str">
        <f t="shared" si="0"/>
        <v/>
      </c>
      <c r="F11" s="36"/>
      <c r="G11" s="42" t="str">
        <f t="shared" si="1"/>
        <v/>
      </c>
      <c r="H11" s="36"/>
      <c r="I11" s="42" t="str">
        <f t="shared" si="2"/>
        <v/>
      </c>
      <c r="J11" s="36"/>
      <c r="K11" s="42" t="str">
        <f t="shared" si="3"/>
        <v/>
      </c>
    </row>
    <row r="12" spans="1:11" x14ac:dyDescent="0.25">
      <c r="A12" s="52">
        <v>8</v>
      </c>
      <c r="B12" s="63" t="s">
        <v>80</v>
      </c>
      <c r="C12" s="90" t="s">
        <v>44</v>
      </c>
      <c r="D12" s="36"/>
      <c r="E12" s="42" t="str">
        <f t="shared" si="0"/>
        <v/>
      </c>
      <c r="F12" s="36"/>
      <c r="G12" s="42" t="str">
        <f t="shared" si="1"/>
        <v/>
      </c>
      <c r="H12" s="36"/>
      <c r="I12" s="42" t="str">
        <f t="shared" si="2"/>
        <v/>
      </c>
      <c r="J12" s="36"/>
      <c r="K12" s="42" t="str">
        <f t="shared" si="3"/>
        <v/>
      </c>
    </row>
    <row r="13" spans="1:11" x14ac:dyDescent="0.25">
      <c r="A13" s="85">
        <v>9</v>
      </c>
      <c r="B13" s="63" t="s">
        <v>80</v>
      </c>
      <c r="C13" s="90" t="s">
        <v>44</v>
      </c>
      <c r="D13" s="36"/>
      <c r="E13" s="42" t="str">
        <f t="shared" si="0"/>
        <v/>
      </c>
      <c r="F13" s="36"/>
      <c r="G13" s="42" t="str">
        <f t="shared" si="1"/>
        <v/>
      </c>
      <c r="H13" s="36"/>
      <c r="I13" s="42" t="str">
        <f t="shared" si="2"/>
        <v/>
      </c>
      <c r="J13" s="36"/>
      <c r="K13" s="42" t="str">
        <f t="shared" si="3"/>
        <v/>
      </c>
    </row>
    <row r="14" spans="1:11" x14ac:dyDescent="0.25">
      <c r="A14" s="85">
        <v>10</v>
      </c>
      <c r="B14" s="63" t="s">
        <v>80</v>
      </c>
      <c r="C14" s="90" t="s">
        <v>44</v>
      </c>
      <c r="D14" s="36"/>
      <c r="E14" s="42" t="str">
        <f t="shared" si="0"/>
        <v/>
      </c>
      <c r="F14" s="36"/>
      <c r="G14" s="42" t="str">
        <f t="shared" si="1"/>
        <v/>
      </c>
      <c r="H14" s="36"/>
      <c r="I14" s="42" t="str">
        <f t="shared" si="2"/>
        <v/>
      </c>
      <c r="J14" s="36"/>
      <c r="K14" s="42" t="str">
        <f t="shared" si="3"/>
        <v/>
      </c>
    </row>
    <row r="15" spans="1:11" x14ac:dyDescent="0.25">
      <c r="A15" s="85">
        <v>11</v>
      </c>
      <c r="B15" s="63" t="s">
        <v>80</v>
      </c>
      <c r="C15" s="90" t="s">
        <v>44</v>
      </c>
      <c r="D15" s="36"/>
      <c r="E15" s="42" t="str">
        <f t="shared" si="0"/>
        <v/>
      </c>
      <c r="F15" s="36"/>
      <c r="G15" s="42" t="str">
        <f t="shared" si="1"/>
        <v/>
      </c>
      <c r="H15" s="36"/>
      <c r="I15" s="42" t="str">
        <f t="shared" si="2"/>
        <v/>
      </c>
      <c r="J15" s="36"/>
      <c r="K15" s="42" t="str">
        <f t="shared" si="3"/>
        <v/>
      </c>
    </row>
    <row r="16" spans="1:11" x14ac:dyDescent="0.25">
      <c r="A16" s="85">
        <v>12</v>
      </c>
      <c r="B16" s="63" t="s">
        <v>80</v>
      </c>
      <c r="C16" s="90" t="s">
        <v>44</v>
      </c>
      <c r="D16" s="36"/>
      <c r="E16" s="42" t="str">
        <f t="shared" si="0"/>
        <v/>
      </c>
      <c r="F16" s="36"/>
      <c r="G16" s="42" t="str">
        <f t="shared" si="1"/>
        <v/>
      </c>
      <c r="H16" s="36"/>
      <c r="I16" s="42" t="str">
        <f t="shared" si="2"/>
        <v/>
      </c>
      <c r="J16" s="36"/>
      <c r="K16" s="42" t="str">
        <f t="shared" si="3"/>
        <v/>
      </c>
    </row>
    <row r="17" spans="1:11" x14ac:dyDescent="0.25">
      <c r="A17" s="93" t="s">
        <v>45</v>
      </c>
      <c r="B17" s="54"/>
      <c r="C17" s="54"/>
      <c r="D17" s="38"/>
      <c r="E17" s="38"/>
      <c r="F17" s="38"/>
      <c r="G17" s="38"/>
      <c r="H17" s="38"/>
      <c r="I17" s="38"/>
      <c r="J17" s="38"/>
      <c r="K17" s="38"/>
    </row>
    <row r="18" spans="1:11" ht="23.25" x14ac:dyDescent="0.25">
      <c r="A18" s="39" t="s">
        <v>0</v>
      </c>
      <c r="B18" s="39" t="s">
        <v>55</v>
      </c>
      <c r="C18" s="39" t="s">
        <v>56</v>
      </c>
      <c r="D18" s="55" t="s">
        <v>8</v>
      </c>
      <c r="E18" s="39" t="s">
        <v>81</v>
      </c>
      <c r="F18" s="55" t="s">
        <v>8</v>
      </c>
      <c r="G18" s="39" t="s">
        <v>81</v>
      </c>
      <c r="H18" s="55" t="s">
        <v>8</v>
      </c>
      <c r="I18" s="39" t="s">
        <v>81</v>
      </c>
      <c r="J18" s="55" t="s">
        <v>8</v>
      </c>
      <c r="K18" s="39" t="s">
        <v>81</v>
      </c>
    </row>
    <row r="19" spans="1:11" x14ac:dyDescent="0.25">
      <c r="A19" s="52">
        <v>1</v>
      </c>
      <c r="B19" s="63" t="s">
        <v>80</v>
      </c>
      <c r="C19" s="94" t="s">
        <v>45</v>
      </c>
      <c r="D19" s="36"/>
      <c r="E19" s="42" t="str">
        <f t="shared" ref="E19:E30" si="4">IF(D19&gt;0,VLOOKUP(D19,Jumpers,3)&amp;", "&amp;VLOOKUP(D19,Jumpers,2)&amp;" ("&amp;VLOOKUP(D19,Jumpers,7)&amp;")","")</f>
        <v/>
      </c>
      <c r="F19" s="36"/>
      <c r="G19" s="42" t="str">
        <f t="shared" ref="G19:G30" si="5">IF(F19&gt;0,VLOOKUP(F19,Jumpers,3)&amp;", "&amp;VLOOKUP(F19,Jumpers,2)&amp;" ("&amp;VLOOKUP(F19,Jumpers,7)&amp;")","")</f>
        <v/>
      </c>
      <c r="H19" s="36"/>
      <c r="I19" s="42" t="str">
        <f t="shared" ref="I19:I30" si="6">IF(H19&gt;0,VLOOKUP(H19,Jumpers,3)&amp;", "&amp;VLOOKUP(H19,Jumpers,2)&amp;" ("&amp;VLOOKUP(H19,Jumpers,7)&amp;")","")</f>
        <v/>
      </c>
      <c r="J19" s="36"/>
      <c r="K19" s="42" t="str">
        <f t="shared" ref="K19:K30" si="7">IF(J19&gt;0,VLOOKUP(J19,Jumpers,3)&amp;", "&amp;VLOOKUP(J19,Jumpers,2)&amp;" ("&amp;VLOOKUP(J19,Jumpers,7)&amp;")","")</f>
        <v/>
      </c>
    </row>
    <row r="20" spans="1:11" x14ac:dyDescent="0.25">
      <c r="A20" s="52">
        <v>2</v>
      </c>
      <c r="B20" s="63" t="s">
        <v>80</v>
      </c>
      <c r="C20" s="94" t="s">
        <v>45</v>
      </c>
      <c r="D20" s="36"/>
      <c r="E20" s="42" t="str">
        <f t="shared" si="4"/>
        <v/>
      </c>
      <c r="F20" s="36"/>
      <c r="G20" s="42" t="str">
        <f t="shared" si="5"/>
        <v/>
      </c>
      <c r="H20" s="36"/>
      <c r="I20" s="42" t="str">
        <f t="shared" si="6"/>
        <v/>
      </c>
      <c r="J20" s="36"/>
      <c r="K20" s="42" t="str">
        <f t="shared" si="7"/>
        <v/>
      </c>
    </row>
    <row r="21" spans="1:11" x14ac:dyDescent="0.25">
      <c r="A21" s="52">
        <v>3</v>
      </c>
      <c r="B21" s="63" t="s">
        <v>80</v>
      </c>
      <c r="C21" s="94" t="s">
        <v>45</v>
      </c>
      <c r="D21" s="36"/>
      <c r="E21" s="42" t="str">
        <f t="shared" si="4"/>
        <v/>
      </c>
      <c r="F21" s="36"/>
      <c r="G21" s="42" t="str">
        <f t="shared" si="5"/>
        <v/>
      </c>
      <c r="H21" s="36"/>
      <c r="I21" s="42" t="str">
        <f t="shared" si="6"/>
        <v/>
      </c>
      <c r="J21" s="36"/>
      <c r="K21" s="42" t="str">
        <f t="shared" si="7"/>
        <v/>
      </c>
    </row>
    <row r="22" spans="1:11" x14ac:dyDescent="0.25">
      <c r="A22" s="52">
        <v>4</v>
      </c>
      <c r="B22" s="63" t="s">
        <v>80</v>
      </c>
      <c r="C22" s="94" t="s">
        <v>45</v>
      </c>
      <c r="D22" s="36"/>
      <c r="E22" s="42" t="str">
        <f t="shared" si="4"/>
        <v/>
      </c>
      <c r="F22" s="36"/>
      <c r="G22" s="42" t="str">
        <f t="shared" si="5"/>
        <v/>
      </c>
      <c r="H22" s="36"/>
      <c r="I22" s="42" t="str">
        <f t="shared" si="6"/>
        <v/>
      </c>
      <c r="J22" s="36"/>
      <c r="K22" s="42" t="str">
        <f t="shared" si="7"/>
        <v/>
      </c>
    </row>
    <row r="23" spans="1:11" x14ac:dyDescent="0.25">
      <c r="A23" s="52">
        <v>5</v>
      </c>
      <c r="B23" s="63" t="s">
        <v>80</v>
      </c>
      <c r="C23" s="94" t="s">
        <v>45</v>
      </c>
      <c r="D23" s="36"/>
      <c r="E23" s="42" t="str">
        <f t="shared" si="4"/>
        <v/>
      </c>
      <c r="F23" s="36"/>
      <c r="G23" s="42" t="str">
        <f t="shared" si="5"/>
        <v/>
      </c>
      <c r="H23" s="36"/>
      <c r="I23" s="42" t="str">
        <f t="shared" si="6"/>
        <v/>
      </c>
      <c r="J23" s="36"/>
      <c r="K23" s="42" t="str">
        <f t="shared" si="7"/>
        <v/>
      </c>
    </row>
    <row r="24" spans="1:11" x14ac:dyDescent="0.25">
      <c r="A24" s="52">
        <v>6</v>
      </c>
      <c r="B24" s="63" t="s">
        <v>80</v>
      </c>
      <c r="C24" s="94" t="s">
        <v>45</v>
      </c>
      <c r="D24" s="36"/>
      <c r="E24" s="42" t="str">
        <f t="shared" si="4"/>
        <v/>
      </c>
      <c r="F24" s="36"/>
      <c r="G24" s="42" t="str">
        <f t="shared" si="5"/>
        <v/>
      </c>
      <c r="H24" s="36"/>
      <c r="I24" s="42" t="str">
        <f t="shared" si="6"/>
        <v/>
      </c>
      <c r="J24" s="36"/>
      <c r="K24" s="42" t="str">
        <f t="shared" si="7"/>
        <v/>
      </c>
    </row>
    <row r="25" spans="1:11" x14ac:dyDescent="0.25">
      <c r="A25" s="52">
        <v>7</v>
      </c>
      <c r="B25" s="63" t="s">
        <v>80</v>
      </c>
      <c r="C25" s="94" t="s">
        <v>45</v>
      </c>
      <c r="D25" s="36"/>
      <c r="E25" s="42" t="str">
        <f t="shared" si="4"/>
        <v/>
      </c>
      <c r="F25" s="36"/>
      <c r="G25" s="42" t="str">
        <f t="shared" si="5"/>
        <v/>
      </c>
      <c r="H25" s="36"/>
      <c r="I25" s="42" t="str">
        <f t="shared" si="6"/>
        <v/>
      </c>
      <c r="J25" s="36"/>
      <c r="K25" s="42" t="str">
        <f t="shared" si="7"/>
        <v/>
      </c>
    </row>
    <row r="26" spans="1:11" x14ac:dyDescent="0.25">
      <c r="A26" s="52">
        <v>8</v>
      </c>
      <c r="B26" s="63" t="s">
        <v>80</v>
      </c>
      <c r="C26" s="94" t="s">
        <v>45</v>
      </c>
      <c r="D26" s="36"/>
      <c r="E26" s="42" t="str">
        <f t="shared" si="4"/>
        <v/>
      </c>
      <c r="F26" s="36"/>
      <c r="G26" s="42" t="str">
        <f t="shared" si="5"/>
        <v/>
      </c>
      <c r="H26" s="36"/>
      <c r="I26" s="42" t="str">
        <f t="shared" si="6"/>
        <v/>
      </c>
      <c r="J26" s="36"/>
      <c r="K26" s="42" t="str">
        <f t="shared" si="7"/>
        <v/>
      </c>
    </row>
    <row r="27" spans="1:11" x14ac:dyDescent="0.25">
      <c r="A27" s="85">
        <v>9</v>
      </c>
      <c r="B27" s="63" t="s">
        <v>80</v>
      </c>
      <c r="C27" s="94" t="s">
        <v>45</v>
      </c>
      <c r="D27" s="36"/>
      <c r="E27" s="42" t="str">
        <f t="shared" si="4"/>
        <v/>
      </c>
      <c r="F27" s="36"/>
      <c r="G27" s="42" t="str">
        <f t="shared" si="5"/>
        <v/>
      </c>
      <c r="H27" s="36"/>
      <c r="I27" s="42" t="str">
        <f t="shared" si="6"/>
        <v/>
      </c>
      <c r="J27" s="36"/>
      <c r="K27" s="42" t="str">
        <f t="shared" si="7"/>
        <v/>
      </c>
    </row>
    <row r="28" spans="1:11" x14ac:dyDescent="0.25">
      <c r="A28" s="85">
        <v>10</v>
      </c>
      <c r="B28" s="63" t="s">
        <v>80</v>
      </c>
      <c r="C28" s="94" t="s">
        <v>45</v>
      </c>
      <c r="D28" s="36"/>
      <c r="E28" s="42" t="str">
        <f t="shared" si="4"/>
        <v/>
      </c>
      <c r="F28" s="36"/>
      <c r="G28" s="42" t="str">
        <f t="shared" si="5"/>
        <v/>
      </c>
      <c r="H28" s="36"/>
      <c r="I28" s="42" t="str">
        <f t="shared" si="6"/>
        <v/>
      </c>
      <c r="J28" s="36"/>
      <c r="K28" s="42" t="str">
        <f t="shared" si="7"/>
        <v/>
      </c>
    </row>
    <row r="29" spans="1:11" x14ac:dyDescent="0.25">
      <c r="A29" s="85">
        <v>11</v>
      </c>
      <c r="B29" s="63" t="s">
        <v>80</v>
      </c>
      <c r="C29" s="94" t="s">
        <v>45</v>
      </c>
      <c r="D29" s="36"/>
      <c r="E29" s="42" t="str">
        <f t="shared" si="4"/>
        <v/>
      </c>
      <c r="F29" s="36"/>
      <c r="G29" s="42" t="str">
        <f t="shared" si="5"/>
        <v/>
      </c>
      <c r="H29" s="36"/>
      <c r="I29" s="42" t="str">
        <f t="shared" si="6"/>
        <v/>
      </c>
      <c r="J29" s="36"/>
      <c r="K29" s="42" t="str">
        <f t="shared" si="7"/>
        <v/>
      </c>
    </row>
    <row r="30" spans="1:11" x14ac:dyDescent="0.25">
      <c r="A30" s="85">
        <v>12</v>
      </c>
      <c r="B30" s="63" t="s">
        <v>80</v>
      </c>
      <c r="C30" s="94" t="s">
        <v>45</v>
      </c>
      <c r="D30" s="36"/>
      <c r="E30" s="42" t="str">
        <f t="shared" si="4"/>
        <v/>
      </c>
      <c r="F30" s="36"/>
      <c r="G30" s="42" t="str">
        <f t="shared" si="5"/>
        <v/>
      </c>
      <c r="H30" s="36"/>
      <c r="I30" s="42" t="str">
        <f t="shared" si="6"/>
        <v/>
      </c>
      <c r="J30" s="36"/>
      <c r="K30" s="42" t="str">
        <f t="shared" si="7"/>
        <v/>
      </c>
    </row>
    <row r="31" spans="1:11" x14ac:dyDescent="0.25">
      <c r="A31" s="38" t="s">
        <v>47</v>
      </c>
      <c r="B31" s="54"/>
      <c r="C31" s="54"/>
      <c r="D31" s="38"/>
      <c r="E31" s="38"/>
      <c r="F31" s="38"/>
      <c r="G31" s="38"/>
      <c r="H31" s="38"/>
      <c r="I31" s="38"/>
      <c r="J31" s="38"/>
      <c r="K31" s="38"/>
    </row>
    <row r="32" spans="1:11" ht="23.25" x14ac:dyDescent="0.25">
      <c r="A32" s="39" t="s">
        <v>0</v>
      </c>
      <c r="B32" s="39" t="s">
        <v>55</v>
      </c>
      <c r="C32" s="39" t="s">
        <v>56</v>
      </c>
      <c r="D32" s="55" t="s">
        <v>8</v>
      </c>
      <c r="E32" s="39" t="s">
        <v>81</v>
      </c>
      <c r="F32" s="55" t="s">
        <v>8</v>
      </c>
      <c r="G32" s="39" t="s">
        <v>81</v>
      </c>
      <c r="H32" s="55" t="s">
        <v>8</v>
      </c>
      <c r="I32" s="39" t="s">
        <v>81</v>
      </c>
      <c r="J32" s="55" t="s">
        <v>8</v>
      </c>
      <c r="K32" s="39" t="s">
        <v>81</v>
      </c>
    </row>
    <row r="33" spans="1:11" x14ac:dyDescent="0.25">
      <c r="A33" s="52">
        <v>1</v>
      </c>
      <c r="B33" s="63" t="s">
        <v>80</v>
      </c>
      <c r="C33" s="63" t="s">
        <v>47</v>
      </c>
      <c r="D33" s="36"/>
      <c r="E33" s="42" t="str">
        <f t="shared" ref="E33:E42" si="8">IF(D33&gt;0,VLOOKUP(D33,Jumpers,3)&amp;", "&amp;VLOOKUP(D33,Jumpers,2)&amp;" ("&amp;VLOOKUP(D33,Jumpers,7)&amp;")","")</f>
        <v/>
      </c>
      <c r="F33" s="36"/>
      <c r="G33" s="42" t="str">
        <f t="shared" ref="G33:G42" si="9">IF(F33&gt;0,VLOOKUP(F33,Jumpers,3)&amp;", "&amp;VLOOKUP(F33,Jumpers,2)&amp;" ("&amp;VLOOKUP(F33,Jumpers,7)&amp;")","")</f>
        <v/>
      </c>
      <c r="H33" s="36"/>
      <c r="I33" s="42" t="str">
        <f t="shared" ref="I33:I42" si="10">IF(H33&gt;0,VLOOKUP(H33,Jumpers,3)&amp;", "&amp;VLOOKUP(H33,Jumpers,2)&amp;" ("&amp;VLOOKUP(H33,Jumpers,7)&amp;")","")</f>
        <v/>
      </c>
      <c r="J33" s="36"/>
      <c r="K33" s="42" t="str">
        <f t="shared" ref="K33:K42" si="11">IF(J33&gt;0,VLOOKUP(J33,Jumpers,3)&amp;", "&amp;VLOOKUP(J33,Jumpers,2)&amp;" ("&amp;VLOOKUP(J33,Jumpers,7)&amp;")","")</f>
        <v/>
      </c>
    </row>
    <row r="34" spans="1:11" x14ac:dyDescent="0.25">
      <c r="A34" s="52">
        <v>2</v>
      </c>
      <c r="B34" s="63" t="s">
        <v>80</v>
      </c>
      <c r="C34" s="63" t="s">
        <v>47</v>
      </c>
      <c r="D34" s="36"/>
      <c r="E34" s="42" t="str">
        <f t="shared" si="8"/>
        <v/>
      </c>
      <c r="F34" s="36"/>
      <c r="G34" s="42" t="str">
        <f t="shared" si="9"/>
        <v/>
      </c>
      <c r="H34" s="36"/>
      <c r="I34" s="42" t="str">
        <f t="shared" si="10"/>
        <v/>
      </c>
      <c r="J34" s="36"/>
      <c r="K34" s="42" t="str">
        <f t="shared" si="11"/>
        <v/>
      </c>
    </row>
    <row r="35" spans="1:11" x14ac:dyDescent="0.25">
      <c r="A35" s="52">
        <v>3</v>
      </c>
      <c r="B35" s="63" t="s">
        <v>80</v>
      </c>
      <c r="C35" s="63" t="s">
        <v>47</v>
      </c>
      <c r="D35" s="36"/>
      <c r="E35" s="42" t="str">
        <f t="shared" si="8"/>
        <v/>
      </c>
      <c r="F35" s="36"/>
      <c r="G35" s="42" t="str">
        <f t="shared" si="9"/>
        <v/>
      </c>
      <c r="H35" s="36"/>
      <c r="I35" s="42" t="str">
        <f t="shared" si="10"/>
        <v/>
      </c>
      <c r="J35" s="36"/>
      <c r="K35" s="42" t="str">
        <f t="shared" si="11"/>
        <v/>
      </c>
    </row>
    <row r="36" spans="1:11" x14ac:dyDescent="0.25">
      <c r="A36" s="52">
        <v>4</v>
      </c>
      <c r="B36" s="63" t="s">
        <v>80</v>
      </c>
      <c r="C36" s="63" t="s">
        <v>47</v>
      </c>
      <c r="D36" s="36"/>
      <c r="E36" s="42" t="str">
        <f t="shared" si="8"/>
        <v/>
      </c>
      <c r="F36" s="36"/>
      <c r="G36" s="42" t="str">
        <f t="shared" si="9"/>
        <v/>
      </c>
      <c r="H36" s="36"/>
      <c r="I36" s="42" t="str">
        <f t="shared" si="10"/>
        <v/>
      </c>
      <c r="J36" s="36"/>
      <c r="K36" s="42" t="str">
        <f t="shared" si="11"/>
        <v/>
      </c>
    </row>
    <row r="37" spans="1:11" x14ac:dyDescent="0.25">
      <c r="A37" s="52">
        <v>5</v>
      </c>
      <c r="B37" s="63" t="s">
        <v>80</v>
      </c>
      <c r="C37" s="63" t="s">
        <v>47</v>
      </c>
      <c r="D37" s="36"/>
      <c r="E37" s="42" t="str">
        <f t="shared" si="8"/>
        <v/>
      </c>
      <c r="F37" s="36"/>
      <c r="G37" s="42" t="str">
        <f t="shared" si="9"/>
        <v/>
      </c>
      <c r="H37" s="36"/>
      <c r="I37" s="42" t="str">
        <f t="shared" si="10"/>
        <v/>
      </c>
      <c r="J37" s="36"/>
      <c r="K37" s="42" t="str">
        <f t="shared" si="11"/>
        <v/>
      </c>
    </row>
    <row r="38" spans="1:11" x14ac:dyDescent="0.25">
      <c r="A38" s="52">
        <v>6</v>
      </c>
      <c r="B38" s="63" t="s">
        <v>80</v>
      </c>
      <c r="C38" s="63" t="s">
        <v>47</v>
      </c>
      <c r="D38" s="36"/>
      <c r="E38" s="42" t="str">
        <f t="shared" si="8"/>
        <v/>
      </c>
      <c r="F38" s="36"/>
      <c r="G38" s="42" t="str">
        <f t="shared" si="9"/>
        <v/>
      </c>
      <c r="H38" s="36"/>
      <c r="I38" s="42" t="str">
        <f t="shared" si="10"/>
        <v/>
      </c>
      <c r="J38" s="36"/>
      <c r="K38" s="42" t="str">
        <f t="shared" si="11"/>
        <v/>
      </c>
    </row>
    <row r="39" spans="1:11" x14ac:dyDescent="0.25">
      <c r="A39" s="52">
        <v>7</v>
      </c>
      <c r="B39" s="63" t="s">
        <v>80</v>
      </c>
      <c r="C39" s="63" t="s">
        <v>47</v>
      </c>
      <c r="D39" s="36"/>
      <c r="E39" s="42" t="str">
        <f t="shared" si="8"/>
        <v/>
      </c>
      <c r="F39" s="36"/>
      <c r="G39" s="42" t="str">
        <f t="shared" si="9"/>
        <v/>
      </c>
      <c r="H39" s="36"/>
      <c r="I39" s="42" t="str">
        <f t="shared" si="10"/>
        <v/>
      </c>
      <c r="J39" s="36"/>
      <c r="K39" s="42" t="str">
        <f t="shared" si="11"/>
        <v/>
      </c>
    </row>
    <row r="40" spans="1:11" x14ac:dyDescent="0.25">
      <c r="A40" s="52">
        <v>8</v>
      </c>
      <c r="B40" s="63" t="s">
        <v>80</v>
      </c>
      <c r="C40" s="63" t="s">
        <v>47</v>
      </c>
      <c r="D40" s="36"/>
      <c r="E40" s="42" t="str">
        <f t="shared" si="8"/>
        <v/>
      </c>
      <c r="F40" s="36"/>
      <c r="G40" s="42" t="str">
        <f t="shared" si="9"/>
        <v/>
      </c>
      <c r="H40" s="36"/>
      <c r="I40" s="42" t="str">
        <f t="shared" si="10"/>
        <v/>
      </c>
      <c r="J40" s="36"/>
      <c r="K40" s="42" t="str">
        <f t="shared" si="11"/>
        <v/>
      </c>
    </row>
    <row r="41" spans="1:11" x14ac:dyDescent="0.25">
      <c r="A41" s="85">
        <v>9</v>
      </c>
      <c r="B41" s="63" t="s">
        <v>80</v>
      </c>
      <c r="C41" s="63" t="s">
        <v>47</v>
      </c>
      <c r="D41" s="36"/>
      <c r="E41" s="42" t="str">
        <f t="shared" si="8"/>
        <v/>
      </c>
      <c r="F41" s="36"/>
      <c r="G41" s="42" t="str">
        <f t="shared" si="9"/>
        <v/>
      </c>
      <c r="H41" s="36"/>
      <c r="I41" s="42" t="str">
        <f t="shared" si="10"/>
        <v/>
      </c>
      <c r="J41" s="36"/>
      <c r="K41" s="42" t="str">
        <f t="shared" si="11"/>
        <v/>
      </c>
    </row>
    <row r="42" spans="1:11" x14ac:dyDescent="0.25">
      <c r="A42" s="85">
        <v>10</v>
      </c>
      <c r="B42" s="63" t="s">
        <v>80</v>
      </c>
      <c r="C42" s="63" t="s">
        <v>47</v>
      </c>
      <c r="D42" s="36"/>
      <c r="E42" s="42" t="str">
        <f t="shared" si="8"/>
        <v/>
      </c>
      <c r="F42" s="36"/>
      <c r="G42" s="42" t="str">
        <f t="shared" si="9"/>
        <v/>
      </c>
      <c r="H42" s="36"/>
      <c r="I42" s="42" t="str">
        <f t="shared" si="10"/>
        <v/>
      </c>
      <c r="J42" s="36"/>
      <c r="K42" s="42" t="str">
        <f t="shared" si="11"/>
        <v/>
      </c>
    </row>
    <row r="43" spans="1:11" x14ac:dyDescent="0.25">
      <c r="A43" s="38" t="s">
        <v>48</v>
      </c>
      <c r="B43" s="54"/>
      <c r="C43" s="54"/>
      <c r="D43" s="38"/>
      <c r="E43" s="38"/>
      <c r="F43" s="38"/>
      <c r="G43" s="38"/>
      <c r="H43" s="38"/>
      <c r="I43" s="38"/>
      <c r="J43" s="38"/>
      <c r="K43" s="38"/>
    </row>
    <row r="44" spans="1:11" ht="23.25" x14ac:dyDescent="0.25">
      <c r="A44" s="39" t="s">
        <v>0</v>
      </c>
      <c r="B44" s="39" t="s">
        <v>55</v>
      </c>
      <c r="C44" s="39" t="s">
        <v>56</v>
      </c>
      <c r="D44" s="55" t="s">
        <v>8</v>
      </c>
      <c r="E44" s="39" t="s">
        <v>81</v>
      </c>
      <c r="F44" s="55" t="s">
        <v>8</v>
      </c>
      <c r="G44" s="39" t="s">
        <v>81</v>
      </c>
      <c r="H44" s="55" t="s">
        <v>8</v>
      </c>
      <c r="I44" s="39" t="s">
        <v>81</v>
      </c>
      <c r="J44" s="55" t="s">
        <v>8</v>
      </c>
      <c r="K44" s="39" t="s">
        <v>81</v>
      </c>
    </row>
    <row r="45" spans="1:11" x14ac:dyDescent="0.25">
      <c r="A45" s="52">
        <v>1</v>
      </c>
      <c r="B45" s="63" t="s">
        <v>80</v>
      </c>
      <c r="C45" s="63" t="s">
        <v>48</v>
      </c>
      <c r="D45" s="36"/>
      <c r="E45" s="42" t="str">
        <f t="shared" ref="E45:E52" si="12">IF(D45&gt;0,VLOOKUP(D45,Jumpers,3)&amp;", "&amp;VLOOKUP(D45,Jumpers,2)&amp;" ("&amp;VLOOKUP(D45,Jumpers,7)&amp;")","")</f>
        <v/>
      </c>
      <c r="F45" s="36"/>
      <c r="G45" s="42" t="str">
        <f t="shared" ref="G45:G52" si="13">IF(F45&gt;0,VLOOKUP(F45,Jumpers,3)&amp;", "&amp;VLOOKUP(F45,Jumpers,2)&amp;" ("&amp;VLOOKUP(F45,Jumpers,7)&amp;")","")</f>
        <v/>
      </c>
      <c r="H45" s="36"/>
      <c r="I45" s="42" t="str">
        <f t="shared" ref="I45:I52" si="14">IF(H45&gt;0,VLOOKUP(H45,Jumpers,3)&amp;", "&amp;VLOOKUP(H45,Jumpers,2)&amp;" ("&amp;VLOOKUP(H45,Jumpers,7)&amp;")","")</f>
        <v/>
      </c>
      <c r="J45" s="36"/>
      <c r="K45" s="42" t="str">
        <f t="shared" ref="K45:K52" si="15">IF(J45&gt;0,VLOOKUP(J45,Jumpers,3)&amp;", "&amp;VLOOKUP(J45,Jumpers,2)&amp;" ("&amp;VLOOKUP(J45,Jumpers,7)&amp;")","")</f>
        <v/>
      </c>
    </row>
    <row r="46" spans="1:11" x14ac:dyDescent="0.25">
      <c r="A46" s="52">
        <v>2</v>
      </c>
      <c r="B46" s="63" t="s">
        <v>80</v>
      </c>
      <c r="C46" s="63" t="s">
        <v>48</v>
      </c>
      <c r="D46" s="36"/>
      <c r="E46" s="42" t="str">
        <f t="shared" si="12"/>
        <v/>
      </c>
      <c r="F46" s="36"/>
      <c r="G46" s="42" t="str">
        <f t="shared" si="13"/>
        <v/>
      </c>
      <c r="H46" s="36"/>
      <c r="I46" s="42" t="str">
        <f t="shared" si="14"/>
        <v/>
      </c>
      <c r="J46" s="36"/>
      <c r="K46" s="42" t="str">
        <f t="shared" si="15"/>
        <v/>
      </c>
    </row>
    <row r="47" spans="1:11" x14ac:dyDescent="0.25">
      <c r="A47" s="52">
        <v>3</v>
      </c>
      <c r="B47" s="63" t="s">
        <v>80</v>
      </c>
      <c r="C47" s="63" t="s">
        <v>48</v>
      </c>
      <c r="D47" s="36"/>
      <c r="E47" s="42" t="str">
        <f t="shared" si="12"/>
        <v/>
      </c>
      <c r="F47" s="36"/>
      <c r="G47" s="42" t="str">
        <f t="shared" si="13"/>
        <v/>
      </c>
      <c r="H47" s="36"/>
      <c r="I47" s="42" t="str">
        <f t="shared" si="14"/>
        <v/>
      </c>
      <c r="J47" s="36"/>
      <c r="K47" s="42" t="str">
        <f t="shared" si="15"/>
        <v/>
      </c>
    </row>
    <row r="48" spans="1:11" x14ac:dyDescent="0.25">
      <c r="A48" s="52">
        <v>4</v>
      </c>
      <c r="B48" s="63" t="s">
        <v>80</v>
      </c>
      <c r="C48" s="63" t="s">
        <v>48</v>
      </c>
      <c r="D48" s="36"/>
      <c r="E48" s="42" t="str">
        <f t="shared" si="12"/>
        <v/>
      </c>
      <c r="F48" s="36"/>
      <c r="G48" s="42" t="str">
        <f t="shared" si="13"/>
        <v/>
      </c>
      <c r="H48" s="36"/>
      <c r="I48" s="42" t="str">
        <f t="shared" si="14"/>
        <v/>
      </c>
      <c r="J48" s="36"/>
      <c r="K48" s="42" t="str">
        <f t="shared" si="15"/>
        <v/>
      </c>
    </row>
    <row r="49" spans="1:11" x14ac:dyDescent="0.25">
      <c r="A49" s="52">
        <v>5</v>
      </c>
      <c r="B49" s="63" t="s">
        <v>80</v>
      </c>
      <c r="C49" s="63" t="s">
        <v>48</v>
      </c>
      <c r="D49" s="36"/>
      <c r="E49" s="42" t="str">
        <f t="shared" si="12"/>
        <v/>
      </c>
      <c r="F49" s="36"/>
      <c r="G49" s="42" t="str">
        <f t="shared" si="13"/>
        <v/>
      </c>
      <c r="H49" s="36"/>
      <c r="I49" s="42" t="str">
        <f t="shared" si="14"/>
        <v/>
      </c>
      <c r="J49" s="36"/>
      <c r="K49" s="42" t="str">
        <f t="shared" si="15"/>
        <v/>
      </c>
    </row>
    <row r="50" spans="1:11" x14ac:dyDescent="0.25">
      <c r="A50" s="52">
        <v>6</v>
      </c>
      <c r="B50" s="63" t="s">
        <v>80</v>
      </c>
      <c r="C50" s="63" t="s">
        <v>48</v>
      </c>
      <c r="D50" s="36"/>
      <c r="E50" s="42" t="str">
        <f t="shared" si="12"/>
        <v/>
      </c>
      <c r="F50" s="36"/>
      <c r="G50" s="42" t="str">
        <f t="shared" si="13"/>
        <v/>
      </c>
      <c r="H50" s="36"/>
      <c r="I50" s="42" t="str">
        <f t="shared" si="14"/>
        <v/>
      </c>
      <c r="J50" s="36"/>
      <c r="K50" s="42" t="str">
        <f t="shared" si="15"/>
        <v/>
      </c>
    </row>
    <row r="51" spans="1:11" x14ac:dyDescent="0.25">
      <c r="A51" s="52">
        <v>7</v>
      </c>
      <c r="B51" s="63" t="s">
        <v>80</v>
      </c>
      <c r="C51" s="63" t="s">
        <v>48</v>
      </c>
      <c r="D51" s="36"/>
      <c r="E51" s="42" t="str">
        <f t="shared" si="12"/>
        <v/>
      </c>
      <c r="F51" s="36"/>
      <c r="G51" s="42" t="str">
        <f t="shared" si="13"/>
        <v/>
      </c>
      <c r="H51" s="36"/>
      <c r="I51" s="42" t="str">
        <f t="shared" si="14"/>
        <v/>
      </c>
      <c r="J51" s="36"/>
      <c r="K51" s="42" t="str">
        <f t="shared" si="15"/>
        <v/>
      </c>
    </row>
    <row r="52" spans="1:11" x14ac:dyDescent="0.25">
      <c r="A52" s="52">
        <v>8</v>
      </c>
      <c r="B52" s="63" t="s">
        <v>80</v>
      </c>
      <c r="C52" s="63" t="s">
        <v>48</v>
      </c>
      <c r="D52" s="36"/>
      <c r="E52" s="42" t="str">
        <f t="shared" si="12"/>
        <v/>
      </c>
      <c r="F52" s="36"/>
      <c r="G52" s="42" t="str">
        <f t="shared" si="13"/>
        <v/>
      </c>
      <c r="H52" s="36"/>
      <c r="I52" s="42" t="str">
        <f t="shared" si="14"/>
        <v/>
      </c>
      <c r="J52" s="36"/>
      <c r="K52" s="42" t="str">
        <f t="shared" si="15"/>
        <v/>
      </c>
    </row>
    <row r="53" spans="1:11" x14ac:dyDescent="0.25">
      <c r="A53" s="38" t="s">
        <v>83</v>
      </c>
      <c r="B53" s="54"/>
      <c r="C53" s="54"/>
      <c r="D53" s="38"/>
      <c r="E53" s="38"/>
      <c r="F53" s="38"/>
      <c r="G53" s="38"/>
      <c r="H53" s="38"/>
      <c r="I53" s="38"/>
      <c r="J53" s="38"/>
      <c r="K53" s="38"/>
    </row>
    <row r="54" spans="1:11" ht="23.25" x14ac:dyDescent="0.25">
      <c r="A54" s="39" t="s">
        <v>0</v>
      </c>
      <c r="B54" s="39" t="s">
        <v>55</v>
      </c>
      <c r="C54" s="39" t="s">
        <v>56</v>
      </c>
      <c r="D54" s="55" t="s">
        <v>8</v>
      </c>
      <c r="E54" s="39" t="s">
        <v>81</v>
      </c>
      <c r="F54" s="55" t="s">
        <v>8</v>
      </c>
      <c r="G54" s="39" t="s">
        <v>81</v>
      </c>
      <c r="H54" s="55" t="s">
        <v>8</v>
      </c>
      <c r="I54" s="39" t="s">
        <v>81</v>
      </c>
      <c r="J54" s="55" t="s">
        <v>8</v>
      </c>
      <c r="K54" s="39" t="s">
        <v>81</v>
      </c>
    </row>
    <row r="55" spans="1:11" x14ac:dyDescent="0.25">
      <c r="A55" s="52">
        <v>1</v>
      </c>
      <c r="B55" s="63" t="s">
        <v>80</v>
      </c>
      <c r="C55" s="63" t="s">
        <v>141</v>
      </c>
      <c r="D55" s="36"/>
      <c r="E55" s="42" t="str">
        <f t="shared" ref="E55:E62" si="16">IF(D55&gt;0,VLOOKUP(D55,Jumpers,3)&amp;", "&amp;VLOOKUP(D55,Jumpers,2)&amp;" ("&amp;VLOOKUP(D55,Jumpers,7)&amp;")","")</f>
        <v/>
      </c>
      <c r="F55" s="36"/>
      <c r="G55" s="42" t="str">
        <f t="shared" ref="G55:G62" si="17">IF(F55&gt;0,VLOOKUP(F55,Jumpers,3)&amp;", "&amp;VLOOKUP(F55,Jumpers,2)&amp;" ("&amp;VLOOKUP(F55,Jumpers,7)&amp;")","")</f>
        <v/>
      </c>
      <c r="H55" s="36"/>
      <c r="I55" s="42" t="str">
        <f t="shared" ref="I55:I62" si="18">IF(H55&gt;0,VLOOKUP(H55,Jumpers,3)&amp;", "&amp;VLOOKUP(H55,Jumpers,2)&amp;" ("&amp;VLOOKUP(H55,Jumpers,7)&amp;")","")</f>
        <v/>
      </c>
      <c r="J55" s="36"/>
      <c r="K55" s="42" t="str">
        <f t="shared" ref="K55:K62" si="19">IF(J55&gt;0,VLOOKUP(J55,Jumpers,3)&amp;", "&amp;VLOOKUP(J55,Jumpers,2)&amp;" ("&amp;VLOOKUP(J55,Jumpers,7)&amp;")","")</f>
        <v/>
      </c>
    </row>
    <row r="56" spans="1:11" x14ac:dyDescent="0.25">
      <c r="A56" s="52">
        <v>2</v>
      </c>
      <c r="B56" s="63" t="s">
        <v>80</v>
      </c>
      <c r="C56" s="63" t="s">
        <v>141</v>
      </c>
      <c r="D56" s="36"/>
      <c r="E56" s="42" t="str">
        <f t="shared" si="16"/>
        <v/>
      </c>
      <c r="F56" s="36"/>
      <c r="G56" s="42" t="str">
        <f t="shared" si="17"/>
        <v/>
      </c>
      <c r="H56" s="36"/>
      <c r="I56" s="42" t="str">
        <f t="shared" si="18"/>
        <v/>
      </c>
      <c r="J56" s="36"/>
      <c r="K56" s="42" t="str">
        <f t="shared" si="19"/>
        <v/>
      </c>
    </row>
    <row r="57" spans="1:11" x14ac:dyDescent="0.25">
      <c r="A57" s="52">
        <v>3</v>
      </c>
      <c r="B57" s="63" t="s">
        <v>80</v>
      </c>
      <c r="C57" s="63" t="s">
        <v>141</v>
      </c>
      <c r="D57" s="36"/>
      <c r="E57" s="42" t="str">
        <f t="shared" si="16"/>
        <v/>
      </c>
      <c r="F57" s="36"/>
      <c r="G57" s="42" t="str">
        <f t="shared" si="17"/>
        <v/>
      </c>
      <c r="H57" s="36"/>
      <c r="I57" s="42" t="str">
        <f t="shared" si="18"/>
        <v/>
      </c>
      <c r="J57" s="36"/>
      <c r="K57" s="42" t="str">
        <f t="shared" si="19"/>
        <v/>
      </c>
    </row>
    <row r="58" spans="1:11" x14ac:dyDescent="0.25">
      <c r="A58" s="52">
        <v>4</v>
      </c>
      <c r="B58" s="63" t="s">
        <v>80</v>
      </c>
      <c r="C58" s="63" t="s">
        <v>141</v>
      </c>
      <c r="D58" s="36"/>
      <c r="E58" s="42" t="str">
        <f t="shared" si="16"/>
        <v/>
      </c>
      <c r="F58" s="36"/>
      <c r="G58" s="42" t="str">
        <f t="shared" si="17"/>
        <v/>
      </c>
      <c r="H58" s="36"/>
      <c r="I58" s="42" t="str">
        <f t="shared" si="18"/>
        <v/>
      </c>
      <c r="J58" s="36"/>
      <c r="K58" s="42" t="str">
        <f t="shared" si="19"/>
        <v/>
      </c>
    </row>
    <row r="59" spans="1:11" x14ac:dyDescent="0.25">
      <c r="A59" s="52">
        <v>5</v>
      </c>
      <c r="B59" s="63" t="s">
        <v>80</v>
      </c>
      <c r="C59" s="63" t="s">
        <v>141</v>
      </c>
      <c r="D59" s="36"/>
      <c r="E59" s="42" t="str">
        <f t="shared" si="16"/>
        <v/>
      </c>
      <c r="F59" s="36"/>
      <c r="G59" s="42" t="str">
        <f t="shared" si="17"/>
        <v/>
      </c>
      <c r="H59" s="36"/>
      <c r="I59" s="42" t="str">
        <f t="shared" si="18"/>
        <v/>
      </c>
      <c r="J59" s="36"/>
      <c r="K59" s="42" t="str">
        <f t="shared" si="19"/>
        <v/>
      </c>
    </row>
    <row r="60" spans="1:11" x14ac:dyDescent="0.25">
      <c r="A60" s="52">
        <v>6</v>
      </c>
      <c r="B60" s="63" t="s">
        <v>80</v>
      </c>
      <c r="C60" s="63" t="s">
        <v>141</v>
      </c>
      <c r="D60" s="36"/>
      <c r="E60" s="42" t="str">
        <f t="shared" si="16"/>
        <v/>
      </c>
      <c r="F60" s="36"/>
      <c r="G60" s="42" t="str">
        <f t="shared" si="17"/>
        <v/>
      </c>
      <c r="H60" s="36"/>
      <c r="I60" s="42" t="str">
        <f t="shared" si="18"/>
        <v/>
      </c>
      <c r="J60" s="36"/>
      <c r="K60" s="42" t="str">
        <f t="shared" si="19"/>
        <v/>
      </c>
    </row>
    <row r="61" spans="1:11" x14ac:dyDescent="0.25">
      <c r="A61" s="52">
        <v>7</v>
      </c>
      <c r="B61" s="63" t="s">
        <v>80</v>
      </c>
      <c r="C61" s="63" t="s">
        <v>141</v>
      </c>
      <c r="D61" s="36"/>
      <c r="E61" s="42" t="str">
        <f t="shared" si="16"/>
        <v/>
      </c>
      <c r="F61" s="36"/>
      <c r="G61" s="42" t="str">
        <f t="shared" si="17"/>
        <v/>
      </c>
      <c r="H61" s="36"/>
      <c r="I61" s="42" t="str">
        <f t="shared" si="18"/>
        <v/>
      </c>
      <c r="J61" s="36"/>
      <c r="K61" s="42" t="str">
        <f t="shared" si="19"/>
        <v/>
      </c>
    </row>
    <row r="62" spans="1:11" x14ac:dyDescent="0.25">
      <c r="A62" s="52">
        <v>8</v>
      </c>
      <c r="B62" s="63" t="s">
        <v>80</v>
      </c>
      <c r="C62" s="63" t="s">
        <v>141</v>
      </c>
      <c r="D62" s="36"/>
      <c r="E62" s="42" t="str">
        <f t="shared" si="16"/>
        <v/>
      </c>
      <c r="F62" s="36"/>
      <c r="G62" s="42" t="str">
        <f t="shared" si="17"/>
        <v/>
      </c>
      <c r="H62" s="36"/>
      <c r="I62" s="42" t="str">
        <f t="shared" si="18"/>
        <v/>
      </c>
      <c r="J62" s="36"/>
      <c r="K62" s="42" t="str">
        <f t="shared" si="19"/>
        <v/>
      </c>
    </row>
    <row r="63" spans="1:11" x14ac:dyDescent="0.25">
      <c r="A63" s="38" t="s">
        <v>84</v>
      </c>
      <c r="B63" s="54"/>
      <c r="C63" s="54"/>
      <c r="D63" s="38"/>
      <c r="E63" s="38"/>
      <c r="F63" s="38"/>
      <c r="G63" s="38"/>
      <c r="H63" s="38"/>
      <c r="I63" s="38"/>
      <c r="J63" s="38"/>
      <c r="K63" s="38"/>
    </row>
    <row r="64" spans="1:11" ht="23.25" x14ac:dyDescent="0.25">
      <c r="A64" s="39" t="s">
        <v>0</v>
      </c>
      <c r="B64" s="39" t="s">
        <v>55</v>
      </c>
      <c r="C64" s="39" t="s">
        <v>56</v>
      </c>
      <c r="D64" s="55" t="s">
        <v>8</v>
      </c>
      <c r="E64" s="39" t="s">
        <v>81</v>
      </c>
      <c r="F64" s="55" t="s">
        <v>8</v>
      </c>
      <c r="G64" s="39" t="s">
        <v>81</v>
      </c>
      <c r="H64" s="55" t="s">
        <v>8</v>
      </c>
      <c r="I64" s="39" t="s">
        <v>81</v>
      </c>
      <c r="J64" s="55" t="s">
        <v>8</v>
      </c>
      <c r="K64" s="39" t="s">
        <v>81</v>
      </c>
    </row>
    <row r="65" spans="1:11" x14ac:dyDescent="0.25">
      <c r="A65" s="52">
        <v>1</v>
      </c>
      <c r="B65" s="63" t="s">
        <v>80</v>
      </c>
      <c r="C65" s="63" t="s">
        <v>142</v>
      </c>
      <c r="D65" s="36"/>
      <c r="E65" s="42" t="str">
        <f t="shared" ref="E65:E72" si="20">IF(D65&gt;0,VLOOKUP(D65,Jumpers,3)&amp;", "&amp;VLOOKUP(D65,Jumpers,2)&amp;" ("&amp;VLOOKUP(D65,Jumpers,7)&amp;")","")</f>
        <v/>
      </c>
      <c r="F65" s="36"/>
      <c r="G65" s="42" t="str">
        <f t="shared" ref="G65:G72" si="21">IF(F65&gt;0,VLOOKUP(F65,Jumpers,3)&amp;", "&amp;VLOOKUP(F65,Jumpers,2)&amp;" ("&amp;VLOOKUP(F65,Jumpers,7)&amp;")","")</f>
        <v/>
      </c>
      <c r="H65" s="36"/>
      <c r="I65" s="42" t="str">
        <f t="shared" ref="I65:I72" si="22">IF(H65&gt;0,VLOOKUP(H65,Jumpers,3)&amp;", "&amp;VLOOKUP(H65,Jumpers,2)&amp;" ("&amp;VLOOKUP(H65,Jumpers,7)&amp;")","")</f>
        <v/>
      </c>
      <c r="J65" s="36"/>
      <c r="K65" s="42" t="str">
        <f t="shared" ref="K65:K72" si="23">IF(J65&gt;0,VLOOKUP(J65,Jumpers,3)&amp;", "&amp;VLOOKUP(J65,Jumpers,2)&amp;" ("&amp;VLOOKUP(J65,Jumpers,7)&amp;")","")</f>
        <v/>
      </c>
    </row>
    <row r="66" spans="1:11" x14ac:dyDescent="0.25">
      <c r="A66" s="52">
        <v>2</v>
      </c>
      <c r="B66" s="63" t="s">
        <v>80</v>
      </c>
      <c r="C66" s="63" t="s">
        <v>142</v>
      </c>
      <c r="D66" s="36"/>
      <c r="E66" s="42" t="str">
        <f t="shared" si="20"/>
        <v/>
      </c>
      <c r="F66" s="36"/>
      <c r="G66" s="42" t="str">
        <f t="shared" si="21"/>
        <v/>
      </c>
      <c r="H66" s="36"/>
      <c r="I66" s="42" t="str">
        <f t="shared" si="22"/>
        <v/>
      </c>
      <c r="J66" s="36"/>
      <c r="K66" s="42" t="str">
        <f t="shared" si="23"/>
        <v/>
      </c>
    </row>
    <row r="67" spans="1:11" x14ac:dyDescent="0.25">
      <c r="A67" s="52">
        <v>3</v>
      </c>
      <c r="B67" s="63" t="s">
        <v>80</v>
      </c>
      <c r="C67" s="63" t="s">
        <v>142</v>
      </c>
      <c r="D67" s="36"/>
      <c r="E67" s="42" t="str">
        <f t="shared" si="20"/>
        <v/>
      </c>
      <c r="F67" s="36"/>
      <c r="G67" s="42" t="str">
        <f t="shared" si="21"/>
        <v/>
      </c>
      <c r="H67" s="36"/>
      <c r="I67" s="42" t="str">
        <f t="shared" si="22"/>
        <v/>
      </c>
      <c r="J67" s="36"/>
      <c r="K67" s="42" t="str">
        <f t="shared" si="23"/>
        <v/>
      </c>
    </row>
    <row r="68" spans="1:11" x14ac:dyDescent="0.25">
      <c r="A68" s="52">
        <v>4</v>
      </c>
      <c r="B68" s="63" t="s">
        <v>80</v>
      </c>
      <c r="C68" s="63" t="s">
        <v>142</v>
      </c>
      <c r="D68" s="36"/>
      <c r="E68" s="42" t="str">
        <f t="shared" si="20"/>
        <v/>
      </c>
      <c r="F68" s="36"/>
      <c r="G68" s="42" t="str">
        <f t="shared" si="21"/>
        <v/>
      </c>
      <c r="H68" s="36"/>
      <c r="I68" s="42" t="str">
        <f t="shared" si="22"/>
        <v/>
      </c>
      <c r="J68" s="36"/>
      <c r="K68" s="42" t="str">
        <f t="shared" si="23"/>
        <v/>
      </c>
    </row>
    <row r="69" spans="1:11" x14ac:dyDescent="0.25">
      <c r="A69" s="52">
        <v>5</v>
      </c>
      <c r="B69" s="63" t="s">
        <v>80</v>
      </c>
      <c r="C69" s="63" t="s">
        <v>142</v>
      </c>
      <c r="D69" s="36"/>
      <c r="E69" s="42" t="str">
        <f t="shared" si="20"/>
        <v/>
      </c>
      <c r="F69" s="36"/>
      <c r="G69" s="42" t="str">
        <f t="shared" si="21"/>
        <v/>
      </c>
      <c r="H69" s="36"/>
      <c r="I69" s="42" t="str">
        <f t="shared" si="22"/>
        <v/>
      </c>
      <c r="J69" s="36"/>
      <c r="K69" s="42" t="str">
        <f t="shared" si="23"/>
        <v/>
      </c>
    </row>
    <row r="70" spans="1:11" x14ac:dyDescent="0.25">
      <c r="A70" s="52">
        <v>6</v>
      </c>
      <c r="B70" s="63" t="s">
        <v>80</v>
      </c>
      <c r="C70" s="63" t="s">
        <v>142</v>
      </c>
      <c r="D70" s="36"/>
      <c r="E70" s="42" t="str">
        <f t="shared" si="20"/>
        <v/>
      </c>
      <c r="F70" s="36"/>
      <c r="G70" s="42" t="str">
        <f t="shared" si="21"/>
        <v/>
      </c>
      <c r="H70" s="36"/>
      <c r="I70" s="42" t="str">
        <f t="shared" si="22"/>
        <v/>
      </c>
      <c r="J70" s="36"/>
      <c r="K70" s="42" t="str">
        <f t="shared" si="23"/>
        <v/>
      </c>
    </row>
    <row r="71" spans="1:11" x14ac:dyDescent="0.25">
      <c r="A71" s="52">
        <v>7</v>
      </c>
      <c r="B71" s="63" t="s">
        <v>80</v>
      </c>
      <c r="C71" s="63" t="s">
        <v>142</v>
      </c>
      <c r="D71" s="36"/>
      <c r="E71" s="42" t="str">
        <f t="shared" si="20"/>
        <v/>
      </c>
      <c r="F71" s="36"/>
      <c r="G71" s="42" t="str">
        <f t="shared" si="21"/>
        <v/>
      </c>
      <c r="H71" s="36"/>
      <c r="I71" s="42" t="str">
        <f t="shared" si="22"/>
        <v/>
      </c>
      <c r="J71" s="36"/>
      <c r="K71" s="42" t="str">
        <f t="shared" si="23"/>
        <v/>
      </c>
    </row>
    <row r="72" spans="1:11" x14ac:dyDescent="0.25">
      <c r="A72" s="52">
        <v>8</v>
      </c>
      <c r="B72" s="63" t="s">
        <v>80</v>
      </c>
      <c r="C72" s="63" t="s">
        <v>142</v>
      </c>
      <c r="D72" s="36"/>
      <c r="E72" s="42" t="str">
        <f t="shared" si="20"/>
        <v/>
      </c>
      <c r="F72" s="36"/>
      <c r="G72" s="42" t="str">
        <f t="shared" si="21"/>
        <v/>
      </c>
      <c r="H72" s="36"/>
      <c r="I72" s="42" t="str">
        <f t="shared" si="22"/>
        <v/>
      </c>
      <c r="J72" s="36"/>
      <c r="K72" s="42" t="str">
        <f t="shared" si="23"/>
        <v/>
      </c>
    </row>
  </sheetData>
  <sheetProtection password="CE88" sheet="1" objects="1" scenarios="1" selectLockedCells="1"/>
  <phoneticPr fontId="23" type="noConversion"/>
  <conditionalFormatting sqref="D5:D16 F5:F16 H5:H16 J5:J16">
    <cfRule type="expression" dxfId="101" priority="19" stopIfTrue="1">
      <formula>AND(D5&lt;&gt;"",COUNTIF($D$5:$J$72,D5)&gt;1)</formula>
    </cfRule>
    <cfRule type="expression" dxfId="100" priority="20" stopIfTrue="1">
      <formula>OR(CODE(D5)&lt;48,CODE(D5)&gt;57)</formula>
    </cfRule>
    <cfRule type="expression" dxfId="99" priority="21" stopIfTrue="1">
      <formula>VLOOKUP(D5,Jumpers,7)&gt;10</formula>
    </cfRule>
  </conditionalFormatting>
  <conditionalFormatting sqref="D19:D30 F19:F30 H19:H30 J19:J30">
    <cfRule type="expression" dxfId="98" priority="13" stopIfTrue="1">
      <formula>AND(D19&lt;&gt;"",COUNTIF($D$5:$J$72,D19)&gt;1)</formula>
    </cfRule>
    <cfRule type="expression" dxfId="97" priority="14" stopIfTrue="1">
      <formula>OR(CODE(D19)&lt;48,CODE(D19)&gt;57)</formula>
    </cfRule>
    <cfRule type="expression" dxfId="96" priority="15" stopIfTrue="1">
      <formula>VLOOKUP(D19,Jumpers,7)&gt;12</formula>
    </cfRule>
  </conditionalFormatting>
  <conditionalFormatting sqref="D33:D42 F33:F42 H33:H42 J33:J42">
    <cfRule type="expression" dxfId="95" priority="10" stopIfTrue="1">
      <formula>AND(D33&lt;&gt;"",COUNTIF($D$5:$J$72,D33)&gt;1)</formula>
    </cfRule>
    <cfRule type="expression" dxfId="94" priority="11" stopIfTrue="1">
      <formula>OR(CODE(D33)&lt;48,CODE(D33)&gt;57)</formula>
    </cfRule>
    <cfRule type="expression" dxfId="93" priority="12" stopIfTrue="1">
      <formula>VLOOKUP(D33,Jumpers,7)&gt;14</formula>
    </cfRule>
  </conditionalFormatting>
  <conditionalFormatting sqref="D45:D52 F45:F52 H45:H52 J45:J52">
    <cfRule type="expression" dxfId="92" priority="7" stopIfTrue="1">
      <formula>AND(D45&lt;&gt;"",COUNTIF($D$5:$J$72,D45)&gt;1)</formula>
    </cfRule>
    <cfRule type="expression" dxfId="91" priority="8" stopIfTrue="1">
      <formula>OR(CODE(D45)&lt;48,CODE(D45)&gt;57)</formula>
    </cfRule>
    <cfRule type="expression" dxfId="90" priority="9" stopIfTrue="1">
      <formula>VLOOKUP(D45,Jumpers,7)&gt;17</formula>
    </cfRule>
  </conditionalFormatting>
  <conditionalFormatting sqref="D55:D62 F55:F62 H55:H62 J55:J62">
    <cfRule type="expression" dxfId="89" priority="4" stopIfTrue="1">
      <formula>AND(D55&lt;&gt;"",COUNTIF($D$5:$J$72,D55)&gt;1)</formula>
    </cfRule>
    <cfRule type="expression" dxfId="88" priority="5" stopIfTrue="1">
      <formula>OR(CODE(D55)&lt;48,CODE(D55)&gt;57)</formula>
    </cfRule>
  </conditionalFormatting>
  <conditionalFormatting sqref="D65:D72 F65:F72 H65:H72 J65:J72">
    <cfRule type="expression" dxfId="87" priority="1" stopIfTrue="1">
      <formula>AND(D65&lt;&gt;"",COUNTIF($D$5:$J$72,D65)&gt;1)</formula>
    </cfRule>
    <cfRule type="expression" dxfId="86" priority="2" stopIfTrue="1">
      <formula>OR(CODE(D65)&lt;48,CODE(D65)&gt;57)</formula>
    </cfRule>
    <cfRule type="expression" dxfId="85" priority="3" stopIfTrue="1">
      <formula>VLOOKUP(D65,Jumpers,7)&lt;30</formula>
    </cfRule>
  </conditionalFormatting>
  <pageMargins left="0.25" right="0.25" top="0.75" bottom="0.75" header="0.3" footer="0.3"/>
  <pageSetup scale="92" fitToHeight="2" orientation="landscape" horizontalDpi="180" verticalDpi="180"/>
  <headerFooter>
    <oddHeader>&amp;LUSAJR Regional Tournament&amp;R&amp;A</oddHeader>
    <oddFooter>&amp;RPage &amp;P of &amp;N</oddFooter>
  </headerFooter>
  <customProperties>
    <customPr name="DVSECTIONID" r:id="rId1"/>
  </customProperties>
  <extLst>
    <ext xmlns:mx="http://schemas.microsoft.com/office/mac/excel/2008/main" uri="{64002731-A6B0-56B0-2670-7721B7C09600}">
      <mx:PLV Mode="0" OnePage="0" WScale="83"/>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72"/>
  <sheetViews>
    <sheetView workbookViewId="0">
      <selection activeCell="D5" sqref="D5"/>
    </sheetView>
  </sheetViews>
  <sheetFormatPr defaultColWidth="8.85546875" defaultRowHeight="15" x14ac:dyDescent="0.25"/>
  <cols>
    <col min="1" max="1" width="4" customWidth="1"/>
    <col min="2" max="2" width="4.7109375" bestFit="1" customWidth="1"/>
    <col min="3" max="3" width="7.140625" bestFit="1" customWidth="1"/>
    <col min="4" max="4" width="8.28515625" style="22" bestFit="1" customWidth="1"/>
    <col min="5" max="5" width="20.7109375" style="37" customWidth="1"/>
    <col min="6" max="6" width="8.28515625" style="22" bestFit="1" customWidth="1"/>
    <col min="7" max="7" width="20.7109375" style="37" customWidth="1"/>
    <col min="8" max="8" width="8.28515625" style="22" bestFit="1" customWidth="1"/>
    <col min="9" max="9" width="20.7109375" style="37" customWidth="1"/>
    <col min="10" max="10" width="8.28515625" style="22" bestFit="1" customWidth="1"/>
    <col min="11" max="11" width="20.7109375" style="37" customWidth="1"/>
  </cols>
  <sheetData>
    <row r="1" spans="1:11" ht="18.75" x14ac:dyDescent="0.3">
      <c r="A1" s="56" t="s">
        <v>86</v>
      </c>
      <c r="B1" s="37"/>
      <c r="C1" s="37"/>
      <c r="D1" s="37"/>
      <c r="F1" s="37"/>
      <c r="H1" s="37"/>
      <c r="J1" s="37"/>
      <c r="K1" s="43" t="str">
        <f>CONCATENATE("Team: ",'Team Info'!$B$3)</f>
        <v xml:space="preserve">Team: </v>
      </c>
    </row>
    <row r="2" spans="1:11" x14ac:dyDescent="0.25">
      <c r="A2" s="57" t="s">
        <v>133</v>
      </c>
      <c r="B2" s="37"/>
      <c r="C2" s="37"/>
      <c r="D2" s="37"/>
      <c r="F2" s="37"/>
      <c r="H2" s="37"/>
      <c r="J2" s="37"/>
    </row>
    <row r="3" spans="1:11" x14ac:dyDescent="0.25">
      <c r="A3" s="38" t="s">
        <v>9</v>
      </c>
      <c r="B3" s="54"/>
      <c r="C3" s="54"/>
      <c r="D3" s="38"/>
      <c r="E3" s="38"/>
      <c r="F3" s="38"/>
      <c r="G3" s="38"/>
      <c r="H3" s="38"/>
      <c r="I3" s="38"/>
      <c r="J3" s="38"/>
      <c r="K3" s="38"/>
    </row>
    <row r="4" spans="1:11" ht="23.25" x14ac:dyDescent="0.25">
      <c r="A4" s="39" t="s">
        <v>0</v>
      </c>
      <c r="B4" s="39" t="s">
        <v>55</v>
      </c>
      <c r="C4" s="39" t="s">
        <v>56</v>
      </c>
      <c r="D4" s="55" t="s">
        <v>8</v>
      </c>
      <c r="E4" s="39" t="s">
        <v>81</v>
      </c>
      <c r="F4" s="55" t="s">
        <v>8</v>
      </c>
      <c r="G4" s="39" t="s">
        <v>81</v>
      </c>
      <c r="H4" s="55" t="s">
        <v>8</v>
      </c>
      <c r="I4" s="39" t="s">
        <v>81</v>
      </c>
      <c r="J4" s="55" t="s">
        <v>8</v>
      </c>
      <c r="K4" s="39" t="s">
        <v>81</v>
      </c>
    </row>
    <row r="5" spans="1:11" x14ac:dyDescent="0.25">
      <c r="A5" s="3">
        <v>1</v>
      </c>
      <c r="B5" s="13" t="s">
        <v>118</v>
      </c>
      <c r="C5" s="91" t="s">
        <v>44</v>
      </c>
      <c r="D5" s="36"/>
      <c r="E5" s="42" t="str">
        <f t="shared" ref="E5:E16" si="0">IF(D5&gt;0,VLOOKUP(D5,Jumpers,3)&amp;", "&amp;VLOOKUP(D5,Jumpers,2)&amp;" ("&amp;VLOOKUP(D5,Jumpers,7)&amp;")","")</f>
        <v/>
      </c>
      <c r="F5" s="36"/>
      <c r="G5" s="42" t="str">
        <f t="shared" ref="G5:G16" si="1">IF(F5&gt;0,VLOOKUP(F5,Jumpers,3)&amp;", "&amp;VLOOKUP(F5,Jumpers,2)&amp;" ("&amp;VLOOKUP(F5,Jumpers,7)&amp;")","")</f>
        <v/>
      </c>
      <c r="H5" s="36"/>
      <c r="I5" s="42" t="str">
        <f t="shared" ref="I5:I16" si="2">IF(H5&gt;0,VLOOKUP(H5,Jumpers,3)&amp;", "&amp;VLOOKUP(H5,Jumpers,2)&amp;" ("&amp;VLOOKUP(H5,Jumpers,7)&amp;")","")</f>
        <v/>
      </c>
      <c r="J5" s="36"/>
      <c r="K5" s="42" t="str">
        <f t="shared" ref="K5:K16" si="3">IF(J5&gt;0,VLOOKUP(J5,Jumpers,3)&amp;", "&amp;VLOOKUP(J5,Jumpers,2)&amp;" ("&amp;VLOOKUP(J5,Jumpers,7)&amp;")","")</f>
        <v/>
      </c>
    </row>
    <row r="6" spans="1:11" x14ac:dyDescent="0.25">
      <c r="A6" s="3">
        <v>2</v>
      </c>
      <c r="B6" s="13" t="s">
        <v>118</v>
      </c>
      <c r="C6" s="91" t="s">
        <v>44</v>
      </c>
      <c r="D6" s="36"/>
      <c r="E6" s="42" t="str">
        <f t="shared" si="0"/>
        <v/>
      </c>
      <c r="F6" s="36"/>
      <c r="G6" s="42" t="str">
        <f t="shared" si="1"/>
        <v/>
      </c>
      <c r="H6" s="36"/>
      <c r="I6" s="42" t="str">
        <f t="shared" si="2"/>
        <v/>
      </c>
      <c r="J6" s="36"/>
      <c r="K6" s="42" t="str">
        <f t="shared" si="3"/>
        <v/>
      </c>
    </row>
    <row r="7" spans="1:11" x14ac:dyDescent="0.25">
      <c r="A7" s="3">
        <v>3</v>
      </c>
      <c r="B7" s="13" t="s">
        <v>118</v>
      </c>
      <c r="C7" s="91" t="s">
        <v>44</v>
      </c>
      <c r="D7" s="36"/>
      <c r="E7" s="42" t="str">
        <f t="shared" si="0"/>
        <v/>
      </c>
      <c r="F7" s="36"/>
      <c r="G7" s="42" t="str">
        <f t="shared" si="1"/>
        <v/>
      </c>
      <c r="H7" s="36"/>
      <c r="I7" s="42" t="str">
        <f t="shared" si="2"/>
        <v/>
      </c>
      <c r="J7" s="36"/>
      <c r="K7" s="42" t="str">
        <f t="shared" si="3"/>
        <v/>
      </c>
    </row>
    <row r="8" spans="1:11" x14ac:dyDescent="0.25">
      <c r="A8" s="3">
        <v>4</v>
      </c>
      <c r="B8" s="13" t="s">
        <v>118</v>
      </c>
      <c r="C8" s="91" t="s">
        <v>44</v>
      </c>
      <c r="D8" s="36"/>
      <c r="E8" s="42" t="str">
        <f t="shared" si="0"/>
        <v/>
      </c>
      <c r="F8" s="36"/>
      <c r="G8" s="42" t="str">
        <f t="shared" si="1"/>
        <v/>
      </c>
      <c r="H8" s="36"/>
      <c r="I8" s="42" t="str">
        <f t="shared" si="2"/>
        <v/>
      </c>
      <c r="J8" s="36"/>
      <c r="K8" s="42" t="str">
        <f t="shared" si="3"/>
        <v/>
      </c>
    </row>
    <row r="9" spans="1:11" x14ac:dyDescent="0.25">
      <c r="A9" s="3">
        <v>5</v>
      </c>
      <c r="B9" s="13" t="s">
        <v>118</v>
      </c>
      <c r="C9" s="91" t="s">
        <v>44</v>
      </c>
      <c r="D9" s="36"/>
      <c r="E9" s="42" t="str">
        <f t="shared" si="0"/>
        <v/>
      </c>
      <c r="F9" s="36"/>
      <c r="G9" s="42" t="str">
        <f t="shared" si="1"/>
        <v/>
      </c>
      <c r="H9" s="36"/>
      <c r="I9" s="42" t="str">
        <f t="shared" si="2"/>
        <v/>
      </c>
      <c r="J9" s="36"/>
      <c r="K9" s="42" t="str">
        <f t="shared" si="3"/>
        <v/>
      </c>
    </row>
    <row r="10" spans="1:11" x14ac:dyDescent="0.25">
      <c r="A10" s="3">
        <v>6</v>
      </c>
      <c r="B10" s="13" t="s">
        <v>118</v>
      </c>
      <c r="C10" s="91" t="s">
        <v>44</v>
      </c>
      <c r="D10" s="36"/>
      <c r="E10" s="42" t="str">
        <f t="shared" si="0"/>
        <v/>
      </c>
      <c r="F10" s="36"/>
      <c r="G10" s="42" t="str">
        <f t="shared" si="1"/>
        <v/>
      </c>
      <c r="H10" s="36"/>
      <c r="I10" s="42" t="str">
        <f t="shared" si="2"/>
        <v/>
      </c>
      <c r="J10" s="36"/>
      <c r="K10" s="42" t="str">
        <f t="shared" si="3"/>
        <v/>
      </c>
    </row>
    <row r="11" spans="1:11" x14ac:dyDescent="0.25">
      <c r="A11" s="3">
        <v>7</v>
      </c>
      <c r="B11" s="13" t="s">
        <v>118</v>
      </c>
      <c r="C11" s="91" t="s">
        <v>44</v>
      </c>
      <c r="D11" s="36"/>
      <c r="E11" s="42" t="str">
        <f t="shared" si="0"/>
        <v/>
      </c>
      <c r="F11" s="36"/>
      <c r="G11" s="42" t="str">
        <f t="shared" si="1"/>
        <v/>
      </c>
      <c r="H11" s="36"/>
      <c r="I11" s="42" t="str">
        <f t="shared" si="2"/>
        <v/>
      </c>
      <c r="J11" s="36"/>
      <c r="K11" s="42" t="str">
        <f t="shared" si="3"/>
        <v/>
      </c>
    </row>
    <row r="12" spans="1:11" x14ac:dyDescent="0.25">
      <c r="A12" s="3">
        <v>8</v>
      </c>
      <c r="B12" s="13" t="s">
        <v>118</v>
      </c>
      <c r="C12" s="91" t="s">
        <v>44</v>
      </c>
      <c r="D12" s="36"/>
      <c r="E12" s="42" t="str">
        <f t="shared" si="0"/>
        <v/>
      </c>
      <c r="F12" s="36"/>
      <c r="G12" s="42" t="str">
        <f t="shared" si="1"/>
        <v/>
      </c>
      <c r="H12" s="36"/>
      <c r="I12" s="42" t="str">
        <f t="shared" si="2"/>
        <v/>
      </c>
      <c r="J12" s="36"/>
      <c r="K12" s="42" t="str">
        <f t="shared" si="3"/>
        <v/>
      </c>
    </row>
    <row r="13" spans="1:11" x14ac:dyDescent="0.25">
      <c r="A13" s="84">
        <v>9</v>
      </c>
      <c r="B13" s="13" t="s">
        <v>118</v>
      </c>
      <c r="C13" s="91" t="s">
        <v>44</v>
      </c>
      <c r="D13" s="36"/>
      <c r="E13" s="42" t="str">
        <f t="shared" si="0"/>
        <v/>
      </c>
      <c r="F13" s="36"/>
      <c r="G13" s="42" t="str">
        <f t="shared" si="1"/>
        <v/>
      </c>
      <c r="H13" s="36"/>
      <c r="I13" s="42" t="str">
        <f t="shared" si="2"/>
        <v/>
      </c>
      <c r="J13" s="36"/>
      <c r="K13" s="42" t="str">
        <f t="shared" si="3"/>
        <v/>
      </c>
    </row>
    <row r="14" spans="1:11" x14ac:dyDescent="0.25">
      <c r="A14" s="84">
        <v>10</v>
      </c>
      <c r="B14" s="13" t="s">
        <v>118</v>
      </c>
      <c r="C14" s="91" t="s">
        <v>44</v>
      </c>
      <c r="D14" s="36"/>
      <c r="E14" s="42" t="str">
        <f t="shared" si="0"/>
        <v/>
      </c>
      <c r="F14" s="36"/>
      <c r="G14" s="42" t="str">
        <f t="shared" si="1"/>
        <v/>
      </c>
      <c r="H14" s="36"/>
      <c r="I14" s="42" t="str">
        <f t="shared" si="2"/>
        <v/>
      </c>
      <c r="J14" s="36"/>
      <c r="K14" s="42" t="str">
        <f t="shared" si="3"/>
        <v/>
      </c>
    </row>
    <row r="15" spans="1:11" x14ac:dyDescent="0.25">
      <c r="A15" s="84">
        <v>11</v>
      </c>
      <c r="B15" s="13" t="s">
        <v>118</v>
      </c>
      <c r="C15" s="91" t="s">
        <v>44</v>
      </c>
      <c r="D15" s="36"/>
      <c r="E15" s="42" t="str">
        <f t="shared" si="0"/>
        <v/>
      </c>
      <c r="F15" s="36"/>
      <c r="G15" s="42" t="str">
        <f t="shared" si="1"/>
        <v/>
      </c>
      <c r="H15" s="36"/>
      <c r="I15" s="42" t="str">
        <f t="shared" si="2"/>
        <v/>
      </c>
      <c r="J15" s="36"/>
      <c r="K15" s="42" t="str">
        <f t="shared" si="3"/>
        <v/>
      </c>
    </row>
    <row r="16" spans="1:11" x14ac:dyDescent="0.25">
      <c r="A16" s="84">
        <v>12</v>
      </c>
      <c r="B16" s="13" t="s">
        <v>118</v>
      </c>
      <c r="C16" s="91" t="s">
        <v>44</v>
      </c>
      <c r="D16" s="36"/>
      <c r="E16" s="42" t="str">
        <f t="shared" si="0"/>
        <v/>
      </c>
      <c r="F16" s="36"/>
      <c r="G16" s="42" t="str">
        <f t="shared" si="1"/>
        <v/>
      </c>
      <c r="H16" s="36"/>
      <c r="I16" s="42" t="str">
        <f t="shared" si="2"/>
        <v/>
      </c>
      <c r="J16" s="36"/>
      <c r="K16" s="42" t="str">
        <f t="shared" si="3"/>
        <v/>
      </c>
    </row>
    <row r="17" spans="1:11" x14ac:dyDescent="0.25">
      <c r="A17" s="93" t="s">
        <v>45</v>
      </c>
      <c r="B17" s="54"/>
      <c r="C17" s="54"/>
      <c r="D17" s="38"/>
      <c r="E17" s="38"/>
      <c r="F17" s="38"/>
      <c r="G17" s="38"/>
      <c r="H17" s="38"/>
      <c r="I17" s="38"/>
      <c r="J17" s="38"/>
      <c r="K17" s="38"/>
    </row>
    <row r="18" spans="1:11" ht="23.25" x14ac:dyDescent="0.25">
      <c r="A18" s="39" t="s">
        <v>0</v>
      </c>
      <c r="B18" s="39" t="s">
        <v>55</v>
      </c>
      <c r="C18" s="39" t="s">
        <v>56</v>
      </c>
      <c r="D18" s="55" t="s">
        <v>8</v>
      </c>
      <c r="E18" s="39" t="s">
        <v>81</v>
      </c>
      <c r="F18" s="55" t="s">
        <v>8</v>
      </c>
      <c r="G18" s="39" t="s">
        <v>81</v>
      </c>
      <c r="H18" s="55" t="s">
        <v>8</v>
      </c>
      <c r="I18" s="39" t="s">
        <v>81</v>
      </c>
      <c r="J18" s="55" t="s">
        <v>8</v>
      </c>
      <c r="K18" s="39" t="s">
        <v>81</v>
      </c>
    </row>
    <row r="19" spans="1:11" x14ac:dyDescent="0.25">
      <c r="A19" s="3">
        <v>1</v>
      </c>
      <c r="B19" s="13" t="s">
        <v>118</v>
      </c>
      <c r="C19" s="95" t="s">
        <v>45</v>
      </c>
      <c r="D19" s="36"/>
      <c r="E19" s="42" t="str">
        <f t="shared" ref="E19:E30" si="4">IF(D19&gt;0,VLOOKUP(D19,Jumpers,3)&amp;", "&amp;VLOOKUP(D19,Jumpers,2)&amp;" ("&amp;VLOOKUP(D19,Jumpers,7)&amp;")","")</f>
        <v/>
      </c>
      <c r="F19" s="36"/>
      <c r="G19" s="42" t="str">
        <f t="shared" ref="G19:G30" si="5">IF(F19&gt;0,VLOOKUP(F19,Jumpers,3)&amp;", "&amp;VLOOKUP(F19,Jumpers,2)&amp;" ("&amp;VLOOKUP(F19,Jumpers,7)&amp;")","")</f>
        <v/>
      </c>
      <c r="H19" s="36"/>
      <c r="I19" s="42" t="str">
        <f t="shared" ref="I19:I30" si="6">IF(H19&gt;0,VLOOKUP(H19,Jumpers,3)&amp;", "&amp;VLOOKUP(H19,Jumpers,2)&amp;" ("&amp;VLOOKUP(H19,Jumpers,7)&amp;")","")</f>
        <v/>
      </c>
      <c r="J19" s="36"/>
      <c r="K19" s="42" t="str">
        <f t="shared" ref="K19:K30" si="7">IF(J19&gt;0,VLOOKUP(J19,Jumpers,3)&amp;", "&amp;VLOOKUP(J19,Jumpers,2)&amp;" ("&amp;VLOOKUP(J19,Jumpers,7)&amp;")","")</f>
        <v/>
      </c>
    </row>
    <row r="20" spans="1:11" x14ac:dyDescent="0.25">
      <c r="A20" s="3">
        <v>2</v>
      </c>
      <c r="B20" s="13" t="s">
        <v>118</v>
      </c>
      <c r="C20" s="95" t="s">
        <v>45</v>
      </c>
      <c r="D20" s="36"/>
      <c r="E20" s="42" t="str">
        <f t="shared" si="4"/>
        <v/>
      </c>
      <c r="F20" s="36"/>
      <c r="G20" s="42" t="str">
        <f t="shared" si="5"/>
        <v/>
      </c>
      <c r="H20" s="36"/>
      <c r="I20" s="42" t="str">
        <f t="shared" si="6"/>
        <v/>
      </c>
      <c r="J20" s="36"/>
      <c r="K20" s="42" t="str">
        <f t="shared" si="7"/>
        <v/>
      </c>
    </row>
    <row r="21" spans="1:11" x14ac:dyDescent="0.25">
      <c r="A21" s="3">
        <v>3</v>
      </c>
      <c r="B21" s="13" t="s">
        <v>118</v>
      </c>
      <c r="C21" s="95" t="s">
        <v>45</v>
      </c>
      <c r="D21" s="36"/>
      <c r="E21" s="42" t="str">
        <f t="shared" si="4"/>
        <v/>
      </c>
      <c r="F21" s="36"/>
      <c r="G21" s="42" t="str">
        <f t="shared" si="5"/>
        <v/>
      </c>
      <c r="H21" s="36"/>
      <c r="I21" s="42" t="str">
        <f t="shared" si="6"/>
        <v/>
      </c>
      <c r="J21" s="36"/>
      <c r="K21" s="42" t="str">
        <f t="shared" si="7"/>
        <v/>
      </c>
    </row>
    <row r="22" spans="1:11" x14ac:dyDescent="0.25">
      <c r="A22" s="3">
        <v>4</v>
      </c>
      <c r="B22" s="13" t="s">
        <v>118</v>
      </c>
      <c r="C22" s="95" t="s">
        <v>45</v>
      </c>
      <c r="D22" s="36"/>
      <c r="E22" s="42" t="str">
        <f t="shared" si="4"/>
        <v/>
      </c>
      <c r="F22" s="36"/>
      <c r="G22" s="42" t="str">
        <f t="shared" si="5"/>
        <v/>
      </c>
      <c r="H22" s="36"/>
      <c r="I22" s="42" t="str">
        <f t="shared" si="6"/>
        <v/>
      </c>
      <c r="J22" s="36"/>
      <c r="K22" s="42" t="str">
        <f t="shared" si="7"/>
        <v/>
      </c>
    </row>
    <row r="23" spans="1:11" x14ac:dyDescent="0.25">
      <c r="A23" s="3">
        <v>5</v>
      </c>
      <c r="B23" s="13" t="s">
        <v>118</v>
      </c>
      <c r="C23" s="95" t="s">
        <v>45</v>
      </c>
      <c r="D23" s="36"/>
      <c r="E23" s="42" t="str">
        <f t="shared" si="4"/>
        <v/>
      </c>
      <c r="F23" s="36"/>
      <c r="G23" s="42" t="str">
        <f t="shared" si="5"/>
        <v/>
      </c>
      <c r="H23" s="36"/>
      <c r="I23" s="42" t="str">
        <f t="shared" si="6"/>
        <v/>
      </c>
      <c r="J23" s="36"/>
      <c r="K23" s="42" t="str">
        <f t="shared" si="7"/>
        <v/>
      </c>
    </row>
    <row r="24" spans="1:11" x14ac:dyDescent="0.25">
      <c r="A24" s="3">
        <v>6</v>
      </c>
      <c r="B24" s="13" t="s">
        <v>118</v>
      </c>
      <c r="C24" s="95" t="s">
        <v>45</v>
      </c>
      <c r="D24" s="36"/>
      <c r="E24" s="42" t="str">
        <f t="shared" si="4"/>
        <v/>
      </c>
      <c r="F24" s="36"/>
      <c r="G24" s="42" t="str">
        <f t="shared" si="5"/>
        <v/>
      </c>
      <c r="H24" s="36"/>
      <c r="I24" s="42" t="str">
        <f t="shared" si="6"/>
        <v/>
      </c>
      <c r="J24" s="36"/>
      <c r="K24" s="42" t="str">
        <f t="shared" si="7"/>
        <v/>
      </c>
    </row>
    <row r="25" spans="1:11" x14ac:dyDescent="0.25">
      <c r="A25" s="3">
        <v>7</v>
      </c>
      <c r="B25" s="13" t="s">
        <v>118</v>
      </c>
      <c r="C25" s="95" t="s">
        <v>45</v>
      </c>
      <c r="D25" s="36"/>
      <c r="E25" s="42" t="str">
        <f t="shared" si="4"/>
        <v/>
      </c>
      <c r="F25" s="36"/>
      <c r="G25" s="42" t="str">
        <f t="shared" si="5"/>
        <v/>
      </c>
      <c r="H25" s="36"/>
      <c r="I25" s="42" t="str">
        <f t="shared" si="6"/>
        <v/>
      </c>
      <c r="J25" s="36"/>
      <c r="K25" s="42" t="str">
        <f t="shared" si="7"/>
        <v/>
      </c>
    </row>
    <row r="26" spans="1:11" x14ac:dyDescent="0.25">
      <c r="A26" s="3">
        <v>8</v>
      </c>
      <c r="B26" s="13" t="s">
        <v>118</v>
      </c>
      <c r="C26" s="95" t="s">
        <v>45</v>
      </c>
      <c r="D26" s="36"/>
      <c r="E26" s="42" t="str">
        <f t="shared" si="4"/>
        <v/>
      </c>
      <c r="F26" s="36"/>
      <c r="G26" s="42" t="str">
        <f t="shared" si="5"/>
        <v/>
      </c>
      <c r="H26" s="36"/>
      <c r="I26" s="42" t="str">
        <f t="shared" si="6"/>
        <v/>
      </c>
      <c r="J26" s="36"/>
      <c r="K26" s="42" t="str">
        <f t="shared" si="7"/>
        <v/>
      </c>
    </row>
    <row r="27" spans="1:11" x14ac:dyDescent="0.25">
      <c r="A27" s="84">
        <v>9</v>
      </c>
      <c r="B27" s="13" t="s">
        <v>118</v>
      </c>
      <c r="C27" s="95" t="s">
        <v>45</v>
      </c>
      <c r="D27" s="36"/>
      <c r="E27" s="42" t="str">
        <f t="shared" si="4"/>
        <v/>
      </c>
      <c r="F27" s="36"/>
      <c r="G27" s="42" t="str">
        <f t="shared" si="5"/>
        <v/>
      </c>
      <c r="H27" s="36"/>
      <c r="I27" s="42" t="str">
        <f t="shared" si="6"/>
        <v/>
      </c>
      <c r="J27" s="36"/>
      <c r="K27" s="42" t="str">
        <f t="shared" si="7"/>
        <v/>
      </c>
    </row>
    <row r="28" spans="1:11" x14ac:dyDescent="0.25">
      <c r="A28" s="84">
        <v>10</v>
      </c>
      <c r="B28" s="13" t="s">
        <v>118</v>
      </c>
      <c r="C28" s="95" t="s">
        <v>45</v>
      </c>
      <c r="D28" s="36"/>
      <c r="E28" s="42" t="str">
        <f t="shared" si="4"/>
        <v/>
      </c>
      <c r="F28" s="36"/>
      <c r="G28" s="42" t="str">
        <f t="shared" si="5"/>
        <v/>
      </c>
      <c r="H28" s="36"/>
      <c r="I28" s="42" t="str">
        <f t="shared" si="6"/>
        <v/>
      </c>
      <c r="J28" s="36"/>
      <c r="K28" s="42" t="str">
        <f t="shared" si="7"/>
        <v/>
      </c>
    </row>
    <row r="29" spans="1:11" x14ac:dyDescent="0.25">
      <c r="A29" s="84">
        <v>11</v>
      </c>
      <c r="B29" s="13" t="s">
        <v>118</v>
      </c>
      <c r="C29" s="95" t="s">
        <v>45</v>
      </c>
      <c r="D29" s="36"/>
      <c r="E29" s="42" t="str">
        <f t="shared" si="4"/>
        <v/>
      </c>
      <c r="F29" s="36"/>
      <c r="G29" s="42" t="str">
        <f t="shared" si="5"/>
        <v/>
      </c>
      <c r="H29" s="36"/>
      <c r="I29" s="42" t="str">
        <f t="shared" si="6"/>
        <v/>
      </c>
      <c r="J29" s="36"/>
      <c r="K29" s="42" t="str">
        <f t="shared" si="7"/>
        <v/>
      </c>
    </row>
    <row r="30" spans="1:11" x14ac:dyDescent="0.25">
      <c r="A30" s="84">
        <v>12</v>
      </c>
      <c r="B30" s="13" t="s">
        <v>118</v>
      </c>
      <c r="C30" s="95" t="s">
        <v>45</v>
      </c>
      <c r="D30" s="36"/>
      <c r="E30" s="42" t="str">
        <f t="shared" si="4"/>
        <v/>
      </c>
      <c r="F30" s="36"/>
      <c r="G30" s="42" t="str">
        <f t="shared" si="5"/>
        <v/>
      </c>
      <c r="H30" s="36"/>
      <c r="I30" s="42" t="str">
        <f t="shared" si="6"/>
        <v/>
      </c>
      <c r="J30" s="36"/>
      <c r="K30" s="42" t="str">
        <f t="shared" si="7"/>
        <v/>
      </c>
    </row>
    <row r="31" spans="1:11" x14ac:dyDescent="0.25">
      <c r="A31" s="38" t="s">
        <v>47</v>
      </c>
      <c r="B31" s="54"/>
      <c r="C31" s="54"/>
      <c r="D31" s="38"/>
      <c r="E31" s="38"/>
      <c r="F31" s="38"/>
      <c r="G31" s="38"/>
      <c r="H31" s="38"/>
      <c r="I31" s="38"/>
      <c r="J31" s="38"/>
      <c r="K31" s="38"/>
    </row>
    <row r="32" spans="1:11" ht="23.25" x14ac:dyDescent="0.25">
      <c r="A32" s="39" t="s">
        <v>0</v>
      </c>
      <c r="B32" s="39" t="s">
        <v>55</v>
      </c>
      <c r="C32" s="39" t="s">
        <v>56</v>
      </c>
      <c r="D32" s="55" t="s">
        <v>8</v>
      </c>
      <c r="E32" s="39" t="s">
        <v>81</v>
      </c>
      <c r="F32" s="55" t="s">
        <v>8</v>
      </c>
      <c r="G32" s="39" t="s">
        <v>81</v>
      </c>
      <c r="H32" s="55" t="s">
        <v>8</v>
      </c>
      <c r="I32" s="39" t="s">
        <v>81</v>
      </c>
      <c r="J32" s="55" t="s">
        <v>8</v>
      </c>
      <c r="K32" s="39" t="s">
        <v>81</v>
      </c>
    </row>
    <row r="33" spans="1:11" x14ac:dyDescent="0.25">
      <c r="A33" s="3">
        <v>1</v>
      </c>
      <c r="B33" s="13" t="s">
        <v>118</v>
      </c>
      <c r="C33" s="13" t="s">
        <v>47</v>
      </c>
      <c r="D33" s="36"/>
      <c r="E33" s="42" t="str">
        <f t="shared" ref="E33:E42" si="8">IF(D33&gt;0,VLOOKUP(D33,Jumpers,3)&amp;", "&amp;VLOOKUP(D33,Jumpers,2)&amp;" ("&amp;VLOOKUP(D33,Jumpers,7)&amp;")","")</f>
        <v/>
      </c>
      <c r="F33" s="36"/>
      <c r="G33" s="42" t="str">
        <f t="shared" ref="G33:G42" si="9">IF(F33&gt;0,VLOOKUP(F33,Jumpers,3)&amp;", "&amp;VLOOKUP(F33,Jumpers,2)&amp;" ("&amp;VLOOKUP(F33,Jumpers,7)&amp;")","")</f>
        <v/>
      </c>
      <c r="H33" s="36"/>
      <c r="I33" s="42" t="str">
        <f t="shared" ref="I33:I42" si="10">IF(H33&gt;0,VLOOKUP(H33,Jumpers,3)&amp;", "&amp;VLOOKUP(H33,Jumpers,2)&amp;" ("&amp;VLOOKUP(H33,Jumpers,7)&amp;")","")</f>
        <v/>
      </c>
      <c r="J33" s="36"/>
      <c r="K33" s="42" t="str">
        <f t="shared" ref="K33:K42" si="11">IF(J33&gt;0,VLOOKUP(J33,Jumpers,3)&amp;", "&amp;VLOOKUP(J33,Jumpers,2)&amp;" ("&amp;VLOOKUP(J33,Jumpers,7)&amp;")","")</f>
        <v/>
      </c>
    </row>
    <row r="34" spans="1:11" x14ac:dyDescent="0.25">
      <c r="A34" s="3">
        <v>2</v>
      </c>
      <c r="B34" s="13" t="s">
        <v>118</v>
      </c>
      <c r="C34" s="13" t="s">
        <v>47</v>
      </c>
      <c r="D34" s="36"/>
      <c r="E34" s="42" t="str">
        <f t="shared" si="8"/>
        <v/>
      </c>
      <c r="F34" s="36"/>
      <c r="G34" s="42" t="str">
        <f t="shared" si="9"/>
        <v/>
      </c>
      <c r="H34" s="36"/>
      <c r="I34" s="42" t="str">
        <f t="shared" si="10"/>
        <v/>
      </c>
      <c r="J34" s="36"/>
      <c r="K34" s="42" t="str">
        <f t="shared" si="11"/>
        <v/>
      </c>
    </row>
    <row r="35" spans="1:11" x14ac:dyDescent="0.25">
      <c r="A35" s="3">
        <v>3</v>
      </c>
      <c r="B35" s="13" t="s">
        <v>118</v>
      </c>
      <c r="C35" s="13" t="s">
        <v>47</v>
      </c>
      <c r="D35" s="36"/>
      <c r="E35" s="42" t="str">
        <f t="shared" si="8"/>
        <v/>
      </c>
      <c r="F35" s="36"/>
      <c r="G35" s="42" t="str">
        <f t="shared" si="9"/>
        <v/>
      </c>
      <c r="H35" s="36"/>
      <c r="I35" s="42" t="str">
        <f t="shared" si="10"/>
        <v/>
      </c>
      <c r="J35" s="36"/>
      <c r="K35" s="42" t="str">
        <f t="shared" si="11"/>
        <v/>
      </c>
    </row>
    <row r="36" spans="1:11" x14ac:dyDescent="0.25">
      <c r="A36" s="3">
        <v>4</v>
      </c>
      <c r="B36" s="13" t="s">
        <v>118</v>
      </c>
      <c r="C36" s="13" t="s">
        <v>47</v>
      </c>
      <c r="D36" s="36"/>
      <c r="E36" s="42" t="str">
        <f t="shared" si="8"/>
        <v/>
      </c>
      <c r="F36" s="36"/>
      <c r="G36" s="42" t="str">
        <f t="shared" si="9"/>
        <v/>
      </c>
      <c r="H36" s="36"/>
      <c r="I36" s="42" t="str">
        <f t="shared" si="10"/>
        <v/>
      </c>
      <c r="J36" s="36"/>
      <c r="K36" s="42" t="str">
        <f t="shared" si="11"/>
        <v/>
      </c>
    </row>
    <row r="37" spans="1:11" x14ac:dyDescent="0.25">
      <c r="A37" s="3">
        <v>5</v>
      </c>
      <c r="B37" s="13" t="s">
        <v>118</v>
      </c>
      <c r="C37" s="13" t="s">
        <v>47</v>
      </c>
      <c r="D37" s="36"/>
      <c r="E37" s="42" t="str">
        <f t="shared" si="8"/>
        <v/>
      </c>
      <c r="F37" s="36"/>
      <c r="G37" s="42" t="str">
        <f t="shared" si="9"/>
        <v/>
      </c>
      <c r="H37" s="36"/>
      <c r="I37" s="42" t="str">
        <f t="shared" si="10"/>
        <v/>
      </c>
      <c r="J37" s="36"/>
      <c r="K37" s="42" t="str">
        <f t="shared" si="11"/>
        <v/>
      </c>
    </row>
    <row r="38" spans="1:11" x14ac:dyDescent="0.25">
      <c r="A38" s="3">
        <v>6</v>
      </c>
      <c r="B38" s="13" t="s">
        <v>118</v>
      </c>
      <c r="C38" s="13" t="s">
        <v>47</v>
      </c>
      <c r="D38" s="36"/>
      <c r="E38" s="42" t="str">
        <f t="shared" si="8"/>
        <v/>
      </c>
      <c r="F38" s="36"/>
      <c r="G38" s="42" t="str">
        <f t="shared" si="9"/>
        <v/>
      </c>
      <c r="H38" s="36"/>
      <c r="I38" s="42" t="str">
        <f t="shared" si="10"/>
        <v/>
      </c>
      <c r="J38" s="36"/>
      <c r="K38" s="42" t="str">
        <f t="shared" si="11"/>
        <v/>
      </c>
    </row>
    <row r="39" spans="1:11" x14ac:dyDescent="0.25">
      <c r="A39" s="3">
        <v>7</v>
      </c>
      <c r="B39" s="13" t="s">
        <v>118</v>
      </c>
      <c r="C39" s="13" t="s">
        <v>47</v>
      </c>
      <c r="D39" s="36"/>
      <c r="E39" s="42" t="str">
        <f t="shared" si="8"/>
        <v/>
      </c>
      <c r="F39" s="36"/>
      <c r="G39" s="42" t="str">
        <f t="shared" si="9"/>
        <v/>
      </c>
      <c r="H39" s="36"/>
      <c r="I39" s="42" t="str">
        <f t="shared" si="10"/>
        <v/>
      </c>
      <c r="J39" s="36"/>
      <c r="K39" s="42" t="str">
        <f t="shared" si="11"/>
        <v/>
      </c>
    </row>
    <row r="40" spans="1:11" x14ac:dyDescent="0.25">
      <c r="A40" s="3">
        <v>8</v>
      </c>
      <c r="B40" s="13" t="s">
        <v>118</v>
      </c>
      <c r="C40" s="13" t="s">
        <v>47</v>
      </c>
      <c r="D40" s="36"/>
      <c r="E40" s="42" t="str">
        <f t="shared" si="8"/>
        <v/>
      </c>
      <c r="F40" s="36"/>
      <c r="G40" s="42" t="str">
        <f t="shared" si="9"/>
        <v/>
      </c>
      <c r="H40" s="36"/>
      <c r="I40" s="42" t="str">
        <f t="shared" si="10"/>
        <v/>
      </c>
      <c r="J40" s="36"/>
      <c r="K40" s="42" t="str">
        <f t="shared" si="11"/>
        <v/>
      </c>
    </row>
    <row r="41" spans="1:11" x14ac:dyDescent="0.25">
      <c r="A41" s="3">
        <v>9</v>
      </c>
      <c r="B41" s="13" t="s">
        <v>118</v>
      </c>
      <c r="C41" s="13" t="s">
        <v>47</v>
      </c>
      <c r="D41" s="36"/>
      <c r="E41" s="42" t="str">
        <f t="shared" si="8"/>
        <v/>
      </c>
      <c r="F41" s="36"/>
      <c r="G41" s="42" t="str">
        <f t="shared" si="9"/>
        <v/>
      </c>
      <c r="H41" s="36"/>
      <c r="I41" s="42" t="str">
        <f t="shared" si="10"/>
        <v/>
      </c>
      <c r="J41" s="36"/>
      <c r="K41" s="42" t="str">
        <f t="shared" si="11"/>
        <v/>
      </c>
    </row>
    <row r="42" spans="1:11" x14ac:dyDescent="0.25">
      <c r="A42" s="3">
        <v>10</v>
      </c>
      <c r="B42" s="13" t="s">
        <v>118</v>
      </c>
      <c r="C42" s="13" t="s">
        <v>47</v>
      </c>
      <c r="D42" s="36"/>
      <c r="E42" s="42" t="str">
        <f t="shared" si="8"/>
        <v/>
      </c>
      <c r="F42" s="36"/>
      <c r="G42" s="42" t="str">
        <f t="shared" si="9"/>
        <v/>
      </c>
      <c r="H42" s="36"/>
      <c r="I42" s="42" t="str">
        <f t="shared" si="10"/>
        <v/>
      </c>
      <c r="J42" s="36"/>
      <c r="K42" s="42" t="str">
        <f t="shared" si="11"/>
        <v/>
      </c>
    </row>
    <row r="43" spans="1:11" x14ac:dyDescent="0.25">
      <c r="A43" s="38" t="s">
        <v>48</v>
      </c>
      <c r="B43" s="54"/>
      <c r="C43" s="54"/>
      <c r="D43" s="38"/>
      <c r="E43" s="38"/>
      <c r="F43" s="38"/>
      <c r="G43" s="38"/>
      <c r="H43" s="38"/>
      <c r="I43" s="38"/>
      <c r="J43" s="38"/>
      <c r="K43" s="38"/>
    </row>
    <row r="44" spans="1:11" ht="23.25" x14ac:dyDescent="0.25">
      <c r="A44" s="39" t="s">
        <v>0</v>
      </c>
      <c r="B44" s="39" t="s">
        <v>55</v>
      </c>
      <c r="C44" s="39" t="s">
        <v>56</v>
      </c>
      <c r="D44" s="55" t="s">
        <v>8</v>
      </c>
      <c r="E44" s="39" t="s">
        <v>81</v>
      </c>
      <c r="F44" s="55" t="s">
        <v>8</v>
      </c>
      <c r="G44" s="39" t="s">
        <v>81</v>
      </c>
      <c r="H44" s="55" t="s">
        <v>8</v>
      </c>
      <c r="I44" s="39" t="s">
        <v>81</v>
      </c>
      <c r="J44" s="55" t="s">
        <v>8</v>
      </c>
      <c r="K44" s="39" t="s">
        <v>81</v>
      </c>
    </row>
    <row r="45" spans="1:11" x14ac:dyDescent="0.25">
      <c r="A45" s="3">
        <v>1</v>
      </c>
      <c r="B45" s="13" t="s">
        <v>118</v>
      </c>
      <c r="C45" s="13" t="s">
        <v>48</v>
      </c>
      <c r="D45" s="36"/>
      <c r="E45" s="42" t="str">
        <f t="shared" ref="E45:E52" si="12">IF(D45&gt;0,VLOOKUP(D45,Jumpers,3)&amp;", "&amp;VLOOKUP(D45,Jumpers,2)&amp;" ("&amp;VLOOKUP(D45,Jumpers,7)&amp;")","")</f>
        <v/>
      </c>
      <c r="F45" s="36"/>
      <c r="G45" s="42" t="str">
        <f t="shared" ref="G45:G52" si="13">IF(F45&gt;0,VLOOKUP(F45,Jumpers,3)&amp;", "&amp;VLOOKUP(F45,Jumpers,2)&amp;" ("&amp;VLOOKUP(F45,Jumpers,7)&amp;")","")</f>
        <v/>
      </c>
      <c r="H45" s="36"/>
      <c r="I45" s="42" t="str">
        <f t="shared" ref="I45:I52" si="14">IF(H45&gt;0,VLOOKUP(H45,Jumpers,3)&amp;", "&amp;VLOOKUP(H45,Jumpers,2)&amp;" ("&amp;VLOOKUP(H45,Jumpers,7)&amp;")","")</f>
        <v/>
      </c>
      <c r="J45" s="36"/>
      <c r="K45" s="42" t="str">
        <f t="shared" ref="K45:K52" si="15">IF(J45&gt;0,VLOOKUP(J45,Jumpers,3)&amp;", "&amp;VLOOKUP(J45,Jumpers,2)&amp;" ("&amp;VLOOKUP(J45,Jumpers,7)&amp;")","")</f>
        <v/>
      </c>
    </row>
    <row r="46" spans="1:11" x14ac:dyDescent="0.25">
      <c r="A46" s="3">
        <v>2</v>
      </c>
      <c r="B46" s="13" t="s">
        <v>118</v>
      </c>
      <c r="C46" s="13" t="s">
        <v>48</v>
      </c>
      <c r="D46" s="36"/>
      <c r="E46" s="42" t="str">
        <f t="shared" si="12"/>
        <v/>
      </c>
      <c r="F46" s="36"/>
      <c r="G46" s="42" t="str">
        <f t="shared" si="13"/>
        <v/>
      </c>
      <c r="H46" s="36"/>
      <c r="I46" s="42" t="str">
        <f t="shared" si="14"/>
        <v/>
      </c>
      <c r="J46" s="36"/>
      <c r="K46" s="42" t="str">
        <f t="shared" si="15"/>
        <v/>
      </c>
    </row>
    <row r="47" spans="1:11" x14ac:dyDescent="0.25">
      <c r="A47" s="3">
        <v>3</v>
      </c>
      <c r="B47" s="13" t="s">
        <v>118</v>
      </c>
      <c r="C47" s="13" t="s">
        <v>48</v>
      </c>
      <c r="D47" s="36"/>
      <c r="E47" s="42" t="str">
        <f t="shared" si="12"/>
        <v/>
      </c>
      <c r="F47" s="36"/>
      <c r="G47" s="42" t="str">
        <f t="shared" si="13"/>
        <v/>
      </c>
      <c r="H47" s="36"/>
      <c r="I47" s="42" t="str">
        <f t="shared" si="14"/>
        <v/>
      </c>
      <c r="J47" s="36"/>
      <c r="K47" s="42" t="str">
        <f t="shared" si="15"/>
        <v/>
      </c>
    </row>
    <row r="48" spans="1:11" x14ac:dyDescent="0.25">
      <c r="A48" s="3">
        <v>4</v>
      </c>
      <c r="B48" s="13" t="s">
        <v>118</v>
      </c>
      <c r="C48" s="13" t="s">
        <v>48</v>
      </c>
      <c r="D48" s="36"/>
      <c r="E48" s="42" t="str">
        <f t="shared" si="12"/>
        <v/>
      </c>
      <c r="F48" s="36"/>
      <c r="G48" s="42" t="str">
        <f t="shared" si="13"/>
        <v/>
      </c>
      <c r="H48" s="36"/>
      <c r="I48" s="42" t="str">
        <f t="shared" si="14"/>
        <v/>
      </c>
      <c r="J48" s="36"/>
      <c r="K48" s="42" t="str">
        <f t="shared" si="15"/>
        <v/>
      </c>
    </row>
    <row r="49" spans="1:11" x14ac:dyDescent="0.25">
      <c r="A49" s="3">
        <v>5</v>
      </c>
      <c r="B49" s="13" t="s">
        <v>118</v>
      </c>
      <c r="C49" s="13" t="s">
        <v>48</v>
      </c>
      <c r="D49" s="36"/>
      <c r="E49" s="42" t="str">
        <f t="shared" si="12"/>
        <v/>
      </c>
      <c r="F49" s="36"/>
      <c r="G49" s="42" t="str">
        <f t="shared" si="13"/>
        <v/>
      </c>
      <c r="H49" s="36"/>
      <c r="I49" s="42" t="str">
        <f t="shared" si="14"/>
        <v/>
      </c>
      <c r="J49" s="36"/>
      <c r="K49" s="42" t="str">
        <f t="shared" si="15"/>
        <v/>
      </c>
    </row>
    <row r="50" spans="1:11" x14ac:dyDescent="0.25">
      <c r="A50" s="3">
        <v>6</v>
      </c>
      <c r="B50" s="13" t="s">
        <v>118</v>
      </c>
      <c r="C50" s="13" t="s">
        <v>48</v>
      </c>
      <c r="D50" s="36"/>
      <c r="E50" s="42" t="str">
        <f t="shared" si="12"/>
        <v/>
      </c>
      <c r="F50" s="36"/>
      <c r="G50" s="42" t="str">
        <f t="shared" si="13"/>
        <v/>
      </c>
      <c r="H50" s="36"/>
      <c r="I50" s="42" t="str">
        <f t="shared" si="14"/>
        <v/>
      </c>
      <c r="J50" s="36"/>
      <c r="K50" s="42" t="str">
        <f t="shared" si="15"/>
        <v/>
      </c>
    </row>
    <row r="51" spans="1:11" x14ac:dyDescent="0.25">
      <c r="A51" s="3">
        <v>7</v>
      </c>
      <c r="B51" s="13" t="s">
        <v>118</v>
      </c>
      <c r="C51" s="13" t="s">
        <v>48</v>
      </c>
      <c r="D51" s="36"/>
      <c r="E51" s="42" t="str">
        <f t="shared" si="12"/>
        <v/>
      </c>
      <c r="F51" s="36"/>
      <c r="G51" s="42" t="str">
        <f t="shared" si="13"/>
        <v/>
      </c>
      <c r="H51" s="36"/>
      <c r="I51" s="42" t="str">
        <f t="shared" si="14"/>
        <v/>
      </c>
      <c r="J51" s="36"/>
      <c r="K51" s="42" t="str">
        <f t="shared" si="15"/>
        <v/>
      </c>
    </row>
    <row r="52" spans="1:11" x14ac:dyDescent="0.25">
      <c r="A52" s="3">
        <v>8</v>
      </c>
      <c r="B52" s="13" t="s">
        <v>118</v>
      </c>
      <c r="C52" s="13" t="s">
        <v>48</v>
      </c>
      <c r="D52" s="36"/>
      <c r="E52" s="42" t="str">
        <f t="shared" si="12"/>
        <v/>
      </c>
      <c r="F52" s="36"/>
      <c r="G52" s="42" t="str">
        <f t="shared" si="13"/>
        <v/>
      </c>
      <c r="H52" s="36"/>
      <c r="I52" s="42" t="str">
        <f t="shared" si="14"/>
        <v/>
      </c>
      <c r="J52" s="36"/>
      <c r="K52" s="42" t="str">
        <f t="shared" si="15"/>
        <v/>
      </c>
    </row>
    <row r="53" spans="1:11" x14ac:dyDescent="0.25">
      <c r="A53" s="38" t="s">
        <v>83</v>
      </c>
      <c r="B53" s="54"/>
      <c r="C53" s="54"/>
      <c r="D53" s="38"/>
      <c r="E53" s="38"/>
      <c r="F53" s="38"/>
      <c r="G53" s="38"/>
      <c r="H53" s="38"/>
      <c r="I53" s="38"/>
      <c r="J53" s="38"/>
      <c r="K53" s="38"/>
    </row>
    <row r="54" spans="1:11" ht="23.25" x14ac:dyDescent="0.25">
      <c r="A54" s="39" t="s">
        <v>0</v>
      </c>
      <c r="B54" s="39" t="s">
        <v>55</v>
      </c>
      <c r="C54" s="39" t="s">
        <v>56</v>
      </c>
      <c r="D54" s="55" t="s">
        <v>8</v>
      </c>
      <c r="E54" s="39" t="s">
        <v>81</v>
      </c>
      <c r="F54" s="55" t="s">
        <v>8</v>
      </c>
      <c r="G54" s="39" t="s">
        <v>81</v>
      </c>
      <c r="H54" s="55" t="s">
        <v>8</v>
      </c>
      <c r="I54" s="39" t="s">
        <v>81</v>
      </c>
      <c r="J54" s="55" t="s">
        <v>8</v>
      </c>
      <c r="K54" s="39" t="s">
        <v>81</v>
      </c>
    </row>
    <row r="55" spans="1:11" x14ac:dyDescent="0.25">
      <c r="A55" s="3">
        <v>1</v>
      </c>
      <c r="B55" s="13" t="s">
        <v>118</v>
      </c>
      <c r="C55" s="13" t="s">
        <v>141</v>
      </c>
      <c r="D55" s="36"/>
      <c r="E55" s="42" t="str">
        <f t="shared" ref="E55:E62" si="16">IF(D55&gt;0,VLOOKUP(D55,Jumpers,3)&amp;", "&amp;VLOOKUP(D55,Jumpers,2)&amp;" ("&amp;VLOOKUP(D55,Jumpers,7)&amp;")","")</f>
        <v/>
      </c>
      <c r="F55" s="36"/>
      <c r="G55" s="42" t="str">
        <f t="shared" ref="G55:G62" si="17">IF(F55&gt;0,VLOOKUP(F55,Jumpers,3)&amp;", "&amp;VLOOKUP(F55,Jumpers,2)&amp;" ("&amp;VLOOKUP(F55,Jumpers,7)&amp;")","")</f>
        <v/>
      </c>
      <c r="H55" s="36"/>
      <c r="I55" s="42" t="str">
        <f t="shared" ref="I55:I62" si="18">IF(H55&gt;0,VLOOKUP(H55,Jumpers,3)&amp;", "&amp;VLOOKUP(H55,Jumpers,2)&amp;" ("&amp;VLOOKUP(H55,Jumpers,7)&amp;")","")</f>
        <v/>
      </c>
      <c r="J55" s="36"/>
      <c r="K55" s="42" t="str">
        <f t="shared" ref="K55:K62" si="19">IF(J55&gt;0,VLOOKUP(J55,Jumpers,3)&amp;", "&amp;VLOOKUP(J55,Jumpers,2)&amp;" ("&amp;VLOOKUP(J55,Jumpers,7)&amp;")","")</f>
        <v/>
      </c>
    </row>
    <row r="56" spans="1:11" x14ac:dyDescent="0.25">
      <c r="A56" s="3">
        <v>2</v>
      </c>
      <c r="B56" s="13" t="s">
        <v>118</v>
      </c>
      <c r="C56" s="13" t="s">
        <v>141</v>
      </c>
      <c r="D56" s="36"/>
      <c r="E56" s="42" t="str">
        <f t="shared" si="16"/>
        <v/>
      </c>
      <c r="F56" s="36"/>
      <c r="G56" s="42" t="str">
        <f t="shared" si="17"/>
        <v/>
      </c>
      <c r="H56" s="36"/>
      <c r="I56" s="42" t="str">
        <f t="shared" si="18"/>
        <v/>
      </c>
      <c r="J56" s="36"/>
      <c r="K56" s="42" t="str">
        <f t="shared" si="19"/>
        <v/>
      </c>
    </row>
    <row r="57" spans="1:11" x14ac:dyDescent="0.25">
      <c r="A57" s="3">
        <v>3</v>
      </c>
      <c r="B57" s="13" t="s">
        <v>118</v>
      </c>
      <c r="C57" s="13" t="s">
        <v>141</v>
      </c>
      <c r="D57" s="36"/>
      <c r="E57" s="42" t="str">
        <f t="shared" si="16"/>
        <v/>
      </c>
      <c r="F57" s="36"/>
      <c r="G57" s="42" t="str">
        <f t="shared" si="17"/>
        <v/>
      </c>
      <c r="H57" s="36"/>
      <c r="I57" s="42" t="str">
        <f t="shared" si="18"/>
        <v/>
      </c>
      <c r="J57" s="36"/>
      <c r="K57" s="42" t="str">
        <f t="shared" si="19"/>
        <v/>
      </c>
    </row>
    <row r="58" spans="1:11" x14ac:dyDescent="0.25">
      <c r="A58" s="3">
        <v>4</v>
      </c>
      <c r="B58" s="13" t="s">
        <v>118</v>
      </c>
      <c r="C58" s="13" t="s">
        <v>141</v>
      </c>
      <c r="D58" s="36"/>
      <c r="E58" s="42" t="str">
        <f t="shared" si="16"/>
        <v/>
      </c>
      <c r="F58" s="36"/>
      <c r="G58" s="42" t="str">
        <f t="shared" si="17"/>
        <v/>
      </c>
      <c r="H58" s="36"/>
      <c r="I58" s="42" t="str">
        <f t="shared" si="18"/>
        <v/>
      </c>
      <c r="J58" s="36"/>
      <c r="K58" s="42" t="str">
        <f t="shared" si="19"/>
        <v/>
      </c>
    </row>
    <row r="59" spans="1:11" x14ac:dyDescent="0.25">
      <c r="A59" s="3">
        <v>5</v>
      </c>
      <c r="B59" s="13" t="s">
        <v>118</v>
      </c>
      <c r="C59" s="13" t="s">
        <v>141</v>
      </c>
      <c r="D59" s="36"/>
      <c r="E59" s="42" t="str">
        <f t="shared" si="16"/>
        <v/>
      </c>
      <c r="F59" s="36"/>
      <c r="G59" s="42" t="str">
        <f t="shared" si="17"/>
        <v/>
      </c>
      <c r="H59" s="36"/>
      <c r="I59" s="42" t="str">
        <f t="shared" si="18"/>
        <v/>
      </c>
      <c r="J59" s="36"/>
      <c r="K59" s="42" t="str">
        <f t="shared" si="19"/>
        <v/>
      </c>
    </row>
    <row r="60" spans="1:11" x14ac:dyDescent="0.25">
      <c r="A60" s="3">
        <v>6</v>
      </c>
      <c r="B60" s="13" t="s">
        <v>118</v>
      </c>
      <c r="C60" s="13" t="s">
        <v>141</v>
      </c>
      <c r="D60" s="36"/>
      <c r="E60" s="42" t="str">
        <f t="shared" si="16"/>
        <v/>
      </c>
      <c r="F60" s="36"/>
      <c r="G60" s="42" t="str">
        <f t="shared" si="17"/>
        <v/>
      </c>
      <c r="H60" s="36"/>
      <c r="I60" s="42" t="str">
        <f t="shared" si="18"/>
        <v/>
      </c>
      <c r="J60" s="36"/>
      <c r="K60" s="42" t="str">
        <f t="shared" si="19"/>
        <v/>
      </c>
    </row>
    <row r="61" spans="1:11" x14ac:dyDescent="0.25">
      <c r="A61" s="3">
        <v>7</v>
      </c>
      <c r="B61" s="13" t="s">
        <v>118</v>
      </c>
      <c r="C61" s="13" t="s">
        <v>141</v>
      </c>
      <c r="D61" s="36"/>
      <c r="E61" s="42" t="str">
        <f t="shared" si="16"/>
        <v/>
      </c>
      <c r="F61" s="36"/>
      <c r="G61" s="42" t="str">
        <f t="shared" si="17"/>
        <v/>
      </c>
      <c r="H61" s="36"/>
      <c r="I61" s="42" t="str">
        <f t="shared" si="18"/>
        <v/>
      </c>
      <c r="J61" s="36"/>
      <c r="K61" s="42" t="str">
        <f t="shared" si="19"/>
        <v/>
      </c>
    </row>
    <row r="62" spans="1:11" x14ac:dyDescent="0.25">
      <c r="A62" s="3">
        <v>8</v>
      </c>
      <c r="B62" s="13" t="s">
        <v>118</v>
      </c>
      <c r="C62" s="13" t="s">
        <v>141</v>
      </c>
      <c r="D62" s="36"/>
      <c r="E62" s="42" t="str">
        <f t="shared" si="16"/>
        <v/>
      </c>
      <c r="F62" s="36"/>
      <c r="G62" s="42" t="str">
        <f t="shared" si="17"/>
        <v/>
      </c>
      <c r="H62" s="36"/>
      <c r="I62" s="42" t="str">
        <f t="shared" si="18"/>
        <v/>
      </c>
      <c r="J62" s="36"/>
      <c r="K62" s="42" t="str">
        <f t="shared" si="19"/>
        <v/>
      </c>
    </row>
    <row r="63" spans="1:11" x14ac:dyDescent="0.25">
      <c r="A63" s="38" t="s">
        <v>84</v>
      </c>
      <c r="B63" s="54"/>
      <c r="C63" s="54"/>
      <c r="D63" s="38"/>
      <c r="E63" s="38"/>
      <c r="F63" s="38"/>
      <c r="G63" s="38"/>
      <c r="H63" s="38"/>
      <c r="I63" s="38"/>
      <c r="J63" s="38"/>
      <c r="K63" s="38"/>
    </row>
    <row r="64" spans="1:11" ht="23.25" x14ac:dyDescent="0.25">
      <c r="A64" s="39" t="s">
        <v>0</v>
      </c>
      <c r="B64" s="39" t="s">
        <v>55</v>
      </c>
      <c r="C64" s="39" t="s">
        <v>56</v>
      </c>
      <c r="D64" s="55" t="s">
        <v>8</v>
      </c>
      <c r="E64" s="39" t="s">
        <v>81</v>
      </c>
      <c r="F64" s="55" t="s">
        <v>8</v>
      </c>
      <c r="G64" s="39" t="s">
        <v>81</v>
      </c>
      <c r="H64" s="55" t="s">
        <v>8</v>
      </c>
      <c r="I64" s="39" t="s">
        <v>81</v>
      </c>
      <c r="J64" s="55" t="s">
        <v>8</v>
      </c>
      <c r="K64" s="39" t="s">
        <v>81</v>
      </c>
    </row>
    <row r="65" spans="1:11" x14ac:dyDescent="0.25">
      <c r="A65" s="3">
        <v>1</v>
      </c>
      <c r="B65" s="13" t="s">
        <v>118</v>
      </c>
      <c r="C65" s="13" t="s">
        <v>142</v>
      </c>
      <c r="D65" s="36"/>
      <c r="E65" s="42" t="str">
        <f t="shared" ref="E65:E72" si="20">IF(D65&gt;0,VLOOKUP(D65,Jumpers,3)&amp;", "&amp;VLOOKUP(D65,Jumpers,2)&amp;" ("&amp;VLOOKUP(D65,Jumpers,7)&amp;")","")</f>
        <v/>
      </c>
      <c r="F65" s="36"/>
      <c r="G65" s="42" t="str">
        <f t="shared" ref="G65:G72" si="21">IF(F65&gt;0,VLOOKUP(F65,Jumpers,3)&amp;", "&amp;VLOOKUP(F65,Jumpers,2)&amp;" ("&amp;VLOOKUP(F65,Jumpers,7)&amp;")","")</f>
        <v/>
      </c>
      <c r="H65" s="36"/>
      <c r="I65" s="42" t="str">
        <f t="shared" ref="I65:I72" si="22">IF(H65&gt;0,VLOOKUP(H65,Jumpers,3)&amp;", "&amp;VLOOKUP(H65,Jumpers,2)&amp;" ("&amp;VLOOKUP(H65,Jumpers,7)&amp;")","")</f>
        <v/>
      </c>
      <c r="J65" s="36"/>
      <c r="K65" s="42" t="str">
        <f t="shared" ref="K65:K72" si="23">IF(J65&gt;0,VLOOKUP(J65,Jumpers,3)&amp;", "&amp;VLOOKUP(J65,Jumpers,2)&amp;" ("&amp;VLOOKUP(J65,Jumpers,7)&amp;")","")</f>
        <v/>
      </c>
    </row>
    <row r="66" spans="1:11" x14ac:dyDescent="0.25">
      <c r="A66" s="3">
        <v>2</v>
      </c>
      <c r="B66" s="13" t="s">
        <v>118</v>
      </c>
      <c r="C66" s="13" t="s">
        <v>142</v>
      </c>
      <c r="D66" s="36"/>
      <c r="E66" s="42" t="str">
        <f t="shared" si="20"/>
        <v/>
      </c>
      <c r="F66" s="36"/>
      <c r="G66" s="42" t="str">
        <f t="shared" si="21"/>
        <v/>
      </c>
      <c r="H66" s="36"/>
      <c r="I66" s="42" t="str">
        <f t="shared" si="22"/>
        <v/>
      </c>
      <c r="J66" s="36"/>
      <c r="K66" s="42" t="str">
        <f t="shared" si="23"/>
        <v/>
      </c>
    </row>
    <row r="67" spans="1:11" x14ac:dyDescent="0.25">
      <c r="A67" s="3">
        <v>3</v>
      </c>
      <c r="B67" s="13" t="s">
        <v>118</v>
      </c>
      <c r="C67" s="13" t="s">
        <v>142</v>
      </c>
      <c r="D67" s="36"/>
      <c r="E67" s="42" t="str">
        <f t="shared" si="20"/>
        <v/>
      </c>
      <c r="F67" s="36"/>
      <c r="G67" s="42" t="str">
        <f t="shared" si="21"/>
        <v/>
      </c>
      <c r="H67" s="36"/>
      <c r="I67" s="42" t="str">
        <f t="shared" si="22"/>
        <v/>
      </c>
      <c r="J67" s="36"/>
      <c r="K67" s="42" t="str">
        <f t="shared" si="23"/>
        <v/>
      </c>
    </row>
    <row r="68" spans="1:11" x14ac:dyDescent="0.25">
      <c r="A68" s="3">
        <v>4</v>
      </c>
      <c r="B68" s="13" t="s">
        <v>118</v>
      </c>
      <c r="C68" s="13" t="s">
        <v>142</v>
      </c>
      <c r="D68" s="36"/>
      <c r="E68" s="42" t="str">
        <f t="shared" si="20"/>
        <v/>
      </c>
      <c r="F68" s="36"/>
      <c r="G68" s="42" t="str">
        <f t="shared" si="21"/>
        <v/>
      </c>
      <c r="H68" s="36"/>
      <c r="I68" s="42" t="str">
        <f t="shared" si="22"/>
        <v/>
      </c>
      <c r="J68" s="36"/>
      <c r="K68" s="42" t="str">
        <f t="shared" si="23"/>
        <v/>
      </c>
    </row>
    <row r="69" spans="1:11" x14ac:dyDescent="0.25">
      <c r="A69" s="3">
        <v>5</v>
      </c>
      <c r="B69" s="13" t="s">
        <v>118</v>
      </c>
      <c r="C69" s="13" t="s">
        <v>142</v>
      </c>
      <c r="D69" s="36"/>
      <c r="E69" s="42" t="str">
        <f t="shared" si="20"/>
        <v/>
      </c>
      <c r="F69" s="36"/>
      <c r="G69" s="42" t="str">
        <f t="shared" si="21"/>
        <v/>
      </c>
      <c r="H69" s="36"/>
      <c r="I69" s="42" t="str">
        <f t="shared" si="22"/>
        <v/>
      </c>
      <c r="J69" s="36"/>
      <c r="K69" s="42" t="str">
        <f t="shared" si="23"/>
        <v/>
      </c>
    </row>
    <row r="70" spans="1:11" x14ac:dyDescent="0.25">
      <c r="A70" s="3">
        <v>6</v>
      </c>
      <c r="B70" s="13" t="s">
        <v>118</v>
      </c>
      <c r="C70" s="13" t="s">
        <v>142</v>
      </c>
      <c r="D70" s="36"/>
      <c r="E70" s="42" t="str">
        <f t="shared" si="20"/>
        <v/>
      </c>
      <c r="F70" s="36"/>
      <c r="G70" s="42" t="str">
        <f t="shared" si="21"/>
        <v/>
      </c>
      <c r="H70" s="36"/>
      <c r="I70" s="42" t="str">
        <f t="shared" si="22"/>
        <v/>
      </c>
      <c r="J70" s="36"/>
      <c r="K70" s="42" t="str">
        <f t="shared" si="23"/>
        <v/>
      </c>
    </row>
    <row r="71" spans="1:11" x14ac:dyDescent="0.25">
      <c r="A71" s="3">
        <v>7</v>
      </c>
      <c r="B71" s="13" t="s">
        <v>118</v>
      </c>
      <c r="C71" s="13" t="s">
        <v>142</v>
      </c>
      <c r="D71" s="36"/>
      <c r="E71" s="42" t="str">
        <f t="shared" si="20"/>
        <v/>
      </c>
      <c r="F71" s="36"/>
      <c r="G71" s="42" t="str">
        <f t="shared" si="21"/>
        <v/>
      </c>
      <c r="H71" s="36"/>
      <c r="I71" s="42" t="str">
        <f t="shared" si="22"/>
        <v/>
      </c>
      <c r="J71" s="36"/>
      <c r="K71" s="42" t="str">
        <f t="shared" si="23"/>
        <v/>
      </c>
    </row>
    <row r="72" spans="1:11" x14ac:dyDescent="0.25">
      <c r="A72" s="3">
        <v>8</v>
      </c>
      <c r="B72" s="13" t="s">
        <v>118</v>
      </c>
      <c r="C72" s="13" t="s">
        <v>142</v>
      </c>
      <c r="D72" s="36"/>
      <c r="E72" s="42" t="str">
        <f t="shared" si="20"/>
        <v/>
      </c>
      <c r="F72" s="36"/>
      <c r="G72" s="42" t="str">
        <f t="shared" si="21"/>
        <v/>
      </c>
      <c r="H72" s="36"/>
      <c r="I72" s="42" t="str">
        <f t="shared" si="22"/>
        <v/>
      </c>
      <c r="J72" s="36"/>
      <c r="K72" s="42" t="str">
        <f t="shared" si="23"/>
        <v/>
      </c>
    </row>
  </sheetData>
  <sheetProtection password="CE88" sheet="1" objects="1" scenarios="1" selectLockedCells="1"/>
  <phoneticPr fontId="23" type="noConversion"/>
  <conditionalFormatting sqref="D5:D16 F5:F16 H5:H16 J5:J16">
    <cfRule type="expression" dxfId="84" priority="15" stopIfTrue="1">
      <formula>AND(D5&lt;&gt;"",COUNTIF($D$5:$J$72,D5)&gt;1)</formula>
    </cfRule>
    <cfRule type="expression" dxfId="83" priority="16" stopIfTrue="1">
      <formula>OR(CODE(D5)&lt;48,CODE(D5)&gt;57)</formula>
    </cfRule>
    <cfRule type="expression" dxfId="82" priority="17" stopIfTrue="1">
      <formula>VLOOKUP(D5,Jumpers,7)&gt;10</formula>
    </cfRule>
  </conditionalFormatting>
  <conditionalFormatting sqref="D19:D30 F19:F30 H19:H30 J19:J30">
    <cfRule type="expression" dxfId="81" priority="12" stopIfTrue="1">
      <formula>AND(D19&lt;&gt;"",COUNTIF($D$5:$J$72,D19)&gt;1)</formula>
    </cfRule>
    <cfRule type="expression" dxfId="80" priority="13" stopIfTrue="1">
      <formula>OR(CODE(D19)&lt;48,CODE(D19)&gt;57)</formula>
    </cfRule>
    <cfRule type="expression" dxfId="79" priority="14" stopIfTrue="1">
      <formula>VLOOKUP(D19,Jumpers,7)&gt;12</formula>
    </cfRule>
  </conditionalFormatting>
  <conditionalFormatting sqref="D33:D42 F33:F42 H33:H42 J33:J42">
    <cfRule type="expression" dxfId="78" priority="9" stopIfTrue="1">
      <formula>AND(D33&lt;&gt;"",COUNTIF($D$5:$J$72,D33)&gt;1)</formula>
    </cfRule>
    <cfRule type="expression" dxfId="77" priority="10" stopIfTrue="1">
      <formula>OR(CODE(D33)&lt;48,CODE(D33)&gt;57)</formula>
    </cfRule>
    <cfRule type="expression" dxfId="76" priority="11" stopIfTrue="1">
      <formula>VLOOKUP(D33,Jumpers,7)&gt;14</formula>
    </cfRule>
  </conditionalFormatting>
  <conditionalFormatting sqref="D45:D52 F45:F52 H45:H52 J45:J52">
    <cfRule type="expression" dxfId="75" priority="6" stopIfTrue="1">
      <formula>AND(D45&lt;&gt;"",COUNTIF($D$5:$J$72,D45)&gt;1)</formula>
    </cfRule>
    <cfRule type="expression" dxfId="74" priority="7" stopIfTrue="1">
      <formula>OR(CODE(D45)&lt;48,CODE(D45)&gt;57)</formula>
    </cfRule>
    <cfRule type="expression" dxfId="73" priority="8" stopIfTrue="1">
      <formula>VLOOKUP(D45,Jumpers,7)&gt;17</formula>
    </cfRule>
  </conditionalFormatting>
  <conditionalFormatting sqref="D55:D62 F55:F62 H55:H62 J55:J62">
    <cfRule type="expression" dxfId="72" priority="4" stopIfTrue="1">
      <formula>AND(D55&lt;&gt;"",COUNTIF($D$5:$J$72,D55)&gt;1)</formula>
    </cfRule>
    <cfRule type="expression" dxfId="71" priority="5" stopIfTrue="1">
      <formula>OR(CODE(D55)&lt;48,CODE(D55)&gt;57)</formula>
    </cfRule>
  </conditionalFormatting>
  <conditionalFormatting sqref="D65:D72 F65:F72 H65:H72 J65:J72">
    <cfRule type="expression" dxfId="70" priority="1" stopIfTrue="1">
      <formula>AND(D65&lt;&gt;"",COUNTIF($D$5:$J$72,D65)&gt;1)</formula>
    </cfRule>
    <cfRule type="expression" dxfId="69" priority="2" stopIfTrue="1">
      <formula>OR(CODE(D65)&lt;48,CODE(D65)&gt;57)</formula>
    </cfRule>
    <cfRule type="expression" dxfId="68" priority="3" stopIfTrue="1">
      <formula>VLOOKUP(D65,Jumpers,7)&lt;30</formula>
    </cfRule>
  </conditionalFormatting>
  <pageMargins left="0.25" right="0.25" top="0.75" bottom="0.75" header="0.3" footer="0.3"/>
  <pageSetup scale="92" fitToHeight="2" orientation="landscape" horizontalDpi="180" verticalDpi="180"/>
  <headerFooter>
    <oddHeader>&amp;LUSAJR Regional Tournament&amp;R&amp;A</oddHeader>
    <oddFooter>&amp;RPage &amp;P of &amp;N</oddFooter>
  </headerFooter>
  <customProperties>
    <customPr name="DVSECTIONID" r:id="rId1"/>
  </customProperties>
  <extLst>
    <ext xmlns:mx="http://schemas.microsoft.com/office/mac/excel/2008/main" uri="{64002731-A6B0-56B0-2670-7721B7C09600}">
      <mx:PLV Mode="0" OnePage="0" WScale="83"/>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K86"/>
  <sheetViews>
    <sheetView workbookViewId="0">
      <selection activeCell="D6" sqref="D6"/>
    </sheetView>
  </sheetViews>
  <sheetFormatPr defaultColWidth="8.85546875" defaultRowHeight="15" x14ac:dyDescent="0.25"/>
  <cols>
    <col min="1" max="1" width="4.7109375" style="37" customWidth="1"/>
    <col min="2" max="2" width="4.7109375" style="37" bestFit="1" customWidth="1"/>
    <col min="3" max="3" width="7.140625" style="37" bestFit="1" customWidth="1"/>
    <col min="4" max="4" width="8.28515625" style="37" bestFit="1" customWidth="1"/>
    <col min="5" max="5" width="25.7109375" style="37" customWidth="1"/>
    <col min="6" max="6" width="8.28515625" style="37" bestFit="1" customWidth="1"/>
    <col min="7" max="7" width="25.7109375" style="37" customWidth="1"/>
    <col min="8" max="8" width="8.42578125" style="37" customWidth="1"/>
    <col min="9" max="9" width="25.7109375" style="37" customWidth="1"/>
    <col min="10" max="10" width="8.42578125" style="37" customWidth="1"/>
    <col min="11" max="11" width="25.7109375" style="37" customWidth="1"/>
    <col min="12" max="16384" width="8.85546875" style="37"/>
  </cols>
  <sheetData>
    <row r="1" spans="1:11" ht="18.75" x14ac:dyDescent="0.3">
      <c r="A1" s="56" t="s">
        <v>110</v>
      </c>
      <c r="K1" s="43" t="str">
        <f>CONCATENATE("Team: ",'Team Info'!$B$3)</f>
        <v xml:space="preserve">Team: </v>
      </c>
    </row>
    <row r="2" spans="1:11" x14ac:dyDescent="0.25">
      <c r="A2" s="170" t="s">
        <v>135</v>
      </c>
      <c r="B2" s="170"/>
      <c r="C2" s="170"/>
      <c r="D2" s="170"/>
      <c r="E2" s="170"/>
      <c r="F2" s="170"/>
      <c r="G2" s="170"/>
    </row>
    <row r="3" spans="1:11" x14ac:dyDescent="0.25">
      <c r="A3" s="170" t="s">
        <v>136</v>
      </c>
      <c r="B3" s="170"/>
      <c r="C3" s="170"/>
      <c r="D3" s="170"/>
      <c r="E3" s="170"/>
      <c r="F3" s="170"/>
      <c r="G3" s="170"/>
    </row>
    <row r="4" spans="1:11" x14ac:dyDescent="0.25">
      <c r="A4" s="38" t="s">
        <v>9</v>
      </c>
      <c r="B4" s="54"/>
      <c r="C4" s="54"/>
      <c r="D4" s="38"/>
      <c r="E4" s="38"/>
      <c r="F4" s="38"/>
      <c r="G4" s="38"/>
      <c r="H4" s="38"/>
      <c r="I4" s="38"/>
      <c r="J4" s="38"/>
      <c r="K4" s="38"/>
    </row>
    <row r="5" spans="1:11" ht="23.25" x14ac:dyDescent="0.25">
      <c r="A5" s="62" t="s">
        <v>104</v>
      </c>
      <c r="B5" s="39" t="s">
        <v>55</v>
      </c>
      <c r="C5" s="39" t="s">
        <v>56</v>
      </c>
      <c r="D5" s="55" t="s">
        <v>8</v>
      </c>
      <c r="E5" s="39" t="s">
        <v>81</v>
      </c>
      <c r="F5" s="55" t="s">
        <v>8</v>
      </c>
      <c r="G5" s="39" t="s">
        <v>81</v>
      </c>
      <c r="H5" s="55" t="s">
        <v>8</v>
      </c>
      <c r="I5" s="39" t="s">
        <v>81</v>
      </c>
      <c r="J5" s="55" t="s">
        <v>8</v>
      </c>
      <c r="K5" s="39" t="s">
        <v>81</v>
      </c>
    </row>
    <row r="6" spans="1:11" x14ac:dyDescent="0.25">
      <c r="A6" s="52">
        <v>1</v>
      </c>
      <c r="B6" s="63" t="s">
        <v>111</v>
      </c>
      <c r="C6" s="90" t="s">
        <v>44</v>
      </c>
      <c r="D6" s="36"/>
      <c r="E6" s="42" t="str">
        <f t="shared" ref="E6:E17" si="0">IF(D6&gt;0,VLOOKUP(D6,Jumpers,3)&amp;", "&amp;VLOOKUP(D6,Jumpers,2)&amp;" ("&amp;VLOOKUP(D6,Jumpers,7)&amp;")","")</f>
        <v/>
      </c>
      <c r="F6" s="36"/>
      <c r="G6" s="42" t="str">
        <f t="shared" ref="G6:G17" si="1">IF(F6&gt;0,VLOOKUP(F6,Jumpers,3)&amp;", "&amp;VLOOKUP(F6,Jumpers,2)&amp;" ("&amp;VLOOKUP(F6,Jumpers,7)&amp;")","")</f>
        <v/>
      </c>
      <c r="H6" s="36"/>
      <c r="I6" s="42" t="str">
        <f t="shared" ref="I6:I17" si="2">IF(H6&gt;0,VLOOKUP(H6,Jumpers,3)&amp;", "&amp;VLOOKUP(H6,Jumpers,2)&amp;" ("&amp;VLOOKUP(H6,Jumpers,7)&amp;")","")</f>
        <v/>
      </c>
      <c r="J6" s="36"/>
      <c r="K6" s="42" t="str">
        <f t="shared" ref="K6:K17" si="3">IF(J6&gt;0,VLOOKUP(J6,Jumpers,3)&amp;", "&amp;VLOOKUP(J6,Jumpers,2)&amp;" ("&amp;VLOOKUP(J6,Jumpers,7)&amp;")","")</f>
        <v/>
      </c>
    </row>
    <row r="7" spans="1:11" x14ac:dyDescent="0.25">
      <c r="A7" s="52">
        <v>2</v>
      </c>
      <c r="B7" s="63" t="s">
        <v>111</v>
      </c>
      <c r="C7" s="90" t="s">
        <v>44</v>
      </c>
      <c r="D7" s="36"/>
      <c r="E7" s="42" t="str">
        <f t="shared" si="0"/>
        <v/>
      </c>
      <c r="F7" s="36"/>
      <c r="G7" s="42" t="str">
        <f t="shared" si="1"/>
        <v/>
      </c>
      <c r="H7" s="36"/>
      <c r="I7" s="42" t="str">
        <f t="shared" si="2"/>
        <v/>
      </c>
      <c r="J7" s="36"/>
      <c r="K7" s="42" t="str">
        <f t="shared" si="3"/>
        <v/>
      </c>
    </row>
    <row r="8" spans="1:11" x14ac:dyDescent="0.25">
      <c r="A8" s="52">
        <v>3</v>
      </c>
      <c r="B8" s="63" t="s">
        <v>111</v>
      </c>
      <c r="C8" s="90" t="s">
        <v>44</v>
      </c>
      <c r="D8" s="36"/>
      <c r="E8" s="42" t="str">
        <f t="shared" si="0"/>
        <v/>
      </c>
      <c r="F8" s="36"/>
      <c r="G8" s="42" t="str">
        <f t="shared" si="1"/>
        <v/>
      </c>
      <c r="H8" s="36"/>
      <c r="I8" s="42" t="str">
        <f t="shared" si="2"/>
        <v/>
      </c>
      <c r="J8" s="36"/>
      <c r="K8" s="42" t="str">
        <f t="shared" si="3"/>
        <v/>
      </c>
    </row>
    <row r="9" spans="1:11" x14ac:dyDescent="0.25">
      <c r="A9" s="52">
        <v>4</v>
      </c>
      <c r="B9" s="63" t="s">
        <v>111</v>
      </c>
      <c r="C9" s="90" t="s">
        <v>44</v>
      </c>
      <c r="D9" s="36"/>
      <c r="E9" s="42" t="str">
        <f t="shared" si="0"/>
        <v/>
      </c>
      <c r="F9" s="36"/>
      <c r="G9" s="42" t="str">
        <f t="shared" si="1"/>
        <v/>
      </c>
      <c r="H9" s="36"/>
      <c r="I9" s="42" t="str">
        <f t="shared" si="2"/>
        <v/>
      </c>
      <c r="J9" s="36"/>
      <c r="K9" s="42" t="str">
        <f t="shared" si="3"/>
        <v/>
      </c>
    </row>
    <row r="10" spans="1:11" x14ac:dyDescent="0.25">
      <c r="A10" s="52">
        <v>5</v>
      </c>
      <c r="B10" s="63" t="s">
        <v>111</v>
      </c>
      <c r="C10" s="90" t="s">
        <v>44</v>
      </c>
      <c r="D10" s="36"/>
      <c r="E10" s="42" t="str">
        <f t="shared" si="0"/>
        <v/>
      </c>
      <c r="F10" s="36"/>
      <c r="G10" s="42" t="str">
        <f t="shared" si="1"/>
        <v/>
      </c>
      <c r="H10" s="36"/>
      <c r="I10" s="42" t="str">
        <f t="shared" si="2"/>
        <v/>
      </c>
      <c r="J10" s="36"/>
      <c r="K10" s="42" t="str">
        <f t="shared" si="3"/>
        <v/>
      </c>
    </row>
    <row r="11" spans="1:11" x14ac:dyDescent="0.25">
      <c r="A11" s="52">
        <v>6</v>
      </c>
      <c r="B11" s="63" t="s">
        <v>111</v>
      </c>
      <c r="C11" s="90" t="s">
        <v>44</v>
      </c>
      <c r="D11" s="36"/>
      <c r="E11" s="42" t="str">
        <f t="shared" si="0"/>
        <v/>
      </c>
      <c r="F11" s="36"/>
      <c r="G11" s="42" t="str">
        <f t="shared" si="1"/>
        <v/>
      </c>
      <c r="H11" s="36"/>
      <c r="I11" s="42" t="str">
        <f t="shared" si="2"/>
        <v/>
      </c>
      <c r="J11" s="36"/>
      <c r="K11" s="42" t="str">
        <f t="shared" si="3"/>
        <v/>
      </c>
    </row>
    <row r="12" spans="1:11" x14ac:dyDescent="0.25">
      <c r="A12" s="85">
        <v>7</v>
      </c>
      <c r="B12" s="63" t="s">
        <v>111</v>
      </c>
      <c r="C12" s="90" t="s">
        <v>44</v>
      </c>
      <c r="D12" s="36"/>
      <c r="E12" s="42" t="str">
        <f t="shared" si="0"/>
        <v/>
      </c>
      <c r="F12" s="36"/>
      <c r="G12" s="42" t="str">
        <f t="shared" si="1"/>
        <v/>
      </c>
      <c r="H12" s="36"/>
      <c r="I12" s="42" t="str">
        <f t="shared" si="2"/>
        <v/>
      </c>
      <c r="J12" s="36"/>
      <c r="K12" s="42" t="str">
        <f t="shared" si="3"/>
        <v/>
      </c>
    </row>
    <row r="13" spans="1:11" x14ac:dyDescent="0.25">
      <c r="A13" s="85">
        <v>8</v>
      </c>
      <c r="B13" s="63" t="s">
        <v>111</v>
      </c>
      <c r="C13" s="90" t="s">
        <v>44</v>
      </c>
      <c r="D13" s="36"/>
      <c r="E13" s="42" t="str">
        <f t="shared" si="0"/>
        <v/>
      </c>
      <c r="F13" s="36"/>
      <c r="G13" s="42" t="str">
        <f t="shared" si="1"/>
        <v/>
      </c>
      <c r="H13" s="36"/>
      <c r="I13" s="42" t="str">
        <f t="shared" si="2"/>
        <v/>
      </c>
      <c r="J13" s="36"/>
      <c r="K13" s="42" t="str">
        <f t="shared" si="3"/>
        <v/>
      </c>
    </row>
    <row r="14" spans="1:11" x14ac:dyDescent="0.25">
      <c r="A14" s="85">
        <v>9</v>
      </c>
      <c r="B14" s="63" t="s">
        <v>111</v>
      </c>
      <c r="C14" s="90" t="s">
        <v>44</v>
      </c>
      <c r="D14" s="36"/>
      <c r="E14" s="42" t="str">
        <f t="shared" si="0"/>
        <v/>
      </c>
      <c r="F14" s="36"/>
      <c r="G14" s="42" t="str">
        <f t="shared" si="1"/>
        <v/>
      </c>
      <c r="H14" s="36"/>
      <c r="I14" s="42" t="str">
        <f t="shared" si="2"/>
        <v/>
      </c>
      <c r="J14" s="36"/>
      <c r="K14" s="42" t="str">
        <f t="shared" si="3"/>
        <v/>
      </c>
    </row>
    <row r="15" spans="1:11" x14ac:dyDescent="0.25">
      <c r="A15" s="85">
        <v>10</v>
      </c>
      <c r="B15" s="63" t="s">
        <v>111</v>
      </c>
      <c r="C15" s="90" t="s">
        <v>44</v>
      </c>
      <c r="D15" s="36"/>
      <c r="E15" s="42" t="str">
        <f t="shared" si="0"/>
        <v/>
      </c>
      <c r="F15" s="36"/>
      <c r="G15" s="42" t="str">
        <f t="shared" si="1"/>
        <v/>
      </c>
      <c r="H15" s="36"/>
      <c r="I15" s="42" t="str">
        <f t="shared" si="2"/>
        <v/>
      </c>
      <c r="J15" s="36"/>
      <c r="K15" s="42" t="str">
        <f t="shared" si="3"/>
        <v/>
      </c>
    </row>
    <row r="16" spans="1:11" x14ac:dyDescent="0.25">
      <c r="A16" s="85">
        <v>11</v>
      </c>
      <c r="B16" s="63" t="s">
        <v>111</v>
      </c>
      <c r="C16" s="90" t="s">
        <v>44</v>
      </c>
      <c r="D16" s="36"/>
      <c r="E16" s="42" t="str">
        <f t="shared" si="0"/>
        <v/>
      </c>
      <c r="F16" s="36"/>
      <c r="G16" s="42" t="str">
        <f t="shared" si="1"/>
        <v/>
      </c>
      <c r="H16" s="36"/>
      <c r="I16" s="42" t="str">
        <f t="shared" si="2"/>
        <v/>
      </c>
      <c r="J16" s="36"/>
      <c r="K16" s="42" t="str">
        <f t="shared" si="3"/>
        <v/>
      </c>
    </row>
    <row r="17" spans="1:11" x14ac:dyDescent="0.25">
      <c r="A17" s="85">
        <v>12</v>
      </c>
      <c r="B17" s="63" t="s">
        <v>111</v>
      </c>
      <c r="C17" s="90" t="s">
        <v>44</v>
      </c>
      <c r="D17" s="36"/>
      <c r="E17" s="42" t="str">
        <f t="shared" si="0"/>
        <v/>
      </c>
      <c r="F17" s="36"/>
      <c r="G17" s="42" t="str">
        <f t="shared" si="1"/>
        <v/>
      </c>
      <c r="H17" s="36"/>
      <c r="I17" s="42" t="str">
        <f t="shared" si="2"/>
        <v/>
      </c>
      <c r="J17" s="36"/>
      <c r="K17" s="42" t="str">
        <f t="shared" si="3"/>
        <v/>
      </c>
    </row>
    <row r="18" spans="1:11" x14ac:dyDescent="0.25">
      <c r="A18" s="93" t="s">
        <v>45</v>
      </c>
      <c r="B18" s="54"/>
      <c r="C18" s="54"/>
      <c r="D18" s="38"/>
      <c r="E18" s="38"/>
      <c r="F18" s="38"/>
      <c r="G18" s="38"/>
      <c r="H18" s="38"/>
      <c r="I18" s="38"/>
      <c r="J18" s="38"/>
      <c r="K18" s="38"/>
    </row>
    <row r="19" spans="1:11" ht="23.25" x14ac:dyDescent="0.25">
      <c r="A19" s="62" t="s">
        <v>104</v>
      </c>
      <c r="B19" s="39" t="s">
        <v>55</v>
      </c>
      <c r="C19" s="39" t="s">
        <v>56</v>
      </c>
      <c r="D19" s="55" t="s">
        <v>8</v>
      </c>
      <c r="E19" s="39" t="s">
        <v>81</v>
      </c>
      <c r="F19" s="55" t="s">
        <v>8</v>
      </c>
      <c r="G19" s="39" t="s">
        <v>81</v>
      </c>
      <c r="H19" s="55" t="s">
        <v>8</v>
      </c>
      <c r="I19" s="39" t="s">
        <v>81</v>
      </c>
      <c r="J19" s="55" t="s">
        <v>8</v>
      </c>
      <c r="K19" s="39" t="s">
        <v>81</v>
      </c>
    </row>
    <row r="20" spans="1:11" x14ac:dyDescent="0.25">
      <c r="A20" s="52">
        <v>1</v>
      </c>
      <c r="B20" s="63" t="s">
        <v>111</v>
      </c>
      <c r="C20" s="94" t="s">
        <v>45</v>
      </c>
      <c r="D20" s="36"/>
      <c r="E20" s="42" t="str">
        <f t="shared" ref="E20:E31" si="4">IF(D20&gt;0,VLOOKUP(D20,Jumpers,3)&amp;", "&amp;VLOOKUP(D20,Jumpers,2)&amp;" ("&amp;VLOOKUP(D20,Jumpers,7)&amp;")","")</f>
        <v/>
      </c>
      <c r="F20" s="36"/>
      <c r="G20" s="42" t="str">
        <f t="shared" ref="G20:G31" si="5">IF(F20&gt;0,VLOOKUP(F20,Jumpers,3)&amp;", "&amp;VLOOKUP(F20,Jumpers,2)&amp;" ("&amp;VLOOKUP(F20,Jumpers,7)&amp;")","")</f>
        <v/>
      </c>
      <c r="H20" s="36"/>
      <c r="I20" s="42" t="str">
        <f t="shared" ref="I20:I31" si="6">IF(H20&gt;0,VLOOKUP(H20,Jumpers,3)&amp;", "&amp;VLOOKUP(H20,Jumpers,2)&amp;" ("&amp;VLOOKUP(H20,Jumpers,7)&amp;")","")</f>
        <v/>
      </c>
      <c r="J20" s="36"/>
      <c r="K20" s="42" t="str">
        <f t="shared" ref="K20:K31" si="7">IF(J20&gt;0,VLOOKUP(J20,Jumpers,3)&amp;", "&amp;VLOOKUP(J20,Jumpers,2)&amp;" ("&amp;VLOOKUP(J20,Jumpers,7)&amp;")","")</f>
        <v/>
      </c>
    </row>
    <row r="21" spans="1:11" x14ac:dyDescent="0.25">
      <c r="A21" s="52">
        <v>2</v>
      </c>
      <c r="B21" s="63" t="s">
        <v>111</v>
      </c>
      <c r="C21" s="94" t="s">
        <v>45</v>
      </c>
      <c r="D21" s="36"/>
      <c r="E21" s="42" t="str">
        <f t="shared" si="4"/>
        <v/>
      </c>
      <c r="F21" s="36"/>
      <c r="G21" s="42" t="str">
        <f t="shared" si="5"/>
        <v/>
      </c>
      <c r="H21" s="36"/>
      <c r="I21" s="42" t="str">
        <f t="shared" si="6"/>
        <v/>
      </c>
      <c r="J21" s="36"/>
      <c r="K21" s="42" t="str">
        <f t="shared" si="7"/>
        <v/>
      </c>
    </row>
    <row r="22" spans="1:11" x14ac:dyDescent="0.25">
      <c r="A22" s="52">
        <v>3</v>
      </c>
      <c r="B22" s="63" t="s">
        <v>111</v>
      </c>
      <c r="C22" s="94" t="s">
        <v>45</v>
      </c>
      <c r="D22" s="36"/>
      <c r="E22" s="42" t="str">
        <f t="shared" si="4"/>
        <v/>
      </c>
      <c r="F22" s="36"/>
      <c r="G22" s="42" t="str">
        <f t="shared" si="5"/>
        <v/>
      </c>
      <c r="H22" s="36"/>
      <c r="I22" s="42" t="str">
        <f t="shared" si="6"/>
        <v/>
      </c>
      <c r="J22" s="36"/>
      <c r="K22" s="42" t="str">
        <f t="shared" si="7"/>
        <v/>
      </c>
    </row>
    <row r="23" spans="1:11" x14ac:dyDescent="0.25">
      <c r="A23" s="52">
        <v>4</v>
      </c>
      <c r="B23" s="63" t="s">
        <v>111</v>
      </c>
      <c r="C23" s="94" t="s">
        <v>45</v>
      </c>
      <c r="D23" s="36"/>
      <c r="E23" s="42" t="str">
        <f t="shared" si="4"/>
        <v/>
      </c>
      <c r="F23" s="36"/>
      <c r="G23" s="42" t="str">
        <f t="shared" si="5"/>
        <v/>
      </c>
      <c r="H23" s="36"/>
      <c r="I23" s="42" t="str">
        <f t="shared" si="6"/>
        <v/>
      </c>
      <c r="J23" s="36"/>
      <c r="K23" s="42" t="str">
        <f t="shared" si="7"/>
        <v/>
      </c>
    </row>
    <row r="24" spans="1:11" x14ac:dyDescent="0.25">
      <c r="A24" s="52">
        <v>5</v>
      </c>
      <c r="B24" s="63" t="s">
        <v>111</v>
      </c>
      <c r="C24" s="94" t="s">
        <v>45</v>
      </c>
      <c r="D24" s="36"/>
      <c r="E24" s="42" t="str">
        <f t="shared" si="4"/>
        <v/>
      </c>
      <c r="F24" s="36"/>
      <c r="G24" s="42" t="str">
        <f t="shared" si="5"/>
        <v/>
      </c>
      <c r="H24" s="36"/>
      <c r="I24" s="42" t="str">
        <f t="shared" si="6"/>
        <v/>
      </c>
      <c r="J24" s="36"/>
      <c r="K24" s="42" t="str">
        <f t="shared" si="7"/>
        <v/>
      </c>
    </row>
    <row r="25" spans="1:11" x14ac:dyDescent="0.25">
      <c r="A25" s="52">
        <v>6</v>
      </c>
      <c r="B25" s="63" t="s">
        <v>111</v>
      </c>
      <c r="C25" s="94" t="s">
        <v>45</v>
      </c>
      <c r="D25" s="36"/>
      <c r="E25" s="42" t="str">
        <f t="shared" si="4"/>
        <v/>
      </c>
      <c r="F25" s="36"/>
      <c r="G25" s="42" t="str">
        <f t="shared" si="5"/>
        <v/>
      </c>
      <c r="H25" s="36"/>
      <c r="I25" s="42" t="str">
        <f t="shared" si="6"/>
        <v/>
      </c>
      <c r="J25" s="36"/>
      <c r="K25" s="42" t="str">
        <f t="shared" si="7"/>
        <v/>
      </c>
    </row>
    <row r="26" spans="1:11" x14ac:dyDescent="0.25">
      <c r="A26" s="85">
        <v>7</v>
      </c>
      <c r="B26" s="63" t="s">
        <v>111</v>
      </c>
      <c r="C26" s="94" t="s">
        <v>45</v>
      </c>
      <c r="D26" s="36"/>
      <c r="E26" s="42" t="str">
        <f t="shared" si="4"/>
        <v/>
      </c>
      <c r="F26" s="36"/>
      <c r="G26" s="42" t="str">
        <f t="shared" si="5"/>
        <v/>
      </c>
      <c r="H26" s="36"/>
      <c r="I26" s="42" t="str">
        <f t="shared" si="6"/>
        <v/>
      </c>
      <c r="J26" s="36"/>
      <c r="K26" s="42" t="str">
        <f t="shared" si="7"/>
        <v/>
      </c>
    </row>
    <row r="27" spans="1:11" x14ac:dyDescent="0.25">
      <c r="A27" s="85">
        <v>8</v>
      </c>
      <c r="B27" s="63" t="s">
        <v>111</v>
      </c>
      <c r="C27" s="94" t="s">
        <v>45</v>
      </c>
      <c r="D27" s="36"/>
      <c r="E27" s="42" t="str">
        <f t="shared" si="4"/>
        <v/>
      </c>
      <c r="F27" s="36"/>
      <c r="G27" s="42" t="str">
        <f t="shared" si="5"/>
        <v/>
      </c>
      <c r="H27" s="36"/>
      <c r="I27" s="42" t="str">
        <f t="shared" si="6"/>
        <v/>
      </c>
      <c r="J27" s="36"/>
      <c r="K27" s="42" t="str">
        <f t="shared" si="7"/>
        <v/>
      </c>
    </row>
    <row r="28" spans="1:11" x14ac:dyDescent="0.25">
      <c r="A28" s="85">
        <v>9</v>
      </c>
      <c r="B28" s="63" t="s">
        <v>111</v>
      </c>
      <c r="C28" s="94" t="s">
        <v>45</v>
      </c>
      <c r="D28" s="36"/>
      <c r="E28" s="42" t="str">
        <f t="shared" si="4"/>
        <v/>
      </c>
      <c r="F28" s="36"/>
      <c r="G28" s="42" t="str">
        <f t="shared" si="5"/>
        <v/>
      </c>
      <c r="H28" s="36"/>
      <c r="I28" s="42" t="str">
        <f t="shared" si="6"/>
        <v/>
      </c>
      <c r="J28" s="36"/>
      <c r="K28" s="42" t="str">
        <f t="shared" si="7"/>
        <v/>
      </c>
    </row>
    <row r="29" spans="1:11" x14ac:dyDescent="0.25">
      <c r="A29" s="85">
        <v>10</v>
      </c>
      <c r="B29" s="63" t="s">
        <v>111</v>
      </c>
      <c r="C29" s="94" t="s">
        <v>45</v>
      </c>
      <c r="D29" s="36"/>
      <c r="E29" s="42" t="str">
        <f t="shared" si="4"/>
        <v/>
      </c>
      <c r="F29" s="36"/>
      <c r="G29" s="42" t="str">
        <f t="shared" si="5"/>
        <v/>
      </c>
      <c r="H29" s="36"/>
      <c r="I29" s="42" t="str">
        <f t="shared" si="6"/>
        <v/>
      </c>
      <c r="J29" s="36"/>
      <c r="K29" s="42" t="str">
        <f t="shared" si="7"/>
        <v/>
      </c>
    </row>
    <row r="30" spans="1:11" x14ac:dyDescent="0.25">
      <c r="A30" s="85">
        <v>11</v>
      </c>
      <c r="B30" s="63" t="s">
        <v>111</v>
      </c>
      <c r="C30" s="94" t="s">
        <v>45</v>
      </c>
      <c r="D30" s="36"/>
      <c r="E30" s="42" t="str">
        <f t="shared" si="4"/>
        <v/>
      </c>
      <c r="F30" s="36"/>
      <c r="G30" s="42" t="str">
        <f t="shared" si="5"/>
        <v/>
      </c>
      <c r="H30" s="36"/>
      <c r="I30" s="42" t="str">
        <f t="shared" si="6"/>
        <v/>
      </c>
      <c r="J30" s="36"/>
      <c r="K30" s="42" t="str">
        <f t="shared" si="7"/>
        <v/>
      </c>
    </row>
    <row r="31" spans="1:11" x14ac:dyDescent="0.25">
      <c r="A31" s="85">
        <v>12</v>
      </c>
      <c r="B31" s="63" t="s">
        <v>111</v>
      </c>
      <c r="C31" s="94" t="s">
        <v>45</v>
      </c>
      <c r="D31" s="36"/>
      <c r="E31" s="42" t="str">
        <f t="shared" si="4"/>
        <v/>
      </c>
      <c r="F31" s="36"/>
      <c r="G31" s="42" t="str">
        <f t="shared" si="5"/>
        <v/>
      </c>
      <c r="H31" s="36"/>
      <c r="I31" s="42" t="str">
        <f t="shared" si="6"/>
        <v/>
      </c>
      <c r="J31" s="36"/>
      <c r="K31" s="42" t="str">
        <f t="shared" si="7"/>
        <v/>
      </c>
    </row>
    <row r="32" spans="1:11" x14ac:dyDescent="0.25">
      <c r="A32" s="38" t="s">
        <v>108</v>
      </c>
      <c r="B32" s="54"/>
      <c r="C32" s="54"/>
      <c r="D32" s="38"/>
      <c r="E32" s="38"/>
      <c r="F32" s="38"/>
      <c r="G32" s="38"/>
      <c r="H32" s="38"/>
      <c r="I32" s="38"/>
      <c r="J32" s="38"/>
      <c r="K32" s="38"/>
    </row>
    <row r="33" spans="1:11" ht="23.25" x14ac:dyDescent="0.25">
      <c r="A33" s="62" t="s">
        <v>104</v>
      </c>
      <c r="B33" s="39" t="s">
        <v>55</v>
      </c>
      <c r="C33" s="39" t="s">
        <v>56</v>
      </c>
      <c r="D33" s="55" t="s">
        <v>8</v>
      </c>
      <c r="E33" s="39" t="s">
        <v>81</v>
      </c>
      <c r="F33" s="55" t="s">
        <v>8</v>
      </c>
      <c r="G33" s="39" t="s">
        <v>81</v>
      </c>
      <c r="H33" s="55" t="s">
        <v>8</v>
      </c>
      <c r="I33" s="39" t="s">
        <v>81</v>
      </c>
      <c r="J33" s="55" t="s">
        <v>8</v>
      </c>
      <c r="K33" s="39" t="s">
        <v>81</v>
      </c>
    </row>
    <row r="34" spans="1:11" x14ac:dyDescent="0.25">
      <c r="A34" s="52">
        <v>1</v>
      </c>
      <c r="B34" s="63" t="s">
        <v>111</v>
      </c>
      <c r="C34" s="63" t="s">
        <v>47</v>
      </c>
      <c r="D34" s="36"/>
      <c r="E34" s="42" t="str">
        <f t="shared" ref="E34:E39" si="8">IF(D34&gt;0,VLOOKUP(D34,Jumpers,3)&amp;", "&amp;VLOOKUP(D34,Jumpers,2)&amp;" ("&amp;VLOOKUP(D34,Jumpers,7)&amp;")","")</f>
        <v/>
      </c>
      <c r="F34" s="36"/>
      <c r="G34" s="42" t="str">
        <f t="shared" ref="G34:G39" si="9">IF(F34&gt;0,VLOOKUP(F34,Jumpers,3)&amp;", "&amp;VLOOKUP(F34,Jumpers,2)&amp;" ("&amp;VLOOKUP(F34,Jumpers,7)&amp;")","")</f>
        <v/>
      </c>
      <c r="H34" s="36"/>
      <c r="I34" s="42" t="str">
        <f t="shared" ref="I34:I39" si="10">IF(H34&gt;0,VLOOKUP(H34,Jumpers,3)&amp;", "&amp;VLOOKUP(H34,Jumpers,2)&amp;" ("&amp;VLOOKUP(H34,Jumpers,7)&amp;")","")</f>
        <v/>
      </c>
      <c r="J34" s="36"/>
      <c r="K34" s="42" t="str">
        <f t="shared" ref="K34:K39" si="11">IF(J34&gt;0,VLOOKUP(J34,Jumpers,3)&amp;", "&amp;VLOOKUP(J34,Jumpers,2)&amp;" ("&amp;VLOOKUP(J34,Jumpers,7)&amp;")","")</f>
        <v/>
      </c>
    </row>
    <row r="35" spans="1:11" x14ac:dyDescent="0.25">
      <c r="A35" s="52">
        <v>2</v>
      </c>
      <c r="B35" s="63" t="s">
        <v>111</v>
      </c>
      <c r="C35" s="63" t="s">
        <v>47</v>
      </c>
      <c r="D35" s="36"/>
      <c r="E35" s="42" t="str">
        <f t="shared" si="8"/>
        <v/>
      </c>
      <c r="F35" s="36"/>
      <c r="G35" s="42" t="str">
        <f t="shared" si="9"/>
        <v/>
      </c>
      <c r="H35" s="36"/>
      <c r="I35" s="42" t="str">
        <f t="shared" si="10"/>
        <v/>
      </c>
      <c r="J35" s="36"/>
      <c r="K35" s="42" t="str">
        <f t="shared" si="11"/>
        <v/>
      </c>
    </row>
    <row r="36" spans="1:11" x14ac:dyDescent="0.25">
      <c r="A36" s="52">
        <v>3</v>
      </c>
      <c r="B36" s="63" t="s">
        <v>111</v>
      </c>
      <c r="C36" s="63" t="s">
        <v>47</v>
      </c>
      <c r="D36" s="36"/>
      <c r="E36" s="42" t="str">
        <f t="shared" si="8"/>
        <v/>
      </c>
      <c r="F36" s="36"/>
      <c r="G36" s="42" t="str">
        <f t="shared" si="9"/>
        <v/>
      </c>
      <c r="H36" s="36"/>
      <c r="I36" s="42" t="str">
        <f t="shared" si="10"/>
        <v/>
      </c>
      <c r="J36" s="36"/>
      <c r="K36" s="42" t="str">
        <f t="shared" si="11"/>
        <v/>
      </c>
    </row>
    <row r="37" spans="1:11" x14ac:dyDescent="0.25">
      <c r="A37" s="52">
        <v>4</v>
      </c>
      <c r="B37" s="63" t="s">
        <v>111</v>
      </c>
      <c r="C37" s="63" t="s">
        <v>47</v>
      </c>
      <c r="D37" s="36"/>
      <c r="E37" s="42" t="str">
        <f t="shared" si="8"/>
        <v/>
      </c>
      <c r="F37" s="36"/>
      <c r="G37" s="42" t="str">
        <f t="shared" si="9"/>
        <v/>
      </c>
      <c r="H37" s="36"/>
      <c r="I37" s="42" t="str">
        <f t="shared" si="10"/>
        <v/>
      </c>
      <c r="J37" s="36"/>
      <c r="K37" s="42" t="str">
        <f t="shared" si="11"/>
        <v/>
      </c>
    </row>
    <row r="38" spans="1:11" x14ac:dyDescent="0.25">
      <c r="A38" s="52">
        <v>5</v>
      </c>
      <c r="B38" s="63" t="s">
        <v>111</v>
      </c>
      <c r="C38" s="63" t="s">
        <v>47</v>
      </c>
      <c r="D38" s="36"/>
      <c r="E38" s="42" t="str">
        <f t="shared" si="8"/>
        <v/>
      </c>
      <c r="F38" s="36"/>
      <c r="G38" s="42" t="str">
        <f t="shared" si="9"/>
        <v/>
      </c>
      <c r="H38" s="36"/>
      <c r="I38" s="42" t="str">
        <f t="shared" si="10"/>
        <v/>
      </c>
      <c r="J38" s="36"/>
      <c r="K38" s="42" t="str">
        <f t="shared" si="11"/>
        <v/>
      </c>
    </row>
    <row r="39" spans="1:11" x14ac:dyDescent="0.25">
      <c r="A39" s="52">
        <v>6</v>
      </c>
      <c r="B39" s="63" t="s">
        <v>111</v>
      </c>
      <c r="C39" s="63" t="s">
        <v>47</v>
      </c>
      <c r="D39" s="36"/>
      <c r="E39" s="42" t="str">
        <f t="shared" si="8"/>
        <v/>
      </c>
      <c r="F39" s="36"/>
      <c r="G39" s="42" t="str">
        <f t="shared" si="9"/>
        <v/>
      </c>
      <c r="H39" s="36"/>
      <c r="I39" s="42" t="str">
        <f t="shared" si="10"/>
        <v/>
      </c>
      <c r="J39" s="36"/>
      <c r="K39" s="42" t="str">
        <f t="shared" si="11"/>
        <v/>
      </c>
    </row>
    <row r="40" spans="1:11" x14ac:dyDescent="0.25">
      <c r="A40" s="38" t="s">
        <v>84</v>
      </c>
      <c r="B40" s="54"/>
      <c r="C40" s="54"/>
      <c r="D40" s="38"/>
      <c r="E40" s="38"/>
      <c r="F40" s="38"/>
      <c r="G40" s="38"/>
      <c r="H40" s="38"/>
      <c r="I40" s="38"/>
      <c r="J40" s="38"/>
      <c r="K40" s="38"/>
    </row>
    <row r="41" spans="1:11" ht="23.25" x14ac:dyDescent="0.25">
      <c r="A41" s="62" t="s">
        <v>104</v>
      </c>
      <c r="B41" s="39" t="s">
        <v>55</v>
      </c>
      <c r="C41" s="39" t="s">
        <v>56</v>
      </c>
      <c r="D41" s="55" t="s">
        <v>8</v>
      </c>
      <c r="E41" s="39" t="s">
        <v>81</v>
      </c>
      <c r="F41" s="55" t="s">
        <v>8</v>
      </c>
      <c r="G41" s="39" t="s">
        <v>81</v>
      </c>
      <c r="H41" s="55" t="s">
        <v>8</v>
      </c>
      <c r="I41" s="39" t="s">
        <v>81</v>
      </c>
      <c r="J41" s="55" t="s">
        <v>8</v>
      </c>
      <c r="K41" s="39" t="s">
        <v>81</v>
      </c>
    </row>
    <row r="42" spans="1:11" x14ac:dyDescent="0.25">
      <c r="A42" s="52">
        <v>1</v>
      </c>
      <c r="B42" s="63" t="s">
        <v>111</v>
      </c>
      <c r="C42" s="63" t="s">
        <v>142</v>
      </c>
      <c r="D42" s="36"/>
      <c r="E42" s="42" t="str">
        <f t="shared" ref="E42:E44" si="12">IF(D42&gt;0,VLOOKUP(D42,Jumpers,3)&amp;", "&amp;VLOOKUP(D42,Jumpers,2)&amp;" ("&amp;VLOOKUP(D42,Jumpers,7)&amp;")","")</f>
        <v/>
      </c>
      <c r="F42" s="36"/>
      <c r="G42" s="42" t="str">
        <f t="shared" ref="G42:G44" si="13">IF(F42&gt;0,VLOOKUP(F42,Jumpers,3)&amp;", "&amp;VLOOKUP(F42,Jumpers,2)&amp;" ("&amp;VLOOKUP(F42,Jumpers,7)&amp;")","")</f>
        <v/>
      </c>
      <c r="H42" s="36"/>
      <c r="I42" s="42" t="str">
        <f t="shared" ref="I42:I44" si="14">IF(H42&gt;0,VLOOKUP(H42,Jumpers,3)&amp;", "&amp;VLOOKUP(H42,Jumpers,2)&amp;" ("&amp;VLOOKUP(H42,Jumpers,7)&amp;")","")</f>
        <v/>
      </c>
      <c r="J42" s="36"/>
      <c r="K42" s="42" t="str">
        <f t="shared" ref="K42:K44" si="15">IF(J42&gt;0,VLOOKUP(J42,Jumpers,3)&amp;", "&amp;VLOOKUP(J42,Jumpers,2)&amp;" ("&amp;VLOOKUP(J42,Jumpers,7)&amp;")","")</f>
        <v/>
      </c>
    </row>
    <row r="43" spans="1:11" x14ac:dyDescent="0.25">
      <c r="A43" s="52">
        <v>2</v>
      </c>
      <c r="B43" s="63" t="s">
        <v>111</v>
      </c>
      <c r="C43" s="63" t="s">
        <v>142</v>
      </c>
      <c r="D43" s="36"/>
      <c r="E43" s="42" t="str">
        <f t="shared" si="12"/>
        <v/>
      </c>
      <c r="F43" s="36"/>
      <c r="G43" s="42" t="str">
        <f t="shared" si="13"/>
        <v/>
      </c>
      <c r="H43" s="36"/>
      <c r="I43" s="42" t="str">
        <f t="shared" si="14"/>
        <v/>
      </c>
      <c r="J43" s="36"/>
      <c r="K43" s="42" t="str">
        <f t="shared" si="15"/>
        <v/>
      </c>
    </row>
    <row r="44" spans="1:11" x14ac:dyDescent="0.25">
      <c r="A44" s="52">
        <v>3</v>
      </c>
      <c r="B44" s="63" t="s">
        <v>111</v>
      </c>
      <c r="C44" s="63" t="s">
        <v>142</v>
      </c>
      <c r="D44" s="36"/>
      <c r="E44" s="42" t="str">
        <f t="shared" si="12"/>
        <v/>
      </c>
      <c r="F44" s="36"/>
      <c r="G44" s="42" t="str">
        <f t="shared" si="13"/>
        <v/>
      </c>
      <c r="H44" s="36"/>
      <c r="I44" s="42" t="str">
        <f t="shared" si="14"/>
        <v/>
      </c>
      <c r="J44" s="36"/>
      <c r="K44" s="42" t="str">
        <f t="shared" si="15"/>
        <v/>
      </c>
    </row>
    <row r="45" spans="1:11" ht="18.75" x14ac:dyDescent="0.3">
      <c r="A45" s="64" t="str">
        <f>CONCATENATE(A1," - Female Division")</f>
        <v>Double Dutch Pairs Freestyle - Female Division</v>
      </c>
      <c r="B45" s="54"/>
      <c r="C45" s="54"/>
      <c r="D45" s="38"/>
      <c r="E45" s="38"/>
      <c r="F45" s="38"/>
      <c r="G45" s="38"/>
      <c r="H45" s="38"/>
      <c r="I45" s="38"/>
      <c r="J45" s="38"/>
      <c r="K45" s="38"/>
    </row>
    <row r="46" spans="1:11" x14ac:dyDescent="0.25">
      <c r="A46" s="38" t="s">
        <v>107</v>
      </c>
      <c r="B46" s="54"/>
      <c r="C46" s="54"/>
      <c r="D46" s="38"/>
      <c r="E46" s="38"/>
      <c r="F46" s="38"/>
      <c r="G46" s="38"/>
      <c r="H46" s="38"/>
      <c r="I46" s="38"/>
      <c r="J46" s="38"/>
      <c r="K46" s="38"/>
    </row>
    <row r="47" spans="1:11" ht="23.25" x14ac:dyDescent="0.25">
      <c r="A47" s="62" t="s">
        <v>104</v>
      </c>
      <c r="B47" s="39" t="s">
        <v>55</v>
      </c>
      <c r="C47" s="39" t="s">
        <v>56</v>
      </c>
      <c r="D47" s="55" t="s">
        <v>8</v>
      </c>
      <c r="E47" s="39" t="s">
        <v>81</v>
      </c>
      <c r="F47" s="55" t="s">
        <v>8</v>
      </c>
      <c r="G47" s="39" t="s">
        <v>81</v>
      </c>
      <c r="H47" s="55" t="s">
        <v>8</v>
      </c>
      <c r="I47" s="39" t="s">
        <v>81</v>
      </c>
      <c r="J47" s="55" t="s">
        <v>8</v>
      </c>
      <c r="K47" s="39" t="s">
        <v>81</v>
      </c>
    </row>
    <row r="48" spans="1:11" x14ac:dyDescent="0.25">
      <c r="A48" s="52">
        <v>1</v>
      </c>
      <c r="B48" s="63" t="s">
        <v>115</v>
      </c>
      <c r="C48" s="63" t="s">
        <v>48</v>
      </c>
      <c r="D48" s="36"/>
      <c r="E48" s="42" t="str">
        <f t="shared" ref="E48:E55" si="16">IF(D48&gt;0,VLOOKUP(D48,Jumpers,3)&amp;", "&amp;VLOOKUP(D48,Jumpers,2)&amp;" ("&amp;VLOOKUP(D48,Jumpers,7)&amp;")","")</f>
        <v/>
      </c>
      <c r="F48" s="36"/>
      <c r="G48" s="42" t="str">
        <f t="shared" ref="G48:G55" si="17">IF(F48&gt;0,VLOOKUP(F48,Jumpers,3)&amp;", "&amp;VLOOKUP(F48,Jumpers,2)&amp;" ("&amp;VLOOKUP(F48,Jumpers,7)&amp;")","")</f>
        <v/>
      </c>
      <c r="H48" s="36"/>
      <c r="I48" s="42" t="str">
        <f t="shared" ref="I48:I55" si="18">IF(H48&gt;0,VLOOKUP(H48,Jumpers,3)&amp;", "&amp;VLOOKUP(H48,Jumpers,2)&amp;" ("&amp;VLOOKUP(H48,Jumpers,7)&amp;")","")</f>
        <v/>
      </c>
      <c r="J48" s="36"/>
      <c r="K48" s="42" t="str">
        <f t="shared" ref="K48:K55" si="19">IF(J48&gt;0,VLOOKUP(J48,Jumpers,3)&amp;", "&amp;VLOOKUP(J48,Jumpers,2)&amp;" ("&amp;VLOOKUP(J48,Jumpers,7)&amp;")","")</f>
        <v/>
      </c>
    </row>
    <row r="49" spans="1:11" x14ac:dyDescent="0.25">
      <c r="A49" s="52">
        <v>2</v>
      </c>
      <c r="B49" s="63" t="s">
        <v>115</v>
      </c>
      <c r="C49" s="63" t="s">
        <v>48</v>
      </c>
      <c r="D49" s="36"/>
      <c r="E49" s="42" t="str">
        <f t="shared" si="16"/>
        <v/>
      </c>
      <c r="F49" s="36"/>
      <c r="G49" s="42" t="str">
        <f t="shared" si="17"/>
        <v/>
      </c>
      <c r="H49" s="36"/>
      <c r="I49" s="42" t="str">
        <f t="shared" si="18"/>
        <v/>
      </c>
      <c r="J49" s="36"/>
      <c r="K49" s="42" t="str">
        <f t="shared" si="19"/>
        <v/>
      </c>
    </row>
    <row r="50" spans="1:11" x14ac:dyDescent="0.25">
      <c r="A50" s="52">
        <v>3</v>
      </c>
      <c r="B50" s="63" t="s">
        <v>115</v>
      </c>
      <c r="C50" s="63" t="s">
        <v>48</v>
      </c>
      <c r="D50" s="36"/>
      <c r="E50" s="42" t="str">
        <f t="shared" si="16"/>
        <v/>
      </c>
      <c r="F50" s="36"/>
      <c r="G50" s="42" t="str">
        <f t="shared" si="17"/>
        <v/>
      </c>
      <c r="H50" s="36"/>
      <c r="I50" s="42" t="str">
        <f t="shared" si="18"/>
        <v/>
      </c>
      <c r="J50" s="36"/>
      <c r="K50" s="42" t="str">
        <f t="shared" si="19"/>
        <v/>
      </c>
    </row>
    <row r="51" spans="1:11" x14ac:dyDescent="0.25">
      <c r="A51" s="52">
        <v>4</v>
      </c>
      <c r="B51" s="63" t="s">
        <v>115</v>
      </c>
      <c r="C51" s="63" t="s">
        <v>48</v>
      </c>
      <c r="D51" s="36"/>
      <c r="E51" s="42" t="str">
        <f t="shared" si="16"/>
        <v/>
      </c>
      <c r="F51" s="36"/>
      <c r="G51" s="42" t="str">
        <f t="shared" si="17"/>
        <v/>
      </c>
      <c r="H51" s="36"/>
      <c r="I51" s="42" t="str">
        <f t="shared" si="18"/>
        <v/>
      </c>
      <c r="J51" s="36"/>
      <c r="K51" s="42" t="str">
        <f t="shared" si="19"/>
        <v/>
      </c>
    </row>
    <row r="52" spans="1:11" x14ac:dyDescent="0.25">
      <c r="A52" s="52">
        <v>5</v>
      </c>
      <c r="B52" s="63" t="s">
        <v>115</v>
      </c>
      <c r="C52" s="63" t="s">
        <v>48</v>
      </c>
      <c r="D52" s="36"/>
      <c r="E52" s="42" t="str">
        <f t="shared" si="16"/>
        <v/>
      </c>
      <c r="F52" s="36"/>
      <c r="G52" s="42" t="str">
        <f t="shared" si="17"/>
        <v/>
      </c>
      <c r="H52" s="36"/>
      <c r="I52" s="42" t="str">
        <f t="shared" si="18"/>
        <v/>
      </c>
      <c r="J52" s="36"/>
      <c r="K52" s="42" t="str">
        <f t="shared" si="19"/>
        <v/>
      </c>
    </row>
    <row r="53" spans="1:11" x14ac:dyDescent="0.25">
      <c r="A53" s="52">
        <v>6</v>
      </c>
      <c r="B53" s="63" t="s">
        <v>115</v>
      </c>
      <c r="C53" s="63" t="s">
        <v>48</v>
      </c>
      <c r="D53" s="36"/>
      <c r="E53" s="42" t="str">
        <f t="shared" si="16"/>
        <v/>
      </c>
      <c r="F53" s="36"/>
      <c r="G53" s="42" t="str">
        <f t="shared" si="17"/>
        <v/>
      </c>
      <c r="H53" s="36"/>
      <c r="I53" s="42" t="str">
        <f t="shared" si="18"/>
        <v/>
      </c>
      <c r="J53" s="36"/>
      <c r="K53" s="42" t="str">
        <f t="shared" si="19"/>
        <v/>
      </c>
    </row>
    <row r="54" spans="1:11" x14ac:dyDescent="0.25">
      <c r="A54" s="52">
        <v>7</v>
      </c>
      <c r="B54" s="63" t="s">
        <v>115</v>
      </c>
      <c r="C54" s="63" t="s">
        <v>48</v>
      </c>
      <c r="D54" s="36"/>
      <c r="E54" s="42" t="str">
        <f t="shared" si="16"/>
        <v/>
      </c>
      <c r="F54" s="36"/>
      <c r="G54" s="42" t="str">
        <f t="shared" si="17"/>
        <v/>
      </c>
      <c r="H54" s="36"/>
      <c r="I54" s="42" t="str">
        <f t="shared" si="18"/>
        <v/>
      </c>
      <c r="J54" s="36"/>
      <c r="K54" s="42" t="str">
        <f t="shared" si="19"/>
        <v/>
      </c>
    </row>
    <row r="55" spans="1:11" x14ac:dyDescent="0.25">
      <c r="A55" s="52">
        <v>8</v>
      </c>
      <c r="B55" s="63" t="s">
        <v>115</v>
      </c>
      <c r="C55" s="63" t="s">
        <v>48</v>
      </c>
      <c r="D55" s="36"/>
      <c r="E55" s="42" t="str">
        <f t="shared" si="16"/>
        <v/>
      </c>
      <c r="F55" s="36"/>
      <c r="G55" s="42" t="str">
        <f t="shared" si="17"/>
        <v/>
      </c>
      <c r="H55" s="36"/>
      <c r="I55" s="42" t="str">
        <f t="shared" si="18"/>
        <v/>
      </c>
      <c r="J55" s="36"/>
      <c r="K55" s="42" t="str">
        <f t="shared" si="19"/>
        <v/>
      </c>
    </row>
    <row r="57" spans="1:11" x14ac:dyDescent="0.25">
      <c r="A57" s="38" t="s">
        <v>70</v>
      </c>
      <c r="B57" s="54"/>
      <c r="C57" s="54"/>
      <c r="D57" s="38"/>
      <c r="E57" s="38"/>
      <c r="F57" s="38"/>
      <c r="G57" s="38"/>
      <c r="H57" s="38"/>
      <c r="I57" s="38"/>
      <c r="J57" s="38"/>
      <c r="K57" s="38"/>
    </row>
    <row r="58" spans="1:11" ht="23.25" x14ac:dyDescent="0.25">
      <c r="A58" s="62" t="s">
        <v>104</v>
      </c>
      <c r="B58" s="39" t="s">
        <v>55</v>
      </c>
      <c r="C58" s="39" t="s">
        <v>56</v>
      </c>
      <c r="D58" s="55" t="s">
        <v>8</v>
      </c>
      <c r="E58" s="39" t="s">
        <v>81</v>
      </c>
      <c r="F58" s="55" t="s">
        <v>8</v>
      </c>
      <c r="G58" s="39" t="s">
        <v>81</v>
      </c>
      <c r="H58" s="55" t="s">
        <v>8</v>
      </c>
      <c r="I58" s="39" t="s">
        <v>81</v>
      </c>
      <c r="J58" s="55" t="s">
        <v>8</v>
      </c>
      <c r="K58" s="39" t="s">
        <v>81</v>
      </c>
    </row>
    <row r="59" spans="1:11" x14ac:dyDescent="0.25">
      <c r="A59" s="52">
        <v>1</v>
      </c>
      <c r="B59" s="63" t="s">
        <v>115</v>
      </c>
      <c r="C59" s="63" t="s">
        <v>141</v>
      </c>
      <c r="D59" s="36"/>
      <c r="E59" s="42" t="str">
        <f t="shared" ref="E59:E64" si="20">IF(D59&gt;0,VLOOKUP(D59,Jumpers,3)&amp;", "&amp;VLOOKUP(D59,Jumpers,2)&amp;" ("&amp;VLOOKUP(D59,Jumpers,7)&amp;")","")</f>
        <v/>
      </c>
      <c r="F59" s="36"/>
      <c r="G59" s="42" t="str">
        <f t="shared" ref="G59:G64" si="21">IF(F59&gt;0,VLOOKUP(F59,Jumpers,3)&amp;", "&amp;VLOOKUP(F59,Jumpers,2)&amp;" ("&amp;VLOOKUP(F59,Jumpers,7)&amp;")","")</f>
        <v/>
      </c>
      <c r="H59" s="36"/>
      <c r="I59" s="42" t="str">
        <f t="shared" ref="I59:I64" si="22">IF(H59&gt;0,VLOOKUP(H59,Jumpers,3)&amp;", "&amp;VLOOKUP(H59,Jumpers,2)&amp;" ("&amp;VLOOKUP(H59,Jumpers,7)&amp;")","")</f>
        <v/>
      </c>
      <c r="J59" s="36"/>
      <c r="K59" s="42" t="str">
        <f t="shared" ref="K59:K64" si="23">IF(J59&gt;0,VLOOKUP(J59,Jumpers,3)&amp;", "&amp;VLOOKUP(J59,Jumpers,2)&amp;" ("&amp;VLOOKUP(J59,Jumpers,7)&amp;")","")</f>
        <v/>
      </c>
    </row>
    <row r="60" spans="1:11" x14ac:dyDescent="0.25">
      <c r="A60" s="52">
        <v>2</v>
      </c>
      <c r="B60" s="63" t="s">
        <v>115</v>
      </c>
      <c r="C60" s="63" t="s">
        <v>141</v>
      </c>
      <c r="D60" s="36"/>
      <c r="E60" s="42" t="str">
        <f t="shared" si="20"/>
        <v/>
      </c>
      <c r="F60" s="36"/>
      <c r="G60" s="42" t="str">
        <f t="shared" si="21"/>
        <v/>
      </c>
      <c r="H60" s="36"/>
      <c r="I60" s="42" t="str">
        <f t="shared" si="22"/>
        <v/>
      </c>
      <c r="J60" s="36"/>
      <c r="K60" s="42" t="str">
        <f t="shared" si="23"/>
        <v/>
      </c>
    </row>
    <row r="61" spans="1:11" x14ac:dyDescent="0.25">
      <c r="A61" s="52">
        <v>3</v>
      </c>
      <c r="B61" s="63" t="s">
        <v>115</v>
      </c>
      <c r="C61" s="63" t="s">
        <v>141</v>
      </c>
      <c r="D61" s="36"/>
      <c r="E61" s="42" t="str">
        <f t="shared" si="20"/>
        <v/>
      </c>
      <c r="F61" s="36"/>
      <c r="G61" s="42" t="str">
        <f t="shared" si="21"/>
        <v/>
      </c>
      <c r="H61" s="36"/>
      <c r="I61" s="42" t="str">
        <f t="shared" si="22"/>
        <v/>
      </c>
      <c r="J61" s="36"/>
      <c r="K61" s="42" t="str">
        <f t="shared" si="23"/>
        <v/>
      </c>
    </row>
    <row r="62" spans="1:11" x14ac:dyDescent="0.25">
      <c r="A62" s="52">
        <v>4</v>
      </c>
      <c r="B62" s="63" t="s">
        <v>115</v>
      </c>
      <c r="C62" s="63" t="s">
        <v>141</v>
      </c>
      <c r="D62" s="36"/>
      <c r="E62" s="42" t="str">
        <f t="shared" si="20"/>
        <v/>
      </c>
      <c r="F62" s="36"/>
      <c r="G62" s="42" t="str">
        <f t="shared" si="21"/>
        <v/>
      </c>
      <c r="H62" s="36"/>
      <c r="I62" s="42" t="str">
        <f t="shared" si="22"/>
        <v/>
      </c>
      <c r="J62" s="36"/>
      <c r="K62" s="42" t="str">
        <f t="shared" si="23"/>
        <v/>
      </c>
    </row>
    <row r="63" spans="1:11" x14ac:dyDescent="0.25">
      <c r="A63" s="52">
        <v>5</v>
      </c>
      <c r="B63" s="63" t="s">
        <v>115</v>
      </c>
      <c r="C63" s="63" t="s">
        <v>141</v>
      </c>
      <c r="D63" s="36"/>
      <c r="E63" s="42" t="str">
        <f t="shared" si="20"/>
        <v/>
      </c>
      <c r="F63" s="36"/>
      <c r="G63" s="42" t="str">
        <f t="shared" si="21"/>
        <v/>
      </c>
      <c r="H63" s="36"/>
      <c r="I63" s="42" t="str">
        <f t="shared" si="22"/>
        <v/>
      </c>
      <c r="J63" s="36"/>
      <c r="K63" s="42" t="str">
        <f t="shared" si="23"/>
        <v/>
      </c>
    </row>
    <row r="64" spans="1:11" x14ac:dyDescent="0.25">
      <c r="A64" s="52">
        <v>6</v>
      </c>
      <c r="B64" s="63" t="s">
        <v>115</v>
      </c>
      <c r="C64" s="63" t="s">
        <v>141</v>
      </c>
      <c r="D64" s="36"/>
      <c r="E64" s="42" t="str">
        <f t="shared" si="20"/>
        <v/>
      </c>
      <c r="F64" s="36"/>
      <c r="G64" s="42" t="str">
        <f t="shared" si="21"/>
        <v/>
      </c>
      <c r="H64" s="36"/>
      <c r="I64" s="42" t="str">
        <f t="shared" si="22"/>
        <v/>
      </c>
      <c r="J64" s="36"/>
      <c r="K64" s="42" t="str">
        <f t="shared" si="23"/>
        <v/>
      </c>
    </row>
    <row r="67" spans="1:11" ht="18.75" x14ac:dyDescent="0.3">
      <c r="A67" s="64" t="str">
        <f>CONCATENATE(A1," - Open Division")</f>
        <v>Double Dutch Pairs Freestyle - Open Division</v>
      </c>
      <c r="B67" s="54"/>
      <c r="C67" s="54"/>
      <c r="D67" s="38"/>
      <c r="E67" s="38"/>
      <c r="F67" s="38"/>
      <c r="G67" s="38"/>
      <c r="H67" s="38"/>
      <c r="I67" s="38"/>
      <c r="J67" s="38"/>
      <c r="K67" s="38"/>
    </row>
    <row r="68" spans="1:11" x14ac:dyDescent="0.25">
      <c r="A68" s="38" t="s">
        <v>107</v>
      </c>
      <c r="B68" s="54"/>
      <c r="C68" s="54"/>
      <c r="D68" s="38"/>
      <c r="E68" s="38"/>
      <c r="F68" s="38"/>
      <c r="G68" s="38"/>
      <c r="H68" s="38"/>
      <c r="I68" s="38"/>
      <c r="J68" s="38"/>
      <c r="K68" s="38"/>
    </row>
    <row r="69" spans="1:11" ht="23.25" x14ac:dyDescent="0.25">
      <c r="A69" s="62" t="s">
        <v>104</v>
      </c>
      <c r="B69" s="39" t="s">
        <v>55</v>
      </c>
      <c r="C69" s="39" t="s">
        <v>56</v>
      </c>
      <c r="D69" s="55" t="s">
        <v>8</v>
      </c>
      <c r="E69" s="39" t="s">
        <v>81</v>
      </c>
      <c r="F69" s="55" t="s">
        <v>8</v>
      </c>
      <c r="G69" s="39" t="s">
        <v>81</v>
      </c>
      <c r="H69" s="55" t="s">
        <v>8</v>
      </c>
      <c r="I69" s="39" t="s">
        <v>81</v>
      </c>
      <c r="J69" s="55" t="s">
        <v>8</v>
      </c>
      <c r="K69" s="39" t="s">
        <v>81</v>
      </c>
    </row>
    <row r="70" spans="1:11" x14ac:dyDescent="0.25">
      <c r="A70" s="52">
        <v>1</v>
      </c>
      <c r="B70" s="63" t="s">
        <v>111</v>
      </c>
      <c r="C70" s="63" t="s">
        <v>48</v>
      </c>
      <c r="D70" s="36"/>
      <c r="E70" s="42" t="str">
        <f t="shared" ref="E70:E77" si="24">IF(D70&gt;0,VLOOKUP(D70,Jumpers,3)&amp;", "&amp;VLOOKUP(D70,Jumpers,2)&amp;" ("&amp;VLOOKUP(D70,Jumpers,7)&amp;")","")</f>
        <v/>
      </c>
      <c r="F70" s="36"/>
      <c r="G70" s="42" t="str">
        <f t="shared" ref="G70:G77" si="25">IF(F70&gt;0,VLOOKUP(F70,Jumpers,3)&amp;", "&amp;VLOOKUP(F70,Jumpers,2)&amp;" ("&amp;VLOOKUP(F70,Jumpers,7)&amp;")","")</f>
        <v/>
      </c>
      <c r="H70" s="36"/>
      <c r="I70" s="42" t="str">
        <f t="shared" ref="I70:I77" si="26">IF(H70&gt;0,VLOOKUP(H70,Jumpers,3)&amp;", "&amp;VLOOKUP(H70,Jumpers,2)&amp;" ("&amp;VLOOKUP(H70,Jumpers,7)&amp;")","")</f>
        <v/>
      </c>
      <c r="J70" s="36"/>
      <c r="K70" s="42" t="str">
        <f t="shared" ref="K70:K77" si="27">IF(J70&gt;0,VLOOKUP(J70,Jumpers,3)&amp;", "&amp;VLOOKUP(J70,Jumpers,2)&amp;" ("&amp;VLOOKUP(J70,Jumpers,7)&amp;")","")</f>
        <v/>
      </c>
    </row>
    <row r="71" spans="1:11" x14ac:dyDescent="0.25">
      <c r="A71" s="52">
        <v>2</v>
      </c>
      <c r="B71" s="63" t="s">
        <v>111</v>
      </c>
      <c r="C71" s="63" t="s">
        <v>48</v>
      </c>
      <c r="D71" s="36"/>
      <c r="E71" s="42" t="str">
        <f t="shared" si="24"/>
        <v/>
      </c>
      <c r="F71" s="36"/>
      <c r="G71" s="42" t="str">
        <f t="shared" si="25"/>
        <v/>
      </c>
      <c r="H71" s="36"/>
      <c r="I71" s="42" t="str">
        <f t="shared" si="26"/>
        <v/>
      </c>
      <c r="J71" s="36"/>
      <c r="K71" s="42" t="str">
        <f t="shared" si="27"/>
        <v/>
      </c>
    </row>
    <row r="72" spans="1:11" x14ac:dyDescent="0.25">
      <c r="A72" s="52">
        <v>3</v>
      </c>
      <c r="B72" s="63" t="s">
        <v>111</v>
      </c>
      <c r="C72" s="63" t="s">
        <v>48</v>
      </c>
      <c r="D72" s="36"/>
      <c r="E72" s="42" t="str">
        <f t="shared" si="24"/>
        <v/>
      </c>
      <c r="F72" s="36"/>
      <c r="G72" s="42" t="str">
        <f t="shared" si="25"/>
        <v/>
      </c>
      <c r="H72" s="36"/>
      <c r="I72" s="42" t="str">
        <f t="shared" si="26"/>
        <v/>
      </c>
      <c r="J72" s="36"/>
      <c r="K72" s="42" t="str">
        <f t="shared" si="27"/>
        <v/>
      </c>
    </row>
    <row r="73" spans="1:11" x14ac:dyDescent="0.25">
      <c r="A73" s="52">
        <v>4</v>
      </c>
      <c r="B73" s="63" t="s">
        <v>111</v>
      </c>
      <c r="C73" s="63" t="s">
        <v>48</v>
      </c>
      <c r="D73" s="36"/>
      <c r="E73" s="42" t="str">
        <f t="shared" si="24"/>
        <v/>
      </c>
      <c r="F73" s="36"/>
      <c r="G73" s="42" t="str">
        <f t="shared" si="25"/>
        <v/>
      </c>
      <c r="H73" s="36"/>
      <c r="I73" s="42" t="str">
        <f t="shared" si="26"/>
        <v/>
      </c>
      <c r="J73" s="36"/>
      <c r="K73" s="42" t="str">
        <f t="shared" si="27"/>
        <v/>
      </c>
    </row>
    <row r="74" spans="1:11" x14ac:dyDescent="0.25">
      <c r="A74" s="52">
        <v>5</v>
      </c>
      <c r="B74" s="63" t="s">
        <v>111</v>
      </c>
      <c r="C74" s="63" t="s">
        <v>48</v>
      </c>
      <c r="D74" s="36"/>
      <c r="E74" s="42" t="str">
        <f t="shared" si="24"/>
        <v/>
      </c>
      <c r="F74" s="36"/>
      <c r="G74" s="42" t="str">
        <f t="shared" si="25"/>
        <v/>
      </c>
      <c r="H74" s="36"/>
      <c r="I74" s="42" t="str">
        <f t="shared" si="26"/>
        <v/>
      </c>
      <c r="J74" s="36"/>
      <c r="K74" s="42" t="str">
        <f t="shared" si="27"/>
        <v/>
      </c>
    </row>
    <row r="75" spans="1:11" x14ac:dyDescent="0.25">
      <c r="A75" s="52">
        <v>6</v>
      </c>
      <c r="B75" s="63" t="s">
        <v>111</v>
      </c>
      <c r="C75" s="63" t="s">
        <v>48</v>
      </c>
      <c r="D75" s="36"/>
      <c r="E75" s="42" t="str">
        <f t="shared" si="24"/>
        <v/>
      </c>
      <c r="F75" s="36"/>
      <c r="G75" s="42" t="str">
        <f t="shared" si="25"/>
        <v/>
      </c>
      <c r="H75" s="36"/>
      <c r="I75" s="42" t="str">
        <f t="shared" si="26"/>
        <v/>
      </c>
      <c r="J75" s="36"/>
      <c r="K75" s="42" t="str">
        <f t="shared" si="27"/>
        <v/>
      </c>
    </row>
    <row r="76" spans="1:11" x14ac:dyDescent="0.25">
      <c r="A76" s="52">
        <v>7</v>
      </c>
      <c r="B76" s="63" t="s">
        <v>111</v>
      </c>
      <c r="C76" s="63" t="s">
        <v>48</v>
      </c>
      <c r="D76" s="36"/>
      <c r="E76" s="42" t="str">
        <f t="shared" si="24"/>
        <v/>
      </c>
      <c r="F76" s="36"/>
      <c r="G76" s="42" t="str">
        <f t="shared" si="25"/>
        <v/>
      </c>
      <c r="H76" s="36"/>
      <c r="I76" s="42" t="str">
        <f t="shared" si="26"/>
        <v/>
      </c>
      <c r="J76" s="36"/>
      <c r="K76" s="42" t="str">
        <f t="shared" si="27"/>
        <v/>
      </c>
    </row>
    <row r="77" spans="1:11" x14ac:dyDescent="0.25">
      <c r="A77" s="52">
        <v>8</v>
      </c>
      <c r="B77" s="63" t="s">
        <v>111</v>
      </c>
      <c r="C77" s="63" t="s">
        <v>48</v>
      </c>
      <c r="D77" s="36"/>
      <c r="E77" s="42" t="str">
        <f t="shared" si="24"/>
        <v/>
      </c>
      <c r="F77" s="36"/>
      <c r="G77" s="42" t="str">
        <f t="shared" si="25"/>
        <v/>
      </c>
      <c r="H77" s="36"/>
      <c r="I77" s="42" t="str">
        <f t="shared" si="26"/>
        <v/>
      </c>
      <c r="J77" s="36"/>
      <c r="K77" s="42" t="str">
        <f t="shared" si="27"/>
        <v/>
      </c>
    </row>
    <row r="79" spans="1:11" x14ac:dyDescent="0.25">
      <c r="A79" s="38" t="s">
        <v>70</v>
      </c>
      <c r="B79" s="54"/>
      <c r="C79" s="54"/>
      <c r="D79" s="38"/>
      <c r="E79" s="38"/>
      <c r="F79" s="38"/>
      <c r="G79" s="38"/>
      <c r="H79" s="38"/>
      <c r="I79" s="38"/>
      <c r="J79" s="38"/>
      <c r="K79" s="38"/>
    </row>
    <row r="80" spans="1:11" ht="23.25" x14ac:dyDescent="0.25">
      <c r="A80" s="62" t="s">
        <v>104</v>
      </c>
      <c r="B80" s="39" t="s">
        <v>55</v>
      </c>
      <c r="C80" s="39" t="s">
        <v>56</v>
      </c>
      <c r="D80" s="55" t="s">
        <v>8</v>
      </c>
      <c r="E80" s="39" t="s">
        <v>81</v>
      </c>
      <c r="F80" s="55" t="s">
        <v>8</v>
      </c>
      <c r="G80" s="39" t="s">
        <v>81</v>
      </c>
      <c r="H80" s="55" t="s">
        <v>8</v>
      </c>
      <c r="I80" s="39" t="s">
        <v>81</v>
      </c>
      <c r="J80" s="55" t="s">
        <v>8</v>
      </c>
      <c r="K80" s="39" t="s">
        <v>81</v>
      </c>
    </row>
    <row r="81" spans="1:11" x14ac:dyDescent="0.25">
      <c r="A81" s="52">
        <v>1</v>
      </c>
      <c r="B81" s="63" t="s">
        <v>111</v>
      </c>
      <c r="C81" s="63" t="s">
        <v>141</v>
      </c>
      <c r="D81" s="36"/>
      <c r="E81" s="42" t="str">
        <f t="shared" ref="E81:E86" si="28">IF(D81&gt;0,VLOOKUP(D81,Jumpers,3)&amp;", "&amp;VLOOKUP(D81,Jumpers,2)&amp;" ("&amp;VLOOKUP(D81,Jumpers,7)&amp;")","")</f>
        <v/>
      </c>
      <c r="F81" s="36"/>
      <c r="G81" s="42" t="str">
        <f t="shared" ref="G81:G86" si="29">IF(F81&gt;0,VLOOKUP(F81,Jumpers,3)&amp;", "&amp;VLOOKUP(F81,Jumpers,2)&amp;" ("&amp;VLOOKUP(F81,Jumpers,7)&amp;")","")</f>
        <v/>
      </c>
      <c r="H81" s="36"/>
      <c r="I81" s="42" t="str">
        <f t="shared" ref="I81:I86" si="30">IF(H81&gt;0,VLOOKUP(H81,Jumpers,3)&amp;", "&amp;VLOOKUP(H81,Jumpers,2)&amp;" ("&amp;VLOOKUP(H81,Jumpers,7)&amp;")","")</f>
        <v/>
      </c>
      <c r="J81" s="36"/>
      <c r="K81" s="42" t="str">
        <f t="shared" ref="K81:K86" si="31">IF(J81&gt;0,VLOOKUP(J81,Jumpers,3)&amp;", "&amp;VLOOKUP(J81,Jumpers,2)&amp;" ("&amp;VLOOKUP(J81,Jumpers,7)&amp;")","")</f>
        <v/>
      </c>
    </row>
    <row r="82" spans="1:11" x14ac:dyDescent="0.25">
      <c r="A82" s="52">
        <v>2</v>
      </c>
      <c r="B82" s="63" t="s">
        <v>111</v>
      </c>
      <c r="C82" s="63" t="s">
        <v>141</v>
      </c>
      <c r="D82" s="36"/>
      <c r="E82" s="42" t="str">
        <f t="shared" si="28"/>
        <v/>
      </c>
      <c r="F82" s="36"/>
      <c r="G82" s="42" t="str">
        <f t="shared" si="29"/>
        <v/>
      </c>
      <c r="H82" s="36"/>
      <c r="I82" s="42" t="str">
        <f t="shared" si="30"/>
        <v/>
      </c>
      <c r="J82" s="36"/>
      <c r="K82" s="42" t="str">
        <f t="shared" si="31"/>
        <v/>
      </c>
    </row>
    <row r="83" spans="1:11" x14ac:dyDescent="0.25">
      <c r="A83" s="52">
        <v>3</v>
      </c>
      <c r="B83" s="63" t="s">
        <v>111</v>
      </c>
      <c r="C83" s="63" t="s">
        <v>141</v>
      </c>
      <c r="D83" s="36"/>
      <c r="E83" s="42" t="str">
        <f t="shared" si="28"/>
        <v/>
      </c>
      <c r="F83" s="36"/>
      <c r="G83" s="42" t="str">
        <f t="shared" si="29"/>
        <v/>
      </c>
      <c r="H83" s="36"/>
      <c r="I83" s="42" t="str">
        <f t="shared" si="30"/>
        <v/>
      </c>
      <c r="J83" s="36"/>
      <c r="K83" s="42" t="str">
        <f t="shared" si="31"/>
        <v/>
      </c>
    </row>
    <row r="84" spans="1:11" x14ac:dyDescent="0.25">
      <c r="A84" s="52">
        <v>4</v>
      </c>
      <c r="B84" s="63" t="s">
        <v>111</v>
      </c>
      <c r="C84" s="63" t="s">
        <v>141</v>
      </c>
      <c r="D84" s="36"/>
      <c r="E84" s="42" t="str">
        <f t="shared" si="28"/>
        <v/>
      </c>
      <c r="F84" s="36"/>
      <c r="G84" s="42" t="str">
        <f t="shared" si="29"/>
        <v/>
      </c>
      <c r="H84" s="36"/>
      <c r="I84" s="42" t="str">
        <f t="shared" si="30"/>
        <v/>
      </c>
      <c r="J84" s="36"/>
      <c r="K84" s="42" t="str">
        <f t="shared" si="31"/>
        <v/>
      </c>
    </row>
    <row r="85" spans="1:11" x14ac:dyDescent="0.25">
      <c r="A85" s="52">
        <v>5</v>
      </c>
      <c r="B85" s="63" t="s">
        <v>111</v>
      </c>
      <c r="C85" s="63" t="s">
        <v>141</v>
      </c>
      <c r="D85" s="36"/>
      <c r="E85" s="42" t="str">
        <f t="shared" si="28"/>
        <v/>
      </c>
      <c r="F85" s="36"/>
      <c r="G85" s="42" t="str">
        <f t="shared" si="29"/>
        <v/>
      </c>
      <c r="H85" s="36"/>
      <c r="I85" s="42" t="str">
        <f t="shared" si="30"/>
        <v/>
      </c>
      <c r="J85" s="36"/>
      <c r="K85" s="42" t="str">
        <f t="shared" si="31"/>
        <v/>
      </c>
    </row>
    <row r="86" spans="1:11" x14ac:dyDescent="0.25">
      <c r="A86" s="52">
        <v>6</v>
      </c>
      <c r="B86" s="63" t="s">
        <v>111</v>
      </c>
      <c r="C86" s="63" t="s">
        <v>141</v>
      </c>
      <c r="D86" s="36"/>
      <c r="E86" s="42" t="str">
        <f t="shared" si="28"/>
        <v/>
      </c>
      <c r="F86" s="36"/>
      <c r="G86" s="42" t="str">
        <f t="shared" si="29"/>
        <v/>
      </c>
      <c r="H86" s="36"/>
      <c r="I86" s="42" t="str">
        <f t="shared" si="30"/>
        <v/>
      </c>
      <c r="J86" s="36"/>
      <c r="K86" s="42" t="str">
        <f t="shared" si="31"/>
        <v/>
      </c>
    </row>
  </sheetData>
  <sheetProtection password="CE88" sheet="1" objects="1" scenarios="1" selectLockedCells="1"/>
  <mergeCells count="2">
    <mergeCell ref="A2:G2"/>
    <mergeCell ref="A3:G3"/>
  </mergeCells>
  <phoneticPr fontId="23" type="noConversion"/>
  <conditionalFormatting sqref="D6:D17 F6:F17 H6:H17 J6:J17">
    <cfRule type="expression" dxfId="67" priority="26" stopIfTrue="1">
      <formula>AND(D6&lt;&gt;"",COUNTIF($D$6:$J$86,D6)&gt;1)</formula>
    </cfRule>
    <cfRule type="expression" dxfId="66" priority="27" stopIfTrue="1">
      <formula>OR(CODE(D6)&lt;48,CODE(D6)&gt;57)</formula>
    </cfRule>
    <cfRule type="expression" dxfId="65" priority="28" stopIfTrue="1">
      <formula>VLOOKUP(D6,Jumpers,7)&gt;10</formula>
    </cfRule>
  </conditionalFormatting>
  <conditionalFormatting sqref="D20:D31 F20:F31 H20:H31 J20:J31">
    <cfRule type="expression" dxfId="64" priority="23" stopIfTrue="1">
      <formula>AND(D20&lt;&gt;"",COUNTIF($D$6:$J$86,D20)&gt;1)</formula>
    </cfRule>
    <cfRule type="expression" dxfId="63" priority="24" stopIfTrue="1">
      <formula>OR(CODE(D20)&lt;48,CODE(D20)&gt;57)</formula>
    </cfRule>
    <cfRule type="expression" dxfId="62" priority="25" stopIfTrue="1">
      <formula>VLOOKUP(D20,Jumpers,7)&gt;12</formula>
    </cfRule>
  </conditionalFormatting>
  <conditionalFormatting sqref="D34:D39 F34:F39 H34:H39 J34:J39">
    <cfRule type="expression" dxfId="61" priority="20" stopIfTrue="1">
      <formula>AND(D34&lt;&gt;"",COUNTIF($D$6:$J$86,D34)&gt;1)</formula>
    </cfRule>
    <cfRule type="expression" dxfId="60" priority="21" stopIfTrue="1">
      <formula>OR(CODE(D34)&lt;48,CODE(D34)&gt;57)</formula>
    </cfRule>
    <cfRule type="expression" dxfId="59" priority="22" stopIfTrue="1">
      <formula>VLOOKUP(D34,Jumpers,7)&gt;14</formula>
    </cfRule>
  </conditionalFormatting>
  <conditionalFormatting sqref="D42:D44 F42:F44 H42:H44 J42:J44">
    <cfRule type="expression" dxfId="58" priority="17" stopIfTrue="1">
      <formula>AND(D42&lt;&gt;"",COUNTIF($D$6:$J$86,D42)&gt;1)</formula>
    </cfRule>
    <cfRule type="expression" dxfId="57" priority="18" stopIfTrue="1">
      <formula>OR(CODE(D42)&lt;48,CODE(D42)&gt;57)</formula>
    </cfRule>
    <cfRule type="expression" dxfId="56" priority="19" stopIfTrue="1">
      <formula>VLOOKUP(D42,Jumpers,7)&lt;30</formula>
    </cfRule>
  </conditionalFormatting>
  <conditionalFormatting sqref="D48:D55 F48:F55 H48:H55 J48:J55">
    <cfRule type="expression" dxfId="55" priority="5">
      <formula>VLOOKUP(D48,Jumpers,5) &lt;&gt;"F"</formula>
    </cfRule>
    <cfRule type="expression" dxfId="54" priority="14" stopIfTrue="1">
      <formula>AND(D48&lt;&gt;"",COUNTIF($D$6:$J$86,D48)&gt;1)</formula>
    </cfRule>
    <cfRule type="expression" dxfId="53" priority="15" stopIfTrue="1">
      <formula>OR(CODE(D48)&lt;48,CODE(D48)&gt;57)</formula>
    </cfRule>
    <cfRule type="expression" dxfId="52" priority="16" stopIfTrue="1">
      <formula>VLOOKUP(D48,Jumpers,7)&gt;17</formula>
    </cfRule>
  </conditionalFormatting>
  <conditionalFormatting sqref="D70:D77 F70:F77 H70:H77 J70:J77">
    <cfRule type="expression" dxfId="51" priority="11" stopIfTrue="1">
      <formula>AND(D70&lt;&gt;"",COUNTIF($D$6:$J$86,D70)&gt;1)</formula>
    </cfRule>
    <cfRule type="expression" dxfId="50" priority="12" stopIfTrue="1">
      <formula>OR(CODE(D70)&lt;48,CODE(D70)&gt;57)</formula>
    </cfRule>
    <cfRule type="expression" dxfId="49" priority="13" stopIfTrue="1">
      <formula>VLOOKUP(D70,Jumpers,7)&gt;17</formula>
    </cfRule>
  </conditionalFormatting>
  <conditionalFormatting sqref="D81:D86 F81:F86 H81:H86 J81:J86">
    <cfRule type="expression" dxfId="48" priority="6" stopIfTrue="1">
      <formula>AND(D81&lt;&gt;"",COUNTIF($D$6:$J$86,D81)&gt;1)</formula>
    </cfRule>
    <cfRule type="expression" dxfId="47" priority="7" stopIfTrue="1">
      <formula>OR(CODE(D81)&lt;48,CODE(D81)&gt;57)</formula>
    </cfRule>
  </conditionalFormatting>
  <conditionalFormatting sqref="D59:D64 F59:F64 H59:H64 J59:J64">
    <cfRule type="expression" dxfId="46" priority="1">
      <formula>VLOOKUP(D59,Jumpers,5) &lt;&gt;"F"</formula>
    </cfRule>
    <cfRule type="expression" dxfId="45" priority="2" stopIfTrue="1">
      <formula>AND(D59&lt;&gt;"",COUNTIF($D$6:$J$86,D59)&gt;1)</formula>
    </cfRule>
    <cfRule type="expression" dxfId="44" priority="3" stopIfTrue="1">
      <formula>OR(CODE(D59)&lt;48,CODE(D59)&gt;57)</formula>
    </cfRule>
  </conditionalFormatting>
  <pageMargins left="0.25" right="0.25" top="0.75" bottom="0.75" header="0.3" footer="0.3"/>
  <pageSetup scale="76" fitToHeight="2" orientation="landscape" horizontalDpi="180" verticalDpi="180"/>
  <headerFooter>
    <oddHeader>&amp;LUSAJR Regional Tournament&amp;R&amp;A</oddHeader>
    <oddFooter>&amp;RPage &amp;P of &amp;N</oddFooter>
  </headerFooter>
  <rowBreaks count="1" manualBreakCount="1">
    <brk id="65" max="16383" man="1"/>
  </rowBreaks>
  <customProperties>
    <customPr name="DVSECTIONID" r:id="rId1"/>
  </customProperties>
  <extLst>
    <ext xmlns:mx="http://schemas.microsoft.com/office/mac/excel/2008/main" uri="{64002731-A6B0-56B0-2670-7721B7C09600}">
      <mx:PLV Mode="0" OnePage="0" WScale="83"/>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1"/>
  </sheetPr>
  <dimension ref="A1:I59"/>
  <sheetViews>
    <sheetView topLeftCell="A12" workbookViewId="0">
      <selection activeCell="H37" sqref="H37"/>
    </sheetView>
  </sheetViews>
  <sheetFormatPr defaultColWidth="8.85546875" defaultRowHeight="15" x14ac:dyDescent="0.25"/>
  <cols>
    <col min="1" max="1" width="7.42578125" customWidth="1"/>
    <col min="2" max="2" width="41.85546875" style="8" bestFit="1" customWidth="1"/>
    <col min="3" max="3" width="2" customWidth="1"/>
    <col min="4" max="4" width="6.28515625" bestFit="1" customWidth="1"/>
    <col min="5" max="5" width="10.28515625" bestFit="1" customWidth="1"/>
    <col min="8" max="9" width="8.85546875" style="2"/>
  </cols>
  <sheetData>
    <row r="1" spans="1:9" x14ac:dyDescent="0.25">
      <c r="A1" s="27" t="s">
        <v>120</v>
      </c>
      <c r="B1" s="25"/>
      <c r="C1" s="26"/>
      <c r="D1" s="26"/>
      <c r="E1" s="26"/>
      <c r="F1" s="26"/>
      <c r="G1" s="26"/>
      <c r="H1" s="29"/>
      <c r="I1" s="30"/>
    </row>
    <row r="3" spans="1:9" ht="30" x14ac:dyDescent="0.25">
      <c r="A3" s="28" t="s">
        <v>122</v>
      </c>
      <c r="B3" s="9" t="s">
        <v>15</v>
      </c>
      <c r="D3" s="47" t="s">
        <v>61</v>
      </c>
      <c r="E3" s="47" t="s">
        <v>43</v>
      </c>
      <c r="F3" s="48" t="s">
        <v>121</v>
      </c>
      <c r="H3" s="24" t="s">
        <v>38</v>
      </c>
      <c r="I3" s="24" t="s">
        <v>65</v>
      </c>
    </row>
    <row r="4" spans="1:9" x14ac:dyDescent="0.25">
      <c r="A4" t="str">
        <f>LEFT(B4,(SEARCH("-",B4))-1)</f>
        <v>ALT</v>
      </c>
      <c r="B4" s="7" t="s">
        <v>16</v>
      </c>
      <c r="D4" s="46">
        <v>1</v>
      </c>
      <c r="E4" s="51" t="s">
        <v>146</v>
      </c>
      <c r="F4" s="46">
        <v>1</v>
      </c>
      <c r="H4" s="1">
        <v>5</v>
      </c>
      <c r="I4" s="45">
        <v>9</v>
      </c>
    </row>
    <row r="5" spans="1:9" x14ac:dyDescent="0.25">
      <c r="A5" t="str">
        <f t="shared" ref="A5:A25" si="0">LEFT(B5,(SEARCH("-",B5))-1)</f>
        <v>DDPF</v>
      </c>
      <c r="B5" s="7" t="s">
        <v>32</v>
      </c>
      <c r="D5" s="46">
        <v>2</v>
      </c>
      <c r="E5" s="51">
        <v>9</v>
      </c>
      <c r="F5" s="46">
        <v>2</v>
      </c>
      <c r="H5" s="1">
        <v>6</v>
      </c>
      <c r="I5" s="45">
        <v>9</v>
      </c>
    </row>
    <row r="6" spans="1:9" x14ac:dyDescent="0.25">
      <c r="A6" t="str">
        <f t="shared" si="0"/>
        <v>DDPS</v>
      </c>
      <c r="B6" s="7" t="s">
        <v>23</v>
      </c>
      <c r="D6" s="46">
        <v>3</v>
      </c>
      <c r="E6" s="51">
        <v>10</v>
      </c>
      <c r="F6" s="46">
        <v>3</v>
      </c>
      <c r="H6" s="1">
        <v>7</v>
      </c>
      <c r="I6" s="45">
        <v>9</v>
      </c>
    </row>
    <row r="7" spans="1:9" x14ac:dyDescent="0.25">
      <c r="A7" t="str">
        <f t="shared" si="0"/>
        <v>DDSF</v>
      </c>
      <c r="B7" s="7" t="s">
        <v>30</v>
      </c>
      <c r="D7" s="49">
        <v>4</v>
      </c>
      <c r="E7" s="50" t="s">
        <v>62</v>
      </c>
      <c r="F7" s="49">
        <v>4</v>
      </c>
      <c r="H7" s="1">
        <v>8</v>
      </c>
      <c r="I7" s="45">
        <v>9</v>
      </c>
    </row>
    <row r="8" spans="1:9" x14ac:dyDescent="0.25">
      <c r="A8" t="str">
        <f t="shared" si="0"/>
        <v>DDSR</v>
      </c>
      <c r="B8" s="7" t="s">
        <v>22</v>
      </c>
      <c r="D8" s="46">
        <v>5</v>
      </c>
      <c r="E8" s="50">
        <v>11</v>
      </c>
      <c r="F8" s="46">
        <v>5</v>
      </c>
      <c r="H8" s="1">
        <v>9</v>
      </c>
      <c r="I8" s="31">
        <v>9</v>
      </c>
    </row>
    <row r="9" spans="1:9" x14ac:dyDescent="0.25">
      <c r="A9" t="str">
        <f t="shared" si="0"/>
        <v>FDDPF</v>
      </c>
      <c r="B9" s="7" t="s">
        <v>33</v>
      </c>
      <c r="D9" s="46">
        <v>6</v>
      </c>
      <c r="E9" s="50">
        <v>12</v>
      </c>
      <c r="F9" s="46">
        <v>6</v>
      </c>
      <c r="H9" s="1">
        <v>10</v>
      </c>
      <c r="I9" s="31">
        <v>10</v>
      </c>
    </row>
    <row r="10" spans="1:9" x14ac:dyDescent="0.25">
      <c r="A10" t="str">
        <f t="shared" si="0"/>
        <v>FDDSF</v>
      </c>
      <c r="B10" s="7" t="s">
        <v>31</v>
      </c>
      <c r="D10" s="46">
        <v>7</v>
      </c>
      <c r="E10" s="18" t="s">
        <v>45</v>
      </c>
      <c r="F10" s="46">
        <v>7</v>
      </c>
      <c r="H10" s="1">
        <v>11</v>
      </c>
      <c r="I10" s="31">
        <v>11</v>
      </c>
    </row>
    <row r="11" spans="1:9" x14ac:dyDescent="0.25">
      <c r="A11" t="str">
        <f t="shared" si="0"/>
        <v>FSRF</v>
      </c>
      <c r="B11" s="7" t="s">
        <v>27</v>
      </c>
      <c r="D11" s="49">
        <v>8</v>
      </c>
      <c r="E11" s="18" t="s">
        <v>46</v>
      </c>
      <c r="F11" s="49">
        <v>8</v>
      </c>
      <c r="H11" s="1">
        <v>12</v>
      </c>
      <c r="I11" s="31">
        <v>12</v>
      </c>
    </row>
    <row r="12" spans="1:9" x14ac:dyDescent="0.25">
      <c r="A12" t="str">
        <f t="shared" si="0"/>
        <v>FSRPF</v>
      </c>
      <c r="B12" s="7" t="s">
        <v>29</v>
      </c>
      <c r="D12" s="46">
        <v>9</v>
      </c>
      <c r="E12" s="18">
        <v>13</v>
      </c>
      <c r="F12" s="46">
        <v>9</v>
      </c>
      <c r="H12" s="1">
        <v>13</v>
      </c>
      <c r="I12" s="31">
        <v>13</v>
      </c>
    </row>
    <row r="13" spans="1:9" x14ac:dyDescent="0.25">
      <c r="A13" t="str">
        <f t="shared" si="0"/>
        <v>FSRS</v>
      </c>
      <c r="B13" s="7" t="s">
        <v>20</v>
      </c>
      <c r="D13" s="46">
        <v>10</v>
      </c>
      <c r="E13" s="18">
        <v>14</v>
      </c>
      <c r="F13" s="46">
        <v>10</v>
      </c>
      <c r="H13" s="1">
        <v>14</v>
      </c>
      <c r="I13" s="31">
        <v>14</v>
      </c>
    </row>
    <row r="14" spans="1:9" x14ac:dyDescent="0.25">
      <c r="A14" t="str">
        <f t="shared" si="0"/>
        <v>FTMS</v>
      </c>
      <c r="B14" s="7" t="s">
        <v>25</v>
      </c>
      <c r="D14" s="46">
        <v>11</v>
      </c>
      <c r="E14" s="18" t="s">
        <v>47</v>
      </c>
      <c r="F14" s="46">
        <v>11</v>
      </c>
      <c r="H14" s="1">
        <v>15</v>
      </c>
      <c r="I14" s="45" t="s">
        <v>214</v>
      </c>
    </row>
    <row r="15" spans="1:9" x14ac:dyDescent="0.25">
      <c r="A15" t="str">
        <f t="shared" si="0"/>
        <v>FTU</v>
      </c>
      <c r="B15" s="7" t="s">
        <v>18</v>
      </c>
      <c r="D15" s="49">
        <v>12</v>
      </c>
      <c r="E15" s="150" t="s">
        <v>214</v>
      </c>
      <c r="F15" s="49">
        <v>12</v>
      </c>
      <c r="H15" s="1">
        <v>16</v>
      </c>
      <c r="I15" s="45" t="s">
        <v>214</v>
      </c>
    </row>
    <row r="16" spans="1:9" x14ac:dyDescent="0.25">
      <c r="A16" t="str">
        <f t="shared" si="0"/>
        <v>MSRF</v>
      </c>
      <c r="B16" s="7" t="s">
        <v>26</v>
      </c>
      <c r="D16" s="46">
        <v>13</v>
      </c>
      <c r="E16" s="150" t="s">
        <v>215</v>
      </c>
      <c r="F16" s="46">
        <v>13</v>
      </c>
      <c r="H16" s="1">
        <v>17</v>
      </c>
      <c r="I16" s="45" t="s">
        <v>215</v>
      </c>
    </row>
    <row r="17" spans="1:9" x14ac:dyDescent="0.25">
      <c r="A17" t="str">
        <f t="shared" si="0"/>
        <v>MSRS</v>
      </c>
      <c r="B17" s="7" t="s">
        <v>19</v>
      </c>
      <c r="D17" s="46">
        <v>14</v>
      </c>
      <c r="E17" s="18" t="s">
        <v>48</v>
      </c>
      <c r="F17" s="46">
        <v>14</v>
      </c>
      <c r="H17" s="1">
        <v>18</v>
      </c>
      <c r="I17" s="45" t="s">
        <v>215</v>
      </c>
    </row>
    <row r="18" spans="1:9" x14ac:dyDescent="0.25">
      <c r="A18" t="str">
        <f t="shared" si="0"/>
        <v>MTMS</v>
      </c>
      <c r="B18" s="7" t="s">
        <v>24</v>
      </c>
      <c r="D18" s="46">
        <v>15</v>
      </c>
      <c r="E18" s="150" t="s">
        <v>216</v>
      </c>
      <c r="F18" s="46">
        <v>15</v>
      </c>
      <c r="H18" s="1">
        <v>19</v>
      </c>
      <c r="I18" s="45" t="s">
        <v>216</v>
      </c>
    </row>
    <row r="19" spans="1:9" x14ac:dyDescent="0.25">
      <c r="A19" t="str">
        <f t="shared" si="0"/>
        <v>MTU</v>
      </c>
      <c r="B19" s="7" t="s">
        <v>17</v>
      </c>
      <c r="D19" s="49">
        <v>16</v>
      </c>
      <c r="E19" s="18" t="s">
        <v>49</v>
      </c>
      <c r="F19" s="49">
        <v>16</v>
      </c>
      <c r="H19" s="1">
        <v>20</v>
      </c>
      <c r="I19" s="45" t="s">
        <v>216</v>
      </c>
    </row>
    <row r="20" spans="1:9" x14ac:dyDescent="0.25">
      <c r="A20" t="str">
        <f t="shared" si="0"/>
        <v>SRPF</v>
      </c>
      <c r="B20" s="7" t="s">
        <v>28</v>
      </c>
      <c r="D20" s="46">
        <v>17</v>
      </c>
      <c r="E20" s="18" t="s">
        <v>54</v>
      </c>
      <c r="F20" s="46">
        <v>17</v>
      </c>
      <c r="H20" s="1">
        <v>21</v>
      </c>
      <c r="I20" s="45" t="s">
        <v>216</v>
      </c>
    </row>
    <row r="21" spans="1:9" x14ac:dyDescent="0.25">
      <c r="A21" t="str">
        <f t="shared" si="0"/>
        <v>SRSR</v>
      </c>
      <c r="B21" s="7" t="s">
        <v>21</v>
      </c>
      <c r="D21" s="46">
        <v>18</v>
      </c>
      <c r="E21" s="18" t="s">
        <v>50</v>
      </c>
      <c r="F21" s="46">
        <v>18</v>
      </c>
      <c r="H21" s="1">
        <v>22</v>
      </c>
      <c r="I21" s="45" t="s">
        <v>216</v>
      </c>
    </row>
    <row r="22" spans="1:9" x14ac:dyDescent="0.25">
      <c r="A22" t="str">
        <f t="shared" si="0"/>
        <v>TSL</v>
      </c>
      <c r="B22" s="7" t="s">
        <v>35</v>
      </c>
      <c r="D22" s="46">
        <v>19</v>
      </c>
      <c r="E22" s="18" t="s">
        <v>51</v>
      </c>
      <c r="F22" s="46">
        <v>19</v>
      </c>
      <c r="H22" s="1">
        <v>23</v>
      </c>
      <c r="I22" s="31" t="s">
        <v>50</v>
      </c>
    </row>
    <row r="23" spans="1:9" x14ac:dyDescent="0.25">
      <c r="A23" t="str">
        <f t="shared" si="0"/>
        <v>TSS</v>
      </c>
      <c r="B23" s="7" t="s">
        <v>34</v>
      </c>
      <c r="D23" s="46">
        <v>20</v>
      </c>
      <c r="E23" s="18" t="s">
        <v>53</v>
      </c>
      <c r="F23" s="46">
        <v>20</v>
      </c>
      <c r="H23" s="1">
        <v>24</v>
      </c>
      <c r="I23" s="31" t="s">
        <v>50</v>
      </c>
    </row>
    <row r="24" spans="1:9" x14ac:dyDescent="0.25">
      <c r="A24" t="str">
        <f t="shared" si="0"/>
        <v>MTDU</v>
      </c>
      <c r="B24" s="92" t="s">
        <v>159</v>
      </c>
      <c r="D24" s="46">
        <v>21</v>
      </c>
      <c r="E24" s="18" t="s">
        <v>52</v>
      </c>
      <c r="F24" s="46">
        <v>21</v>
      </c>
      <c r="H24" s="1">
        <v>25</v>
      </c>
      <c r="I24" s="31" t="s">
        <v>50</v>
      </c>
    </row>
    <row r="25" spans="1:9" x14ac:dyDescent="0.25">
      <c r="A25" t="str">
        <f t="shared" si="0"/>
        <v>FTDU</v>
      </c>
      <c r="B25" s="92" t="s">
        <v>160</v>
      </c>
      <c r="D25" s="49">
        <v>22</v>
      </c>
      <c r="E25" s="18" t="s">
        <v>63</v>
      </c>
      <c r="F25" s="49">
        <v>22</v>
      </c>
      <c r="H25" s="1">
        <v>26</v>
      </c>
      <c r="I25" s="31" t="s">
        <v>50</v>
      </c>
    </row>
    <row r="26" spans="1:9" x14ac:dyDescent="0.25">
      <c r="A26" t="str">
        <f>LEFT(B26,(SEARCH("-",B26))-1)</f>
        <v>MTSS</v>
      </c>
      <c r="B26" s="92" t="s">
        <v>162</v>
      </c>
      <c r="D26" s="154">
        <v>23</v>
      </c>
      <c r="E26" t="s">
        <v>225</v>
      </c>
      <c r="F26" s="154">
        <v>23</v>
      </c>
      <c r="H26" s="1">
        <v>27</v>
      </c>
      <c r="I26" s="31" t="s">
        <v>50</v>
      </c>
    </row>
    <row r="27" spans="1:9" x14ac:dyDescent="0.25">
      <c r="A27" t="str">
        <f>LEFT(B27,(SEARCH("-",B27))-1)</f>
        <v>FTSS</v>
      </c>
      <c r="B27" s="92" t="s">
        <v>163</v>
      </c>
      <c r="D27" s="154">
        <v>24</v>
      </c>
      <c r="E27" t="s">
        <v>226</v>
      </c>
      <c r="F27" s="154">
        <v>24</v>
      </c>
      <c r="H27" s="1">
        <v>28</v>
      </c>
      <c r="I27" s="31" t="s">
        <v>50</v>
      </c>
    </row>
    <row r="28" spans="1:9" x14ac:dyDescent="0.25">
      <c r="H28" s="1">
        <v>29</v>
      </c>
      <c r="I28" s="31" t="s">
        <v>50</v>
      </c>
    </row>
    <row r="29" spans="1:9" x14ac:dyDescent="0.25">
      <c r="H29" s="1">
        <v>30</v>
      </c>
      <c r="I29" s="31" t="s">
        <v>51</v>
      </c>
    </row>
    <row r="30" spans="1:9" x14ac:dyDescent="0.25">
      <c r="H30" s="1">
        <v>31</v>
      </c>
      <c r="I30" s="31" t="s">
        <v>51</v>
      </c>
    </row>
    <row r="31" spans="1:9" x14ac:dyDescent="0.25">
      <c r="H31" s="1">
        <v>32</v>
      </c>
      <c r="I31" s="31" t="s">
        <v>51</v>
      </c>
    </row>
    <row r="32" spans="1:9" x14ac:dyDescent="0.25">
      <c r="H32" s="1">
        <v>33</v>
      </c>
      <c r="I32" s="31" t="s">
        <v>51</v>
      </c>
    </row>
    <row r="33" spans="8:9" x14ac:dyDescent="0.25">
      <c r="H33" s="1">
        <v>34</v>
      </c>
      <c r="I33" s="31" t="s">
        <v>51</v>
      </c>
    </row>
    <row r="34" spans="8:9" x14ac:dyDescent="0.25">
      <c r="H34" s="1">
        <v>35</v>
      </c>
      <c r="I34" s="31" t="s">
        <v>51</v>
      </c>
    </row>
    <row r="35" spans="8:9" x14ac:dyDescent="0.25">
      <c r="H35" s="1">
        <v>36</v>
      </c>
      <c r="I35" s="31" t="s">
        <v>51</v>
      </c>
    </row>
    <row r="36" spans="8:9" x14ac:dyDescent="0.25">
      <c r="H36" s="1">
        <v>37</v>
      </c>
      <c r="I36" s="31" t="s">
        <v>51</v>
      </c>
    </row>
    <row r="37" spans="8:9" x14ac:dyDescent="0.25">
      <c r="H37" s="1">
        <v>38</v>
      </c>
      <c r="I37" s="31" t="s">
        <v>51</v>
      </c>
    </row>
    <row r="38" spans="8:9" x14ac:dyDescent="0.25">
      <c r="H38" s="1">
        <v>39</v>
      </c>
      <c r="I38" s="31" t="s">
        <v>51</v>
      </c>
    </row>
    <row r="39" spans="8:9" x14ac:dyDescent="0.25">
      <c r="H39" s="1">
        <v>40</v>
      </c>
      <c r="I39" s="31" t="s">
        <v>51</v>
      </c>
    </row>
    <row r="40" spans="8:9" x14ac:dyDescent="0.25">
      <c r="H40" s="1">
        <v>41</v>
      </c>
      <c r="I40" s="31" t="s">
        <v>51</v>
      </c>
    </row>
    <row r="41" spans="8:9" x14ac:dyDescent="0.25">
      <c r="H41" s="1">
        <v>42</v>
      </c>
      <c r="I41" s="31" t="s">
        <v>51</v>
      </c>
    </row>
    <row r="42" spans="8:9" x14ac:dyDescent="0.25">
      <c r="H42" s="1">
        <v>43</v>
      </c>
      <c r="I42" s="31" t="s">
        <v>51</v>
      </c>
    </row>
    <row r="43" spans="8:9" x14ac:dyDescent="0.25">
      <c r="H43" s="1">
        <v>44</v>
      </c>
      <c r="I43" s="31" t="s">
        <v>51</v>
      </c>
    </row>
    <row r="44" spans="8:9" x14ac:dyDescent="0.25">
      <c r="H44" s="1">
        <v>45</v>
      </c>
      <c r="I44" s="31" t="s">
        <v>51</v>
      </c>
    </row>
    <row r="45" spans="8:9" x14ac:dyDescent="0.25">
      <c r="H45" s="1">
        <v>46</v>
      </c>
      <c r="I45" s="31" t="s">
        <v>51</v>
      </c>
    </row>
    <row r="46" spans="8:9" x14ac:dyDescent="0.25">
      <c r="H46" s="1">
        <v>47</v>
      </c>
      <c r="I46" s="31" t="s">
        <v>51</v>
      </c>
    </row>
    <row r="47" spans="8:9" x14ac:dyDescent="0.25">
      <c r="H47" s="1">
        <v>48</v>
      </c>
      <c r="I47" s="31" t="s">
        <v>51</v>
      </c>
    </row>
    <row r="48" spans="8:9" x14ac:dyDescent="0.25">
      <c r="H48" s="1">
        <v>49</v>
      </c>
      <c r="I48" s="31" t="s">
        <v>51</v>
      </c>
    </row>
    <row r="49" spans="8:9" x14ac:dyDescent="0.25">
      <c r="H49" s="1">
        <v>50</v>
      </c>
      <c r="I49" s="31" t="s">
        <v>52</v>
      </c>
    </row>
    <row r="50" spans="8:9" x14ac:dyDescent="0.25">
      <c r="H50" s="1">
        <v>51</v>
      </c>
      <c r="I50" s="31" t="s">
        <v>52</v>
      </c>
    </row>
    <row r="51" spans="8:9" x14ac:dyDescent="0.25">
      <c r="H51" s="1">
        <v>52</v>
      </c>
      <c r="I51" s="31" t="s">
        <v>52</v>
      </c>
    </row>
    <row r="52" spans="8:9" x14ac:dyDescent="0.25">
      <c r="H52" s="1">
        <v>53</v>
      </c>
      <c r="I52" s="31" t="s">
        <v>52</v>
      </c>
    </row>
    <row r="53" spans="8:9" x14ac:dyDescent="0.25">
      <c r="H53" s="1">
        <v>54</v>
      </c>
      <c r="I53" s="31" t="s">
        <v>52</v>
      </c>
    </row>
    <row r="54" spans="8:9" x14ac:dyDescent="0.25">
      <c r="H54" s="1">
        <v>55</v>
      </c>
      <c r="I54" s="31" t="s">
        <v>52</v>
      </c>
    </row>
    <row r="55" spans="8:9" x14ac:dyDescent="0.25">
      <c r="H55" s="1">
        <v>56</v>
      </c>
      <c r="I55" s="31" t="s">
        <v>52</v>
      </c>
    </row>
    <row r="56" spans="8:9" x14ac:dyDescent="0.25">
      <c r="H56" s="1">
        <v>57</v>
      </c>
      <c r="I56" s="31" t="s">
        <v>52</v>
      </c>
    </row>
    <row r="57" spans="8:9" x14ac:dyDescent="0.25">
      <c r="H57" s="1">
        <v>58</v>
      </c>
      <c r="I57" s="31" t="s">
        <v>52</v>
      </c>
    </row>
    <row r="58" spans="8:9" x14ac:dyDescent="0.25">
      <c r="H58" s="1">
        <v>59</v>
      </c>
      <c r="I58" s="31" t="s">
        <v>52</v>
      </c>
    </row>
    <row r="59" spans="8:9" x14ac:dyDescent="0.25">
      <c r="H59" s="1">
        <v>60</v>
      </c>
      <c r="I59" s="31" t="s">
        <v>52</v>
      </c>
    </row>
  </sheetData>
  <sheetProtection password="CE88" sheet="1" objects="1" scenarios="1"/>
  <phoneticPr fontId="23" type="noConversion"/>
  <pageMargins left="0.7" right="0.7" top="0.75" bottom="0.75" header="0.3" footer="0.3"/>
  <pageSetup orientation="portrait" horizontalDpi="180" verticalDpi="180"/>
  <customProperties>
    <customPr name="DVSECTIONID" r:id="rId1"/>
  </customPropertie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3:B191"/>
  <sheetViews>
    <sheetView topLeftCell="A22" workbookViewId="0">
      <selection activeCell="H37" sqref="H37"/>
    </sheetView>
  </sheetViews>
  <sheetFormatPr defaultColWidth="11.42578125" defaultRowHeight="15" x14ac:dyDescent="0.25"/>
  <cols>
    <col min="1" max="1" width="43.7109375" bestFit="1" customWidth="1"/>
    <col min="2" max="2" width="5.42578125" bestFit="1" customWidth="1"/>
    <col min="3" max="4" width="5.28515625" bestFit="1" customWidth="1"/>
    <col min="5" max="5" width="5.42578125" bestFit="1" customWidth="1"/>
    <col min="6" max="7" width="6.140625" bestFit="1" customWidth="1"/>
    <col min="8" max="8" width="4.85546875" bestFit="1" customWidth="1"/>
    <col min="9" max="9" width="5.85546875" bestFit="1" customWidth="1"/>
    <col min="10" max="10" width="4.85546875" bestFit="1" customWidth="1"/>
    <col min="11" max="11" width="5.42578125" bestFit="1" customWidth="1"/>
    <col min="12" max="12" width="4.140625" bestFit="1" customWidth="1"/>
    <col min="13" max="14" width="5.7109375" bestFit="1" customWidth="1"/>
    <col min="15" max="15" width="6.140625" bestFit="1" customWidth="1"/>
    <col min="16" max="18" width="5" bestFit="1" customWidth="1"/>
    <col min="19" max="19" width="3.85546875" bestFit="1" customWidth="1"/>
    <col min="20" max="20" width="4" bestFit="1" customWidth="1"/>
    <col min="21" max="21" width="10.140625" bestFit="1" customWidth="1"/>
  </cols>
  <sheetData>
    <row r="3" spans="1:2" x14ac:dyDescent="0.25">
      <c r="A3" s="86" t="s">
        <v>154</v>
      </c>
    </row>
    <row r="4" spans="1:2" x14ac:dyDescent="0.25">
      <c r="A4" s="86" t="s">
        <v>151</v>
      </c>
      <c r="B4" t="s">
        <v>153</v>
      </c>
    </row>
    <row r="5" spans="1:2" x14ac:dyDescent="0.25">
      <c r="A5" s="87" t="s">
        <v>32</v>
      </c>
      <c r="B5" s="34">
        <v>47</v>
      </c>
    </row>
    <row r="6" spans="1:2" x14ac:dyDescent="0.25">
      <c r="A6" s="88" t="s">
        <v>44</v>
      </c>
      <c r="B6" s="34">
        <v>12</v>
      </c>
    </row>
    <row r="7" spans="1:2" x14ac:dyDescent="0.25">
      <c r="A7" s="88" t="s">
        <v>45</v>
      </c>
      <c r="B7" s="34">
        <v>12</v>
      </c>
    </row>
    <row r="8" spans="1:2" x14ac:dyDescent="0.25">
      <c r="A8" s="88" t="s">
        <v>47</v>
      </c>
      <c r="B8" s="34">
        <v>6</v>
      </c>
    </row>
    <row r="9" spans="1:2" x14ac:dyDescent="0.25">
      <c r="A9" s="88" t="s">
        <v>48</v>
      </c>
      <c r="B9" s="34">
        <v>8</v>
      </c>
    </row>
    <row r="10" spans="1:2" x14ac:dyDescent="0.25">
      <c r="A10" s="88" t="s">
        <v>141</v>
      </c>
      <c r="B10" s="34">
        <v>6</v>
      </c>
    </row>
    <row r="11" spans="1:2" x14ac:dyDescent="0.25">
      <c r="A11" s="88" t="s">
        <v>142</v>
      </c>
      <c r="B11" s="34">
        <v>3</v>
      </c>
    </row>
    <row r="12" spans="1:2" x14ac:dyDescent="0.25">
      <c r="A12" s="87" t="s">
        <v>23</v>
      </c>
      <c r="B12" s="34">
        <v>58</v>
      </c>
    </row>
    <row r="13" spans="1:2" x14ac:dyDescent="0.25">
      <c r="A13" s="88" t="s">
        <v>44</v>
      </c>
      <c r="B13" s="34">
        <v>12</v>
      </c>
    </row>
    <row r="14" spans="1:2" x14ac:dyDescent="0.25">
      <c r="A14" s="88" t="s">
        <v>45</v>
      </c>
      <c r="B14" s="34">
        <v>12</v>
      </c>
    </row>
    <row r="15" spans="1:2" x14ac:dyDescent="0.25">
      <c r="A15" s="88" t="s">
        <v>47</v>
      </c>
      <c r="B15" s="34">
        <v>10</v>
      </c>
    </row>
    <row r="16" spans="1:2" x14ac:dyDescent="0.25">
      <c r="A16" s="88" t="s">
        <v>48</v>
      </c>
      <c r="B16" s="34">
        <v>8</v>
      </c>
    </row>
    <row r="17" spans="1:2" x14ac:dyDescent="0.25">
      <c r="A17" s="88" t="s">
        <v>141</v>
      </c>
      <c r="B17" s="34">
        <v>8</v>
      </c>
    </row>
    <row r="18" spans="1:2" x14ac:dyDescent="0.25">
      <c r="A18" s="88" t="s">
        <v>142</v>
      </c>
      <c r="B18" s="34">
        <v>8</v>
      </c>
    </row>
    <row r="19" spans="1:2" x14ac:dyDescent="0.25">
      <c r="A19" s="87" t="s">
        <v>30</v>
      </c>
      <c r="B19" s="34">
        <v>61</v>
      </c>
    </row>
    <row r="20" spans="1:2" x14ac:dyDescent="0.25">
      <c r="A20" s="88" t="s">
        <v>44</v>
      </c>
      <c r="B20" s="34">
        <v>15</v>
      </c>
    </row>
    <row r="21" spans="1:2" x14ac:dyDescent="0.25">
      <c r="A21" s="88" t="s">
        <v>45</v>
      </c>
      <c r="B21" s="34">
        <v>15</v>
      </c>
    </row>
    <row r="22" spans="1:2" x14ac:dyDescent="0.25">
      <c r="A22" s="88" t="s">
        <v>47</v>
      </c>
      <c r="B22" s="34">
        <v>12</v>
      </c>
    </row>
    <row r="23" spans="1:2" x14ac:dyDescent="0.25">
      <c r="A23" s="88" t="s">
        <v>48</v>
      </c>
      <c r="B23" s="34">
        <v>8</v>
      </c>
    </row>
    <row r="24" spans="1:2" x14ac:dyDescent="0.25">
      <c r="A24" s="88" t="s">
        <v>141</v>
      </c>
      <c r="B24" s="34">
        <v>8</v>
      </c>
    </row>
    <row r="25" spans="1:2" x14ac:dyDescent="0.25">
      <c r="A25" s="88" t="s">
        <v>142</v>
      </c>
      <c r="B25" s="34">
        <v>3</v>
      </c>
    </row>
    <row r="26" spans="1:2" x14ac:dyDescent="0.25">
      <c r="A26" s="87" t="s">
        <v>22</v>
      </c>
      <c r="B26" s="34">
        <v>63</v>
      </c>
    </row>
    <row r="27" spans="1:2" x14ac:dyDescent="0.25">
      <c r="A27" s="88" t="s">
        <v>44</v>
      </c>
      <c r="B27" s="34">
        <v>15</v>
      </c>
    </row>
    <row r="28" spans="1:2" x14ac:dyDescent="0.25">
      <c r="A28" s="88" t="s">
        <v>45</v>
      </c>
      <c r="B28" s="34">
        <v>15</v>
      </c>
    </row>
    <row r="29" spans="1:2" x14ac:dyDescent="0.25">
      <c r="A29" s="88" t="s">
        <v>47</v>
      </c>
      <c r="B29" s="34">
        <v>12</v>
      </c>
    </row>
    <row r="30" spans="1:2" x14ac:dyDescent="0.25">
      <c r="A30" s="88" t="s">
        <v>48</v>
      </c>
      <c r="B30" s="34">
        <v>8</v>
      </c>
    </row>
    <row r="31" spans="1:2" x14ac:dyDescent="0.25">
      <c r="A31" s="88" t="s">
        <v>141</v>
      </c>
      <c r="B31" s="34">
        <v>8</v>
      </c>
    </row>
    <row r="32" spans="1:2" x14ac:dyDescent="0.25">
      <c r="A32" s="88" t="s">
        <v>142</v>
      </c>
      <c r="B32" s="34">
        <v>5</v>
      </c>
    </row>
    <row r="33" spans="1:2" x14ac:dyDescent="0.25">
      <c r="A33" s="87" t="s">
        <v>33</v>
      </c>
      <c r="B33" s="34">
        <v>14</v>
      </c>
    </row>
    <row r="34" spans="1:2" x14ac:dyDescent="0.25">
      <c r="A34" s="88" t="s">
        <v>48</v>
      </c>
      <c r="B34" s="34">
        <v>8</v>
      </c>
    </row>
    <row r="35" spans="1:2" x14ac:dyDescent="0.25">
      <c r="A35" s="88" t="s">
        <v>141</v>
      </c>
      <c r="B35" s="34">
        <v>6</v>
      </c>
    </row>
    <row r="36" spans="1:2" x14ac:dyDescent="0.25">
      <c r="A36" s="87" t="s">
        <v>31</v>
      </c>
      <c r="B36" s="34">
        <v>16</v>
      </c>
    </row>
    <row r="37" spans="1:2" x14ac:dyDescent="0.25">
      <c r="A37" s="88" t="s">
        <v>48</v>
      </c>
      <c r="B37" s="34">
        <v>8</v>
      </c>
    </row>
    <row r="38" spans="1:2" x14ac:dyDescent="0.25">
      <c r="A38" s="88" t="s">
        <v>141</v>
      </c>
      <c r="B38" s="34">
        <v>8</v>
      </c>
    </row>
    <row r="39" spans="1:2" x14ac:dyDescent="0.25">
      <c r="A39" s="87" t="s">
        <v>27</v>
      </c>
      <c r="B39" s="34">
        <v>226</v>
      </c>
    </row>
    <row r="40" spans="1:2" x14ac:dyDescent="0.25">
      <c r="A40" s="88" t="s">
        <v>146</v>
      </c>
      <c r="B40" s="34">
        <v>20</v>
      </c>
    </row>
    <row r="41" spans="1:2" x14ac:dyDescent="0.25">
      <c r="A41" s="88">
        <v>9</v>
      </c>
      <c r="B41" s="34">
        <v>20</v>
      </c>
    </row>
    <row r="42" spans="1:2" x14ac:dyDescent="0.25">
      <c r="A42" s="88">
        <v>10</v>
      </c>
      <c r="B42" s="34">
        <v>20</v>
      </c>
    </row>
    <row r="43" spans="1:2" x14ac:dyDescent="0.25">
      <c r="A43" s="88">
        <v>11</v>
      </c>
      <c r="B43" s="34">
        <v>20</v>
      </c>
    </row>
    <row r="44" spans="1:2" x14ac:dyDescent="0.25">
      <c r="A44" s="88">
        <v>12</v>
      </c>
      <c r="B44" s="34">
        <v>20</v>
      </c>
    </row>
    <row r="45" spans="1:2" x14ac:dyDescent="0.25">
      <c r="A45" s="88">
        <v>13</v>
      </c>
      <c r="B45" s="34">
        <v>20</v>
      </c>
    </row>
    <row r="46" spans="1:2" x14ac:dyDescent="0.25">
      <c r="A46" s="88">
        <v>14</v>
      </c>
      <c r="B46" s="34">
        <v>20</v>
      </c>
    </row>
    <row r="47" spans="1:2" x14ac:dyDescent="0.25">
      <c r="A47" s="88" t="s">
        <v>49</v>
      </c>
      <c r="B47" s="34">
        <v>8</v>
      </c>
    </row>
    <row r="48" spans="1:2" x14ac:dyDescent="0.25">
      <c r="A48" s="88" t="s">
        <v>50</v>
      </c>
      <c r="B48" s="34">
        <v>8</v>
      </c>
    </row>
    <row r="49" spans="1:2" x14ac:dyDescent="0.25">
      <c r="A49" s="88" t="s">
        <v>51</v>
      </c>
      <c r="B49" s="34">
        <v>5</v>
      </c>
    </row>
    <row r="50" spans="1:2" x14ac:dyDescent="0.25">
      <c r="A50" s="88" t="s">
        <v>52</v>
      </c>
      <c r="B50" s="34">
        <v>5</v>
      </c>
    </row>
    <row r="51" spans="1:2" x14ac:dyDescent="0.25">
      <c r="A51" s="88">
        <v>15</v>
      </c>
      <c r="B51" s="34">
        <v>20</v>
      </c>
    </row>
    <row r="52" spans="1:2" x14ac:dyDescent="0.25">
      <c r="A52" s="88">
        <v>16</v>
      </c>
      <c r="B52" s="34">
        <v>20</v>
      </c>
    </row>
    <row r="53" spans="1:2" x14ac:dyDescent="0.25">
      <c r="A53" s="88">
        <v>17</v>
      </c>
      <c r="B53" s="34">
        <v>20</v>
      </c>
    </row>
    <row r="54" spans="1:2" x14ac:dyDescent="0.25">
      <c r="A54" s="87" t="s">
        <v>29</v>
      </c>
      <c r="B54" s="34">
        <v>16</v>
      </c>
    </row>
    <row r="55" spans="1:2" x14ac:dyDescent="0.25">
      <c r="A55" s="88" t="s">
        <v>48</v>
      </c>
      <c r="B55" s="34">
        <v>8</v>
      </c>
    </row>
    <row r="56" spans="1:2" x14ac:dyDescent="0.25">
      <c r="A56" s="88" t="s">
        <v>141</v>
      </c>
      <c r="B56" s="34">
        <v>8</v>
      </c>
    </row>
    <row r="57" spans="1:2" x14ac:dyDescent="0.25">
      <c r="A57" s="87" t="s">
        <v>20</v>
      </c>
      <c r="B57" s="34">
        <v>226</v>
      </c>
    </row>
    <row r="58" spans="1:2" x14ac:dyDescent="0.25">
      <c r="A58" s="88" t="s">
        <v>146</v>
      </c>
      <c r="B58" s="34">
        <v>20</v>
      </c>
    </row>
    <row r="59" spans="1:2" x14ac:dyDescent="0.25">
      <c r="A59" s="88">
        <v>9</v>
      </c>
      <c r="B59" s="34">
        <v>20</v>
      </c>
    </row>
    <row r="60" spans="1:2" x14ac:dyDescent="0.25">
      <c r="A60" s="88">
        <v>10</v>
      </c>
      <c r="B60" s="34">
        <v>20</v>
      </c>
    </row>
    <row r="61" spans="1:2" x14ac:dyDescent="0.25">
      <c r="A61" s="88">
        <v>11</v>
      </c>
      <c r="B61" s="34">
        <v>20</v>
      </c>
    </row>
    <row r="62" spans="1:2" x14ac:dyDescent="0.25">
      <c r="A62" s="88">
        <v>12</v>
      </c>
      <c r="B62" s="34">
        <v>20</v>
      </c>
    </row>
    <row r="63" spans="1:2" x14ac:dyDescent="0.25">
      <c r="A63" s="88">
        <v>13</v>
      </c>
      <c r="B63" s="34">
        <v>20</v>
      </c>
    </row>
    <row r="64" spans="1:2" x14ac:dyDescent="0.25">
      <c r="A64" s="88">
        <v>14</v>
      </c>
      <c r="B64" s="34">
        <v>20</v>
      </c>
    </row>
    <row r="65" spans="1:2" x14ac:dyDescent="0.25">
      <c r="A65" s="88" t="s">
        <v>49</v>
      </c>
      <c r="B65" s="34">
        <v>8</v>
      </c>
    </row>
    <row r="66" spans="1:2" x14ac:dyDescent="0.25">
      <c r="A66" s="88" t="s">
        <v>50</v>
      </c>
      <c r="B66" s="34">
        <v>8</v>
      </c>
    </row>
    <row r="67" spans="1:2" x14ac:dyDescent="0.25">
      <c r="A67" s="88" t="s">
        <v>51</v>
      </c>
      <c r="B67" s="34">
        <v>5</v>
      </c>
    </row>
    <row r="68" spans="1:2" x14ac:dyDescent="0.25">
      <c r="A68" s="88" t="s">
        <v>52</v>
      </c>
      <c r="B68" s="34">
        <v>5</v>
      </c>
    </row>
    <row r="69" spans="1:2" x14ac:dyDescent="0.25">
      <c r="A69" s="88">
        <v>15</v>
      </c>
      <c r="B69" s="34">
        <v>20</v>
      </c>
    </row>
    <row r="70" spans="1:2" x14ac:dyDescent="0.25">
      <c r="A70" s="88">
        <v>16</v>
      </c>
      <c r="B70" s="34">
        <v>20</v>
      </c>
    </row>
    <row r="71" spans="1:2" x14ac:dyDescent="0.25">
      <c r="A71" s="88">
        <v>17</v>
      </c>
      <c r="B71" s="34">
        <v>20</v>
      </c>
    </row>
    <row r="72" spans="1:2" x14ac:dyDescent="0.25">
      <c r="A72" s="87" t="s">
        <v>25</v>
      </c>
      <c r="B72" s="34">
        <v>226</v>
      </c>
    </row>
    <row r="73" spans="1:2" x14ac:dyDescent="0.25">
      <c r="A73" s="88" t="s">
        <v>146</v>
      </c>
      <c r="B73" s="34">
        <v>20</v>
      </c>
    </row>
    <row r="74" spans="1:2" x14ac:dyDescent="0.25">
      <c r="A74" s="88">
        <v>9</v>
      </c>
      <c r="B74" s="34">
        <v>20</v>
      </c>
    </row>
    <row r="75" spans="1:2" x14ac:dyDescent="0.25">
      <c r="A75" s="88">
        <v>10</v>
      </c>
      <c r="B75" s="34">
        <v>20</v>
      </c>
    </row>
    <row r="76" spans="1:2" x14ac:dyDescent="0.25">
      <c r="A76" s="88">
        <v>11</v>
      </c>
      <c r="B76" s="34">
        <v>20</v>
      </c>
    </row>
    <row r="77" spans="1:2" x14ac:dyDescent="0.25">
      <c r="A77" s="88">
        <v>12</v>
      </c>
      <c r="B77" s="34">
        <v>20</v>
      </c>
    </row>
    <row r="78" spans="1:2" x14ac:dyDescent="0.25">
      <c r="A78" s="88">
        <v>13</v>
      </c>
      <c r="B78" s="34">
        <v>20</v>
      </c>
    </row>
    <row r="79" spans="1:2" x14ac:dyDescent="0.25">
      <c r="A79" s="88">
        <v>14</v>
      </c>
      <c r="B79" s="34">
        <v>20</v>
      </c>
    </row>
    <row r="80" spans="1:2" x14ac:dyDescent="0.25">
      <c r="A80" s="88" t="s">
        <v>49</v>
      </c>
      <c r="B80" s="34">
        <v>8</v>
      </c>
    </row>
    <row r="81" spans="1:2" x14ac:dyDescent="0.25">
      <c r="A81" s="88" t="s">
        <v>50</v>
      </c>
      <c r="B81" s="34">
        <v>8</v>
      </c>
    </row>
    <row r="82" spans="1:2" x14ac:dyDescent="0.25">
      <c r="A82" s="88" t="s">
        <v>51</v>
      </c>
      <c r="B82" s="34">
        <v>5</v>
      </c>
    </row>
    <row r="83" spans="1:2" x14ac:dyDescent="0.25">
      <c r="A83" s="88" t="s">
        <v>52</v>
      </c>
      <c r="B83" s="34">
        <v>5</v>
      </c>
    </row>
    <row r="84" spans="1:2" x14ac:dyDescent="0.25">
      <c r="A84" s="88">
        <v>15</v>
      </c>
      <c r="B84" s="34">
        <v>20</v>
      </c>
    </row>
    <row r="85" spans="1:2" x14ac:dyDescent="0.25">
      <c r="A85" s="88">
        <v>16</v>
      </c>
      <c r="B85" s="34">
        <v>20</v>
      </c>
    </row>
    <row r="86" spans="1:2" x14ac:dyDescent="0.25">
      <c r="A86" s="88">
        <v>17</v>
      </c>
      <c r="B86" s="34">
        <v>20</v>
      </c>
    </row>
    <row r="87" spans="1:2" x14ac:dyDescent="0.25">
      <c r="A87" s="87" t="s">
        <v>18</v>
      </c>
      <c r="B87" s="34">
        <v>40</v>
      </c>
    </row>
    <row r="88" spans="1:2" x14ac:dyDescent="0.25">
      <c r="A88" s="88" t="s">
        <v>48</v>
      </c>
      <c r="B88" s="34">
        <v>20</v>
      </c>
    </row>
    <row r="89" spans="1:2" x14ac:dyDescent="0.25">
      <c r="A89" s="88" t="s">
        <v>141</v>
      </c>
      <c r="B89" s="34">
        <v>20</v>
      </c>
    </row>
    <row r="90" spans="1:2" x14ac:dyDescent="0.25">
      <c r="A90" s="87" t="s">
        <v>26</v>
      </c>
      <c r="B90" s="34">
        <v>116</v>
      </c>
    </row>
    <row r="91" spans="1:2" x14ac:dyDescent="0.25">
      <c r="A91" s="88" t="s">
        <v>146</v>
      </c>
      <c r="B91" s="34">
        <v>10</v>
      </c>
    </row>
    <row r="92" spans="1:2" x14ac:dyDescent="0.25">
      <c r="A92" s="88" t="s">
        <v>44</v>
      </c>
      <c r="B92" s="34">
        <v>20</v>
      </c>
    </row>
    <row r="93" spans="1:2" x14ac:dyDescent="0.25">
      <c r="A93" s="88" t="s">
        <v>45</v>
      </c>
      <c r="B93" s="34">
        <v>20</v>
      </c>
    </row>
    <row r="94" spans="1:2" x14ac:dyDescent="0.25">
      <c r="A94" s="88" t="s">
        <v>47</v>
      </c>
      <c r="B94" s="34">
        <v>20</v>
      </c>
    </row>
    <row r="95" spans="1:2" x14ac:dyDescent="0.25">
      <c r="A95" s="88" t="s">
        <v>48</v>
      </c>
      <c r="B95" s="34">
        <v>20</v>
      </c>
    </row>
    <row r="96" spans="1:2" x14ac:dyDescent="0.25">
      <c r="A96" s="88" t="s">
        <v>49</v>
      </c>
      <c r="B96" s="34">
        <v>8</v>
      </c>
    </row>
    <row r="97" spans="1:2" x14ac:dyDescent="0.25">
      <c r="A97" s="88" t="s">
        <v>50</v>
      </c>
      <c r="B97" s="34">
        <v>8</v>
      </c>
    </row>
    <row r="98" spans="1:2" x14ac:dyDescent="0.25">
      <c r="A98" s="88" t="s">
        <v>51</v>
      </c>
      <c r="B98" s="34">
        <v>5</v>
      </c>
    </row>
    <row r="99" spans="1:2" x14ac:dyDescent="0.25">
      <c r="A99" s="88" t="s">
        <v>52</v>
      </c>
      <c r="B99" s="34">
        <v>5</v>
      </c>
    </row>
    <row r="100" spans="1:2" x14ac:dyDescent="0.25">
      <c r="A100" s="87" t="s">
        <v>19</v>
      </c>
      <c r="B100" s="34">
        <v>116</v>
      </c>
    </row>
    <row r="101" spans="1:2" x14ac:dyDescent="0.25">
      <c r="A101" s="88" t="s">
        <v>146</v>
      </c>
      <c r="B101" s="34">
        <v>10</v>
      </c>
    </row>
    <row r="102" spans="1:2" x14ac:dyDescent="0.25">
      <c r="A102" s="88" t="s">
        <v>44</v>
      </c>
      <c r="B102" s="34">
        <v>20</v>
      </c>
    </row>
    <row r="103" spans="1:2" x14ac:dyDescent="0.25">
      <c r="A103" s="88" t="s">
        <v>45</v>
      </c>
      <c r="B103" s="34">
        <v>20</v>
      </c>
    </row>
    <row r="104" spans="1:2" x14ac:dyDescent="0.25">
      <c r="A104" s="88" t="s">
        <v>47</v>
      </c>
      <c r="B104" s="34">
        <v>20</v>
      </c>
    </row>
    <row r="105" spans="1:2" x14ac:dyDescent="0.25">
      <c r="A105" s="88" t="s">
        <v>48</v>
      </c>
      <c r="B105" s="34">
        <v>20</v>
      </c>
    </row>
    <row r="106" spans="1:2" x14ac:dyDescent="0.25">
      <c r="A106" s="88" t="s">
        <v>49</v>
      </c>
      <c r="B106" s="34">
        <v>8</v>
      </c>
    </row>
    <row r="107" spans="1:2" x14ac:dyDescent="0.25">
      <c r="A107" s="88" t="s">
        <v>50</v>
      </c>
      <c r="B107" s="34">
        <v>8</v>
      </c>
    </row>
    <row r="108" spans="1:2" x14ac:dyDescent="0.25">
      <c r="A108" s="88" t="s">
        <v>51</v>
      </c>
      <c r="B108" s="34">
        <v>5</v>
      </c>
    </row>
    <row r="109" spans="1:2" x14ac:dyDescent="0.25">
      <c r="A109" s="88" t="s">
        <v>52</v>
      </c>
      <c r="B109" s="34">
        <v>5</v>
      </c>
    </row>
    <row r="110" spans="1:2" x14ac:dyDescent="0.25">
      <c r="A110" s="87" t="s">
        <v>24</v>
      </c>
      <c r="B110" s="34">
        <v>116</v>
      </c>
    </row>
    <row r="111" spans="1:2" x14ac:dyDescent="0.25">
      <c r="A111" s="88" t="s">
        <v>146</v>
      </c>
      <c r="B111" s="34">
        <v>10</v>
      </c>
    </row>
    <row r="112" spans="1:2" x14ac:dyDescent="0.25">
      <c r="A112" s="88" t="s">
        <v>44</v>
      </c>
      <c r="B112" s="34">
        <v>20</v>
      </c>
    </row>
    <row r="113" spans="1:2" x14ac:dyDescent="0.25">
      <c r="A113" s="88" t="s">
        <v>45</v>
      </c>
      <c r="B113" s="34">
        <v>20</v>
      </c>
    </row>
    <row r="114" spans="1:2" x14ac:dyDescent="0.25">
      <c r="A114" s="88" t="s">
        <v>47</v>
      </c>
      <c r="B114" s="34">
        <v>20</v>
      </c>
    </row>
    <row r="115" spans="1:2" x14ac:dyDescent="0.25">
      <c r="A115" s="88" t="s">
        <v>48</v>
      </c>
      <c r="B115" s="34">
        <v>20</v>
      </c>
    </row>
    <row r="116" spans="1:2" x14ac:dyDescent="0.25">
      <c r="A116" s="88" t="s">
        <v>49</v>
      </c>
      <c r="B116" s="34">
        <v>8</v>
      </c>
    </row>
    <row r="117" spans="1:2" x14ac:dyDescent="0.25">
      <c r="A117" s="88" t="s">
        <v>50</v>
      </c>
      <c r="B117" s="34">
        <v>8</v>
      </c>
    </row>
    <row r="118" spans="1:2" x14ac:dyDescent="0.25">
      <c r="A118" s="88" t="s">
        <v>51</v>
      </c>
      <c r="B118" s="34">
        <v>5</v>
      </c>
    </row>
    <row r="119" spans="1:2" x14ac:dyDescent="0.25">
      <c r="A119" s="88" t="s">
        <v>52</v>
      </c>
      <c r="B119" s="34">
        <v>5</v>
      </c>
    </row>
    <row r="120" spans="1:2" x14ac:dyDescent="0.25">
      <c r="A120" s="87" t="s">
        <v>17</v>
      </c>
      <c r="B120" s="34">
        <v>40</v>
      </c>
    </row>
    <row r="121" spans="1:2" x14ac:dyDescent="0.25">
      <c r="A121" s="88" t="s">
        <v>48</v>
      </c>
      <c r="B121" s="34">
        <v>20</v>
      </c>
    </row>
    <row r="122" spans="1:2" x14ac:dyDescent="0.25">
      <c r="A122" s="88" t="s">
        <v>141</v>
      </c>
      <c r="B122" s="34">
        <v>20</v>
      </c>
    </row>
    <row r="123" spans="1:2" x14ac:dyDescent="0.25">
      <c r="A123" s="87" t="s">
        <v>28</v>
      </c>
      <c r="B123" s="34">
        <v>103</v>
      </c>
    </row>
    <row r="124" spans="1:2" x14ac:dyDescent="0.25">
      <c r="A124" s="88" t="s">
        <v>44</v>
      </c>
      <c r="B124" s="34">
        <v>20</v>
      </c>
    </row>
    <row r="125" spans="1:2" x14ac:dyDescent="0.25">
      <c r="A125" s="88" t="s">
        <v>45</v>
      </c>
      <c r="B125" s="34">
        <v>20</v>
      </c>
    </row>
    <row r="126" spans="1:2" x14ac:dyDescent="0.25">
      <c r="A126" s="88" t="s">
        <v>47</v>
      </c>
      <c r="B126" s="34">
        <v>20</v>
      </c>
    </row>
    <row r="127" spans="1:2" x14ac:dyDescent="0.25">
      <c r="A127" s="88" t="s">
        <v>48</v>
      </c>
      <c r="B127" s="34">
        <v>20</v>
      </c>
    </row>
    <row r="128" spans="1:2" x14ac:dyDescent="0.25">
      <c r="A128" s="88" t="s">
        <v>141</v>
      </c>
      <c r="B128" s="34">
        <v>20</v>
      </c>
    </row>
    <row r="129" spans="1:2" x14ac:dyDescent="0.25">
      <c r="A129" s="88" t="s">
        <v>142</v>
      </c>
      <c r="B129" s="34">
        <v>3</v>
      </c>
    </row>
    <row r="130" spans="1:2" x14ac:dyDescent="0.25">
      <c r="A130" s="87" t="s">
        <v>21</v>
      </c>
      <c r="B130" s="34">
        <v>58</v>
      </c>
    </row>
    <row r="131" spans="1:2" x14ac:dyDescent="0.25">
      <c r="A131" s="88" t="s">
        <v>44</v>
      </c>
      <c r="B131" s="34">
        <v>12</v>
      </c>
    </row>
    <row r="132" spans="1:2" x14ac:dyDescent="0.25">
      <c r="A132" s="88" t="s">
        <v>45</v>
      </c>
      <c r="B132" s="34">
        <v>12</v>
      </c>
    </row>
    <row r="133" spans="1:2" x14ac:dyDescent="0.25">
      <c r="A133" s="88" t="s">
        <v>47</v>
      </c>
      <c r="B133" s="34">
        <v>10</v>
      </c>
    </row>
    <row r="134" spans="1:2" x14ac:dyDescent="0.25">
      <c r="A134" s="88" t="s">
        <v>48</v>
      </c>
      <c r="B134" s="34">
        <v>8</v>
      </c>
    </row>
    <row r="135" spans="1:2" x14ac:dyDescent="0.25">
      <c r="A135" s="88" t="s">
        <v>141</v>
      </c>
      <c r="B135" s="34">
        <v>8</v>
      </c>
    </row>
    <row r="136" spans="1:2" x14ac:dyDescent="0.25">
      <c r="A136" s="88" t="s">
        <v>142</v>
      </c>
      <c r="B136" s="34">
        <v>8</v>
      </c>
    </row>
    <row r="137" spans="1:2" x14ac:dyDescent="0.25">
      <c r="A137" s="87" t="s">
        <v>35</v>
      </c>
      <c r="B137" s="34">
        <v>1</v>
      </c>
    </row>
    <row r="138" spans="1:2" x14ac:dyDescent="0.25">
      <c r="A138" s="88" t="s">
        <v>85</v>
      </c>
      <c r="B138" s="34">
        <v>1</v>
      </c>
    </row>
    <row r="139" spans="1:2" x14ac:dyDescent="0.25">
      <c r="A139" s="87" t="s">
        <v>34</v>
      </c>
      <c r="B139" s="34">
        <v>1</v>
      </c>
    </row>
    <row r="140" spans="1:2" x14ac:dyDescent="0.25">
      <c r="A140" s="88" t="s">
        <v>85</v>
      </c>
      <c r="B140" s="34">
        <v>1</v>
      </c>
    </row>
    <row r="141" spans="1:2" x14ac:dyDescent="0.25">
      <c r="A141" s="87" t="s">
        <v>159</v>
      </c>
      <c r="B141" s="34">
        <v>116</v>
      </c>
    </row>
    <row r="142" spans="1:2" x14ac:dyDescent="0.25">
      <c r="A142" s="88" t="s">
        <v>146</v>
      </c>
      <c r="B142" s="34">
        <v>10</v>
      </c>
    </row>
    <row r="143" spans="1:2" x14ac:dyDescent="0.25">
      <c r="A143" s="88" t="s">
        <v>44</v>
      </c>
      <c r="B143" s="34">
        <v>20</v>
      </c>
    </row>
    <row r="144" spans="1:2" x14ac:dyDescent="0.25">
      <c r="A144" s="88" t="s">
        <v>45</v>
      </c>
      <c r="B144" s="34">
        <v>20</v>
      </c>
    </row>
    <row r="145" spans="1:2" x14ac:dyDescent="0.25">
      <c r="A145" s="88" t="s">
        <v>47</v>
      </c>
      <c r="B145" s="34">
        <v>20</v>
      </c>
    </row>
    <row r="146" spans="1:2" x14ac:dyDescent="0.25">
      <c r="A146" s="88" t="s">
        <v>48</v>
      </c>
      <c r="B146" s="34">
        <v>20</v>
      </c>
    </row>
    <row r="147" spans="1:2" x14ac:dyDescent="0.25">
      <c r="A147" s="88" t="s">
        <v>49</v>
      </c>
      <c r="B147" s="34">
        <v>8</v>
      </c>
    </row>
    <row r="148" spans="1:2" x14ac:dyDescent="0.25">
      <c r="A148" s="88" t="s">
        <v>50</v>
      </c>
      <c r="B148" s="34">
        <v>8</v>
      </c>
    </row>
    <row r="149" spans="1:2" x14ac:dyDescent="0.25">
      <c r="A149" s="88" t="s">
        <v>51</v>
      </c>
      <c r="B149" s="34">
        <v>5</v>
      </c>
    </row>
    <row r="150" spans="1:2" x14ac:dyDescent="0.25">
      <c r="A150" s="88" t="s">
        <v>52</v>
      </c>
      <c r="B150" s="34">
        <v>5</v>
      </c>
    </row>
    <row r="151" spans="1:2" x14ac:dyDescent="0.25">
      <c r="A151" s="87" t="s">
        <v>160</v>
      </c>
      <c r="B151" s="34">
        <v>226</v>
      </c>
    </row>
    <row r="152" spans="1:2" x14ac:dyDescent="0.25">
      <c r="A152" s="88" t="s">
        <v>146</v>
      </c>
      <c r="B152" s="34">
        <v>20</v>
      </c>
    </row>
    <row r="153" spans="1:2" x14ac:dyDescent="0.25">
      <c r="A153" s="88">
        <v>9</v>
      </c>
      <c r="B153" s="34">
        <v>20</v>
      </c>
    </row>
    <row r="154" spans="1:2" x14ac:dyDescent="0.25">
      <c r="A154" s="88">
        <v>10</v>
      </c>
      <c r="B154" s="34">
        <v>20</v>
      </c>
    </row>
    <row r="155" spans="1:2" x14ac:dyDescent="0.25">
      <c r="A155" s="88">
        <v>11</v>
      </c>
      <c r="B155" s="34">
        <v>20</v>
      </c>
    </row>
    <row r="156" spans="1:2" x14ac:dyDescent="0.25">
      <c r="A156" s="88">
        <v>12</v>
      </c>
      <c r="B156" s="34">
        <v>20</v>
      </c>
    </row>
    <row r="157" spans="1:2" x14ac:dyDescent="0.25">
      <c r="A157" s="88">
        <v>13</v>
      </c>
      <c r="B157" s="34">
        <v>20</v>
      </c>
    </row>
    <row r="158" spans="1:2" x14ac:dyDescent="0.25">
      <c r="A158" s="88">
        <v>14</v>
      </c>
      <c r="B158" s="34">
        <v>20</v>
      </c>
    </row>
    <row r="159" spans="1:2" x14ac:dyDescent="0.25">
      <c r="A159" s="88" t="s">
        <v>49</v>
      </c>
      <c r="B159" s="34">
        <v>8</v>
      </c>
    </row>
    <row r="160" spans="1:2" x14ac:dyDescent="0.25">
      <c r="A160" s="88" t="s">
        <v>50</v>
      </c>
      <c r="B160" s="34">
        <v>8</v>
      </c>
    </row>
    <row r="161" spans="1:2" x14ac:dyDescent="0.25">
      <c r="A161" s="88" t="s">
        <v>51</v>
      </c>
      <c r="B161" s="34">
        <v>5</v>
      </c>
    </row>
    <row r="162" spans="1:2" x14ac:dyDescent="0.25">
      <c r="A162" s="88" t="s">
        <v>52</v>
      </c>
      <c r="B162" s="34">
        <v>5</v>
      </c>
    </row>
    <row r="163" spans="1:2" x14ac:dyDescent="0.25">
      <c r="A163" s="88">
        <v>15</v>
      </c>
      <c r="B163" s="34">
        <v>20</v>
      </c>
    </row>
    <row r="164" spans="1:2" x14ac:dyDescent="0.25">
      <c r="A164" s="88">
        <v>16</v>
      </c>
      <c r="B164" s="34">
        <v>20</v>
      </c>
    </row>
    <row r="165" spans="1:2" x14ac:dyDescent="0.25">
      <c r="A165" s="88">
        <v>17</v>
      </c>
      <c r="B165" s="34">
        <v>20</v>
      </c>
    </row>
    <row r="166" spans="1:2" x14ac:dyDescent="0.25">
      <c r="A166" s="87" t="s">
        <v>162</v>
      </c>
      <c r="B166" s="34">
        <v>116</v>
      </c>
    </row>
    <row r="167" spans="1:2" x14ac:dyDescent="0.25">
      <c r="A167" s="88" t="s">
        <v>146</v>
      </c>
      <c r="B167" s="34">
        <v>10</v>
      </c>
    </row>
    <row r="168" spans="1:2" x14ac:dyDescent="0.25">
      <c r="A168" s="88" t="s">
        <v>44</v>
      </c>
      <c r="B168" s="34">
        <v>20</v>
      </c>
    </row>
    <row r="169" spans="1:2" x14ac:dyDescent="0.25">
      <c r="A169" s="88" t="s">
        <v>45</v>
      </c>
      <c r="B169" s="34">
        <v>20</v>
      </c>
    </row>
    <row r="170" spans="1:2" x14ac:dyDescent="0.25">
      <c r="A170" s="88" t="s">
        <v>47</v>
      </c>
      <c r="B170" s="34">
        <v>20</v>
      </c>
    </row>
    <row r="171" spans="1:2" x14ac:dyDescent="0.25">
      <c r="A171" s="88" t="s">
        <v>48</v>
      </c>
      <c r="B171" s="34">
        <v>20</v>
      </c>
    </row>
    <row r="172" spans="1:2" x14ac:dyDescent="0.25">
      <c r="A172" s="88" t="s">
        <v>49</v>
      </c>
      <c r="B172" s="34">
        <v>8</v>
      </c>
    </row>
    <row r="173" spans="1:2" x14ac:dyDescent="0.25">
      <c r="A173" s="88" t="s">
        <v>50</v>
      </c>
      <c r="B173" s="34">
        <v>8</v>
      </c>
    </row>
    <row r="174" spans="1:2" x14ac:dyDescent="0.25">
      <c r="A174" s="88" t="s">
        <v>51</v>
      </c>
      <c r="B174" s="34">
        <v>5</v>
      </c>
    </row>
    <row r="175" spans="1:2" x14ac:dyDescent="0.25">
      <c r="A175" s="88" t="s">
        <v>52</v>
      </c>
      <c r="B175" s="34">
        <v>5</v>
      </c>
    </row>
    <row r="176" spans="1:2" x14ac:dyDescent="0.25">
      <c r="A176" s="87" t="s">
        <v>163</v>
      </c>
      <c r="B176" s="34">
        <v>226</v>
      </c>
    </row>
    <row r="177" spans="1:2" x14ac:dyDescent="0.25">
      <c r="A177" s="88" t="s">
        <v>146</v>
      </c>
      <c r="B177" s="34">
        <v>20</v>
      </c>
    </row>
    <row r="178" spans="1:2" x14ac:dyDescent="0.25">
      <c r="A178" s="88">
        <v>9</v>
      </c>
      <c r="B178" s="34">
        <v>20</v>
      </c>
    </row>
    <row r="179" spans="1:2" x14ac:dyDescent="0.25">
      <c r="A179" s="88">
        <v>10</v>
      </c>
      <c r="B179" s="34">
        <v>20</v>
      </c>
    </row>
    <row r="180" spans="1:2" x14ac:dyDescent="0.25">
      <c r="A180" s="88">
        <v>11</v>
      </c>
      <c r="B180" s="34">
        <v>20</v>
      </c>
    </row>
    <row r="181" spans="1:2" x14ac:dyDescent="0.25">
      <c r="A181" s="88">
        <v>12</v>
      </c>
      <c r="B181" s="34">
        <v>20</v>
      </c>
    </row>
    <row r="182" spans="1:2" x14ac:dyDescent="0.25">
      <c r="A182" s="88">
        <v>13</v>
      </c>
      <c r="B182" s="34">
        <v>20</v>
      </c>
    </row>
    <row r="183" spans="1:2" x14ac:dyDescent="0.25">
      <c r="A183" s="88">
        <v>14</v>
      </c>
      <c r="B183" s="34">
        <v>20</v>
      </c>
    </row>
    <row r="184" spans="1:2" x14ac:dyDescent="0.25">
      <c r="A184" s="88" t="s">
        <v>49</v>
      </c>
      <c r="B184" s="34">
        <v>8</v>
      </c>
    </row>
    <row r="185" spans="1:2" x14ac:dyDescent="0.25">
      <c r="A185" s="88" t="s">
        <v>50</v>
      </c>
      <c r="B185" s="34">
        <v>8</v>
      </c>
    </row>
    <row r="186" spans="1:2" x14ac:dyDescent="0.25">
      <c r="A186" s="88" t="s">
        <v>51</v>
      </c>
      <c r="B186" s="34">
        <v>5</v>
      </c>
    </row>
    <row r="187" spans="1:2" x14ac:dyDescent="0.25">
      <c r="A187" s="88" t="s">
        <v>52</v>
      </c>
      <c r="B187" s="34">
        <v>5</v>
      </c>
    </row>
    <row r="188" spans="1:2" x14ac:dyDescent="0.25">
      <c r="A188" s="88">
        <v>15</v>
      </c>
      <c r="B188" s="34">
        <v>20</v>
      </c>
    </row>
    <row r="189" spans="1:2" x14ac:dyDescent="0.25">
      <c r="A189" s="88">
        <v>16</v>
      </c>
      <c r="B189" s="34">
        <v>20</v>
      </c>
    </row>
    <row r="190" spans="1:2" x14ac:dyDescent="0.25">
      <c r="A190" s="88">
        <v>17</v>
      </c>
      <c r="B190" s="34">
        <v>20</v>
      </c>
    </row>
    <row r="191" spans="1:2" x14ac:dyDescent="0.25">
      <c r="A191" s="87" t="s">
        <v>152</v>
      </c>
      <c r="B191" s="34">
        <v>2228</v>
      </c>
    </row>
  </sheetData>
  <sheetProtection password="CE88" sheet="1" objects="1" scenarios="1"/>
  <phoneticPr fontId="26" type="noConversion"/>
  <pageMargins left="0.75" right="0.75" top="1" bottom="1" header="0.5" footer="0.5"/>
  <pageSetup scale="78" fitToHeight="2" orientation="portrait" horizontalDpi="4294967292" verticalDpi="4294967292"/>
  <extLst>
    <ext xmlns:mx="http://schemas.microsoft.com/office/mac/excel/2008/main" uri="{64002731-A6B0-56B0-2670-7721B7C09600}">
      <mx:PLV Mode="0"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1"/>
  </sheetPr>
  <dimension ref="A1:I2245"/>
  <sheetViews>
    <sheetView topLeftCell="A3" workbookViewId="0">
      <pane ySplit="1" topLeftCell="A1959" activePane="bottomLeft" state="frozen"/>
      <selection activeCell="H37" sqref="H37"/>
      <selection pane="bottomLeft" activeCell="H37" sqref="H37"/>
    </sheetView>
  </sheetViews>
  <sheetFormatPr defaultColWidth="8.85546875" defaultRowHeight="15" x14ac:dyDescent="0.25"/>
  <cols>
    <col min="1" max="1" width="7.42578125" customWidth="1"/>
    <col min="2" max="2" width="12.28515625" customWidth="1"/>
    <col min="3" max="3" width="6.7109375" bestFit="1" customWidth="1"/>
    <col min="4" max="4" width="9" bestFit="1" customWidth="1"/>
    <col min="5" max="8" width="14.7109375" bestFit="1" customWidth="1"/>
    <col min="9" max="9" width="41.85546875" bestFit="1" customWidth="1"/>
  </cols>
  <sheetData>
    <row r="1" spans="1:9" x14ac:dyDescent="0.25">
      <c r="A1" s="27" t="s">
        <v>124</v>
      </c>
      <c r="B1" s="32"/>
      <c r="C1" s="32"/>
      <c r="D1" s="32"/>
      <c r="E1" s="32"/>
      <c r="F1" s="32"/>
      <c r="G1" s="32"/>
      <c r="H1" s="33"/>
    </row>
    <row r="3" spans="1:9" x14ac:dyDescent="0.25">
      <c r="A3" t="s">
        <v>36</v>
      </c>
      <c r="B3" t="s">
        <v>123</v>
      </c>
      <c r="C3" t="s">
        <v>37</v>
      </c>
      <c r="D3" t="s">
        <v>38</v>
      </c>
      <c r="E3" t="s">
        <v>39</v>
      </c>
      <c r="F3" t="s">
        <v>40</v>
      </c>
      <c r="G3" t="s">
        <v>41</v>
      </c>
      <c r="H3" t="s">
        <v>42</v>
      </c>
      <c r="I3" t="s">
        <v>140</v>
      </c>
    </row>
    <row r="4" spans="1:9" x14ac:dyDescent="0.25">
      <c r="A4">
        <f>'Team Info'!$B$3</f>
        <v>0</v>
      </c>
      <c r="B4">
        <f>'Double Dutch Pairs Freestyle'!A6</f>
        <v>1</v>
      </c>
      <c r="C4" t="str">
        <f>'Double Dutch Pairs Freestyle'!B6</f>
        <v>DDPF</v>
      </c>
      <c r="D4" t="str">
        <f>'Double Dutch Pairs Freestyle'!C6</f>
        <v>10-under</v>
      </c>
      <c r="E4">
        <f>'Double Dutch Pairs Freestyle'!D6</f>
        <v>0</v>
      </c>
      <c r="F4">
        <f>'Double Dutch Pairs Freestyle'!F6</f>
        <v>0</v>
      </c>
      <c r="G4">
        <f>'Double Dutch Pairs Freestyle'!H6</f>
        <v>0</v>
      </c>
      <c r="H4">
        <f>'Double Dutch Pairs Freestyle'!J6</f>
        <v>0</v>
      </c>
      <c r="I4" t="str">
        <f t="shared" ref="I4:I69" si="0">VLOOKUP(C4,EVENTS,2,FALSE)</f>
        <v>DDPF-Double Dutch Pairs Freestyle</v>
      </c>
    </row>
    <row r="5" spans="1:9" x14ac:dyDescent="0.25">
      <c r="A5">
        <f>'Team Info'!$B$3</f>
        <v>0</v>
      </c>
      <c r="B5">
        <f>'Double Dutch Pairs Freestyle'!A7</f>
        <v>2</v>
      </c>
      <c r="C5" t="str">
        <f>'Double Dutch Pairs Freestyle'!B7</f>
        <v>DDPF</v>
      </c>
      <c r="D5" t="str">
        <f>'Double Dutch Pairs Freestyle'!C7</f>
        <v>10-under</v>
      </c>
      <c r="E5">
        <f>'Double Dutch Pairs Freestyle'!D7</f>
        <v>0</v>
      </c>
      <c r="F5">
        <f>'Double Dutch Pairs Freestyle'!F7</f>
        <v>0</v>
      </c>
      <c r="G5">
        <f>'Double Dutch Pairs Freestyle'!H7</f>
        <v>0</v>
      </c>
      <c r="H5">
        <f>'Double Dutch Pairs Freestyle'!J7</f>
        <v>0</v>
      </c>
      <c r="I5" t="str">
        <f t="shared" si="0"/>
        <v>DDPF-Double Dutch Pairs Freestyle</v>
      </c>
    </row>
    <row r="6" spans="1:9" x14ac:dyDescent="0.25">
      <c r="A6">
        <f>'Team Info'!$B$3</f>
        <v>0</v>
      </c>
      <c r="B6">
        <f>'Double Dutch Pairs Freestyle'!A8</f>
        <v>3</v>
      </c>
      <c r="C6" t="str">
        <f>'Double Dutch Pairs Freestyle'!B8</f>
        <v>DDPF</v>
      </c>
      <c r="D6" t="str">
        <f>'Double Dutch Pairs Freestyle'!C8</f>
        <v>10-under</v>
      </c>
      <c r="E6">
        <f>'Double Dutch Pairs Freestyle'!D8</f>
        <v>0</v>
      </c>
      <c r="F6">
        <f>'Double Dutch Pairs Freestyle'!F8</f>
        <v>0</v>
      </c>
      <c r="G6">
        <f>'Double Dutch Pairs Freestyle'!H8</f>
        <v>0</v>
      </c>
      <c r="H6">
        <f>'Double Dutch Pairs Freestyle'!J8</f>
        <v>0</v>
      </c>
      <c r="I6" t="str">
        <f t="shared" si="0"/>
        <v>DDPF-Double Dutch Pairs Freestyle</v>
      </c>
    </row>
    <row r="7" spans="1:9" x14ac:dyDescent="0.25">
      <c r="A7">
        <f>'Team Info'!$B$3</f>
        <v>0</v>
      </c>
      <c r="B7">
        <f>'Double Dutch Pairs Freestyle'!A9</f>
        <v>4</v>
      </c>
      <c r="C7" t="str">
        <f>'Double Dutch Pairs Freestyle'!B9</f>
        <v>DDPF</v>
      </c>
      <c r="D7" t="str">
        <f>'Double Dutch Pairs Freestyle'!C9</f>
        <v>10-under</v>
      </c>
      <c r="E7">
        <f>'Double Dutch Pairs Freestyle'!D9</f>
        <v>0</v>
      </c>
      <c r="F7">
        <f>'Double Dutch Pairs Freestyle'!F9</f>
        <v>0</v>
      </c>
      <c r="G7">
        <f>'Double Dutch Pairs Freestyle'!H9</f>
        <v>0</v>
      </c>
      <c r="H7">
        <f>'Double Dutch Pairs Freestyle'!J9</f>
        <v>0</v>
      </c>
      <c r="I7" t="str">
        <f t="shared" si="0"/>
        <v>DDPF-Double Dutch Pairs Freestyle</v>
      </c>
    </row>
    <row r="8" spans="1:9" x14ac:dyDescent="0.25">
      <c r="A8">
        <f>'Team Info'!$B$3</f>
        <v>0</v>
      </c>
      <c r="B8">
        <f>'Double Dutch Pairs Freestyle'!A10</f>
        <v>5</v>
      </c>
      <c r="C8" t="str">
        <f>'Double Dutch Pairs Freestyle'!B10</f>
        <v>DDPF</v>
      </c>
      <c r="D8" t="str">
        <f>'Double Dutch Pairs Freestyle'!C10</f>
        <v>10-under</v>
      </c>
      <c r="E8">
        <f>'Double Dutch Pairs Freestyle'!D10</f>
        <v>0</v>
      </c>
      <c r="F8">
        <f>'Double Dutch Pairs Freestyle'!F10</f>
        <v>0</v>
      </c>
      <c r="G8">
        <f>'Double Dutch Pairs Freestyle'!H10</f>
        <v>0</v>
      </c>
      <c r="H8">
        <f>'Double Dutch Pairs Freestyle'!J10</f>
        <v>0</v>
      </c>
      <c r="I8" t="str">
        <f t="shared" si="0"/>
        <v>DDPF-Double Dutch Pairs Freestyle</v>
      </c>
    </row>
    <row r="9" spans="1:9" x14ac:dyDescent="0.25">
      <c r="A9">
        <f>'Team Info'!$B$3</f>
        <v>0</v>
      </c>
      <c r="B9">
        <f>'Double Dutch Pairs Freestyle'!A11</f>
        <v>6</v>
      </c>
      <c r="C9" t="str">
        <f>'Double Dutch Pairs Freestyle'!B11</f>
        <v>DDPF</v>
      </c>
      <c r="D9" t="str">
        <f>'Double Dutch Pairs Freestyle'!C11</f>
        <v>10-under</v>
      </c>
      <c r="E9">
        <f>'Double Dutch Pairs Freestyle'!D11</f>
        <v>0</v>
      </c>
      <c r="F9">
        <f>'Double Dutch Pairs Freestyle'!F11</f>
        <v>0</v>
      </c>
      <c r="G9">
        <f>'Double Dutch Pairs Freestyle'!H11</f>
        <v>0</v>
      </c>
      <c r="H9">
        <f>'Double Dutch Pairs Freestyle'!J11</f>
        <v>0</v>
      </c>
      <c r="I9" t="str">
        <f t="shared" si="0"/>
        <v>DDPF-Double Dutch Pairs Freestyle</v>
      </c>
    </row>
    <row r="10" spans="1:9" x14ac:dyDescent="0.25">
      <c r="A10">
        <f>'Team Info'!$B$3</f>
        <v>0</v>
      </c>
      <c r="B10">
        <f>'Double Dutch Pairs Freestyle'!A12</f>
        <v>7</v>
      </c>
      <c r="C10" t="str">
        <f>'Double Dutch Pairs Freestyle'!B12</f>
        <v>DDPF</v>
      </c>
      <c r="D10" t="str">
        <f>'Double Dutch Pairs Freestyle'!C12</f>
        <v>10-under</v>
      </c>
      <c r="E10">
        <f>'Double Dutch Pairs Freestyle'!D12</f>
        <v>0</v>
      </c>
      <c r="F10">
        <f>'Double Dutch Pairs Freestyle'!F12</f>
        <v>0</v>
      </c>
      <c r="G10">
        <f>'Double Dutch Pairs Freestyle'!H12</f>
        <v>0</v>
      </c>
      <c r="H10">
        <f>'Double Dutch Pairs Freestyle'!J12</f>
        <v>0</v>
      </c>
      <c r="I10" t="str">
        <f t="shared" si="0"/>
        <v>DDPF-Double Dutch Pairs Freestyle</v>
      </c>
    </row>
    <row r="11" spans="1:9" x14ac:dyDescent="0.25">
      <c r="A11">
        <f>'Team Info'!$B$3</f>
        <v>0</v>
      </c>
      <c r="B11">
        <f>'Double Dutch Pairs Freestyle'!A13</f>
        <v>8</v>
      </c>
      <c r="C11" t="str">
        <f>'Double Dutch Pairs Freestyle'!B13</f>
        <v>DDPF</v>
      </c>
      <c r="D11" t="str">
        <f>'Double Dutch Pairs Freestyle'!C13</f>
        <v>10-under</v>
      </c>
      <c r="E11">
        <f>'Double Dutch Pairs Freestyle'!D13</f>
        <v>0</v>
      </c>
      <c r="F11">
        <f>'Double Dutch Pairs Freestyle'!F13</f>
        <v>0</v>
      </c>
      <c r="G11">
        <f>'Double Dutch Pairs Freestyle'!H13</f>
        <v>0</v>
      </c>
      <c r="H11">
        <f>'Double Dutch Pairs Freestyle'!J13</f>
        <v>0</v>
      </c>
      <c r="I11" t="str">
        <f t="shared" si="0"/>
        <v>DDPF-Double Dutch Pairs Freestyle</v>
      </c>
    </row>
    <row r="12" spans="1:9" x14ac:dyDescent="0.25">
      <c r="A12">
        <f>'Team Info'!$B$3</f>
        <v>0</v>
      </c>
      <c r="B12">
        <f>'Double Dutch Pairs Freestyle'!A14</f>
        <v>9</v>
      </c>
      <c r="C12" t="str">
        <f>'Double Dutch Pairs Freestyle'!B14</f>
        <v>DDPF</v>
      </c>
      <c r="D12" t="str">
        <f>'Double Dutch Pairs Freestyle'!C14</f>
        <v>10-under</v>
      </c>
      <c r="E12">
        <f>'Double Dutch Pairs Freestyle'!D14</f>
        <v>0</v>
      </c>
      <c r="F12">
        <f>'Double Dutch Pairs Freestyle'!F14</f>
        <v>0</v>
      </c>
      <c r="G12">
        <f>'Double Dutch Pairs Freestyle'!H14</f>
        <v>0</v>
      </c>
      <c r="H12">
        <f>'Double Dutch Pairs Freestyle'!J14</f>
        <v>0</v>
      </c>
      <c r="I12" t="str">
        <f t="shared" si="0"/>
        <v>DDPF-Double Dutch Pairs Freestyle</v>
      </c>
    </row>
    <row r="13" spans="1:9" x14ac:dyDescent="0.25">
      <c r="A13">
        <f>'Team Info'!$B$3</f>
        <v>0</v>
      </c>
      <c r="B13">
        <f>'Double Dutch Pairs Freestyle'!A15</f>
        <v>10</v>
      </c>
      <c r="C13" t="str">
        <f>'Double Dutch Pairs Freestyle'!B15</f>
        <v>DDPF</v>
      </c>
      <c r="D13" t="str">
        <f>'Double Dutch Pairs Freestyle'!C15</f>
        <v>10-under</v>
      </c>
      <c r="E13">
        <f>'Double Dutch Pairs Freestyle'!D15</f>
        <v>0</v>
      </c>
      <c r="F13">
        <f>'Double Dutch Pairs Freestyle'!F15</f>
        <v>0</v>
      </c>
      <c r="G13">
        <f>'Double Dutch Pairs Freestyle'!H15</f>
        <v>0</v>
      </c>
      <c r="H13">
        <f>'Double Dutch Pairs Freestyle'!J15</f>
        <v>0</v>
      </c>
      <c r="I13" t="str">
        <f t="shared" si="0"/>
        <v>DDPF-Double Dutch Pairs Freestyle</v>
      </c>
    </row>
    <row r="14" spans="1:9" x14ac:dyDescent="0.25">
      <c r="A14">
        <f>'Team Info'!$B$3</f>
        <v>0</v>
      </c>
      <c r="B14">
        <f>'Double Dutch Pairs Freestyle'!A16</f>
        <v>11</v>
      </c>
      <c r="C14" t="str">
        <f>'Double Dutch Pairs Freestyle'!B16</f>
        <v>DDPF</v>
      </c>
      <c r="D14" t="str">
        <f>'Double Dutch Pairs Freestyle'!C16</f>
        <v>10-under</v>
      </c>
      <c r="E14">
        <f>'Double Dutch Pairs Freestyle'!D16</f>
        <v>0</v>
      </c>
      <c r="F14">
        <f>'Double Dutch Pairs Freestyle'!F16</f>
        <v>0</v>
      </c>
      <c r="G14">
        <f>'Double Dutch Pairs Freestyle'!H16</f>
        <v>0</v>
      </c>
      <c r="H14">
        <f>'Double Dutch Pairs Freestyle'!J16</f>
        <v>0</v>
      </c>
      <c r="I14" t="str">
        <f t="shared" si="0"/>
        <v>DDPF-Double Dutch Pairs Freestyle</v>
      </c>
    </row>
    <row r="15" spans="1:9" x14ac:dyDescent="0.25">
      <c r="A15">
        <f>'Team Info'!$B$3</f>
        <v>0</v>
      </c>
      <c r="B15">
        <f>'Double Dutch Pairs Freestyle'!A17</f>
        <v>12</v>
      </c>
      <c r="C15" t="str">
        <f>'Double Dutch Pairs Freestyle'!B17</f>
        <v>DDPF</v>
      </c>
      <c r="D15" t="str">
        <f>'Double Dutch Pairs Freestyle'!C17</f>
        <v>10-under</v>
      </c>
      <c r="E15">
        <f>'Double Dutch Pairs Freestyle'!D17</f>
        <v>0</v>
      </c>
      <c r="F15">
        <f>'Double Dutch Pairs Freestyle'!F17</f>
        <v>0</v>
      </c>
      <c r="G15">
        <f>'Double Dutch Pairs Freestyle'!H17</f>
        <v>0</v>
      </c>
      <c r="H15">
        <f>'Double Dutch Pairs Freestyle'!J17</f>
        <v>0</v>
      </c>
      <c r="I15" t="str">
        <f t="shared" si="0"/>
        <v>DDPF-Double Dutch Pairs Freestyle</v>
      </c>
    </row>
    <row r="16" spans="1:9" x14ac:dyDescent="0.25">
      <c r="A16">
        <f>'Team Info'!$B$3</f>
        <v>0</v>
      </c>
      <c r="B16">
        <f>'Double Dutch Pairs Freestyle'!A20</f>
        <v>1</v>
      </c>
      <c r="C16" t="str">
        <f>'Double Dutch Pairs Freestyle'!B20</f>
        <v>DDPF</v>
      </c>
      <c r="D16" t="str">
        <f>'Double Dutch Pairs Freestyle'!C20</f>
        <v>11-12</v>
      </c>
      <c r="E16">
        <f>'Double Dutch Pairs Freestyle'!D20</f>
        <v>0</v>
      </c>
      <c r="F16">
        <f>'Double Dutch Pairs Freestyle'!F20</f>
        <v>0</v>
      </c>
      <c r="G16">
        <f>'Double Dutch Pairs Freestyle'!H20</f>
        <v>0</v>
      </c>
      <c r="H16">
        <f>'Double Dutch Pairs Freestyle'!J20</f>
        <v>0</v>
      </c>
      <c r="I16" t="str">
        <f t="shared" si="0"/>
        <v>DDPF-Double Dutch Pairs Freestyle</v>
      </c>
    </row>
    <row r="17" spans="1:9" x14ac:dyDescent="0.25">
      <c r="A17">
        <f>'Team Info'!$B$3</f>
        <v>0</v>
      </c>
      <c r="B17">
        <f>'Double Dutch Pairs Freestyle'!A21</f>
        <v>2</v>
      </c>
      <c r="C17" t="str">
        <f>'Double Dutch Pairs Freestyle'!B21</f>
        <v>DDPF</v>
      </c>
      <c r="D17" t="str">
        <f>'Double Dutch Pairs Freestyle'!C21</f>
        <v>11-12</v>
      </c>
      <c r="E17">
        <f>'Double Dutch Pairs Freestyle'!D21</f>
        <v>0</v>
      </c>
      <c r="F17">
        <f>'Double Dutch Pairs Freestyle'!F21</f>
        <v>0</v>
      </c>
      <c r="G17">
        <f>'Double Dutch Pairs Freestyle'!H21</f>
        <v>0</v>
      </c>
      <c r="H17">
        <f>'Double Dutch Pairs Freestyle'!J21</f>
        <v>0</v>
      </c>
      <c r="I17" t="str">
        <f t="shared" si="0"/>
        <v>DDPF-Double Dutch Pairs Freestyle</v>
      </c>
    </row>
    <row r="18" spans="1:9" x14ac:dyDescent="0.25">
      <c r="A18">
        <f>'Team Info'!$B$3</f>
        <v>0</v>
      </c>
      <c r="B18">
        <f>'Double Dutch Pairs Freestyle'!A22</f>
        <v>3</v>
      </c>
      <c r="C18" t="str">
        <f>'Double Dutch Pairs Freestyle'!B22</f>
        <v>DDPF</v>
      </c>
      <c r="D18" t="str">
        <f>'Double Dutch Pairs Freestyle'!C22</f>
        <v>11-12</v>
      </c>
      <c r="E18">
        <f>'Double Dutch Pairs Freestyle'!D22</f>
        <v>0</v>
      </c>
      <c r="F18">
        <f>'Double Dutch Pairs Freestyle'!F22</f>
        <v>0</v>
      </c>
      <c r="G18">
        <f>'Double Dutch Pairs Freestyle'!H22</f>
        <v>0</v>
      </c>
      <c r="H18">
        <f>'Double Dutch Pairs Freestyle'!J22</f>
        <v>0</v>
      </c>
      <c r="I18" t="str">
        <f t="shared" si="0"/>
        <v>DDPF-Double Dutch Pairs Freestyle</v>
      </c>
    </row>
    <row r="19" spans="1:9" x14ac:dyDescent="0.25">
      <c r="A19">
        <f>'Team Info'!$B$3</f>
        <v>0</v>
      </c>
      <c r="B19">
        <f>'Double Dutch Pairs Freestyle'!A23</f>
        <v>4</v>
      </c>
      <c r="C19" t="str">
        <f>'Double Dutch Pairs Freestyle'!B23</f>
        <v>DDPF</v>
      </c>
      <c r="D19" t="str">
        <f>'Double Dutch Pairs Freestyle'!C23</f>
        <v>11-12</v>
      </c>
      <c r="E19">
        <f>'Double Dutch Pairs Freestyle'!D23</f>
        <v>0</v>
      </c>
      <c r="F19">
        <f>'Double Dutch Pairs Freestyle'!F23</f>
        <v>0</v>
      </c>
      <c r="G19">
        <f>'Double Dutch Pairs Freestyle'!H23</f>
        <v>0</v>
      </c>
      <c r="H19">
        <f>'Double Dutch Pairs Freestyle'!J23</f>
        <v>0</v>
      </c>
      <c r="I19" t="str">
        <f t="shared" si="0"/>
        <v>DDPF-Double Dutch Pairs Freestyle</v>
      </c>
    </row>
    <row r="20" spans="1:9" x14ac:dyDescent="0.25">
      <c r="A20">
        <f>'Team Info'!$B$3</f>
        <v>0</v>
      </c>
      <c r="B20">
        <f>'Double Dutch Pairs Freestyle'!A24</f>
        <v>5</v>
      </c>
      <c r="C20" t="str">
        <f>'Double Dutch Pairs Freestyle'!B24</f>
        <v>DDPF</v>
      </c>
      <c r="D20" t="str">
        <f>'Double Dutch Pairs Freestyle'!C24</f>
        <v>11-12</v>
      </c>
      <c r="E20">
        <f>'Double Dutch Pairs Freestyle'!D24</f>
        <v>0</v>
      </c>
      <c r="F20">
        <f>'Double Dutch Pairs Freestyle'!F24</f>
        <v>0</v>
      </c>
      <c r="G20">
        <f>'Double Dutch Pairs Freestyle'!H24</f>
        <v>0</v>
      </c>
      <c r="H20">
        <f>'Double Dutch Pairs Freestyle'!J24</f>
        <v>0</v>
      </c>
      <c r="I20" t="str">
        <f t="shared" si="0"/>
        <v>DDPF-Double Dutch Pairs Freestyle</v>
      </c>
    </row>
    <row r="21" spans="1:9" x14ac:dyDescent="0.25">
      <c r="A21">
        <f>'Team Info'!$B$3</f>
        <v>0</v>
      </c>
      <c r="B21">
        <f>'Double Dutch Pairs Freestyle'!A25</f>
        <v>6</v>
      </c>
      <c r="C21" t="str">
        <f>'Double Dutch Pairs Freestyle'!B25</f>
        <v>DDPF</v>
      </c>
      <c r="D21" t="str">
        <f>'Double Dutch Pairs Freestyle'!C25</f>
        <v>11-12</v>
      </c>
      <c r="E21">
        <f>'Double Dutch Pairs Freestyle'!D25</f>
        <v>0</v>
      </c>
      <c r="F21">
        <f>'Double Dutch Pairs Freestyle'!F25</f>
        <v>0</v>
      </c>
      <c r="G21">
        <f>'Double Dutch Pairs Freestyle'!H25</f>
        <v>0</v>
      </c>
      <c r="H21">
        <f>'Double Dutch Pairs Freestyle'!J25</f>
        <v>0</v>
      </c>
      <c r="I21" t="str">
        <f t="shared" si="0"/>
        <v>DDPF-Double Dutch Pairs Freestyle</v>
      </c>
    </row>
    <row r="22" spans="1:9" x14ac:dyDescent="0.25">
      <c r="A22">
        <f>'Team Info'!$B$3</f>
        <v>0</v>
      </c>
      <c r="B22">
        <f>'Double Dutch Pairs Freestyle'!A26</f>
        <v>7</v>
      </c>
      <c r="C22" t="str">
        <f>'Double Dutch Pairs Freestyle'!B26</f>
        <v>DDPF</v>
      </c>
      <c r="D22" t="str">
        <f>'Double Dutch Pairs Freestyle'!C26</f>
        <v>11-12</v>
      </c>
      <c r="E22">
        <f>'Double Dutch Pairs Freestyle'!D26</f>
        <v>0</v>
      </c>
      <c r="F22">
        <f>'Double Dutch Pairs Freestyle'!F26</f>
        <v>0</v>
      </c>
      <c r="G22">
        <f>'Double Dutch Pairs Freestyle'!H26</f>
        <v>0</v>
      </c>
      <c r="H22">
        <f>'Double Dutch Pairs Freestyle'!J26</f>
        <v>0</v>
      </c>
      <c r="I22" t="str">
        <f t="shared" si="0"/>
        <v>DDPF-Double Dutch Pairs Freestyle</v>
      </c>
    </row>
    <row r="23" spans="1:9" x14ac:dyDescent="0.25">
      <c r="A23">
        <f>'Team Info'!$B$3</f>
        <v>0</v>
      </c>
      <c r="B23">
        <f>'Double Dutch Pairs Freestyle'!A27</f>
        <v>8</v>
      </c>
      <c r="C23" t="str">
        <f>'Double Dutch Pairs Freestyle'!B27</f>
        <v>DDPF</v>
      </c>
      <c r="D23" t="str">
        <f>'Double Dutch Pairs Freestyle'!C27</f>
        <v>11-12</v>
      </c>
      <c r="E23">
        <f>'Double Dutch Pairs Freestyle'!D27</f>
        <v>0</v>
      </c>
      <c r="F23">
        <f>'Double Dutch Pairs Freestyle'!F27</f>
        <v>0</v>
      </c>
      <c r="G23">
        <f>'Double Dutch Pairs Freestyle'!H27</f>
        <v>0</v>
      </c>
      <c r="H23">
        <f>'Double Dutch Pairs Freestyle'!J27</f>
        <v>0</v>
      </c>
      <c r="I23" t="str">
        <f t="shared" si="0"/>
        <v>DDPF-Double Dutch Pairs Freestyle</v>
      </c>
    </row>
    <row r="24" spans="1:9" x14ac:dyDescent="0.25">
      <c r="A24">
        <f>'Team Info'!$B$3</f>
        <v>0</v>
      </c>
      <c r="B24">
        <f>'Double Dutch Pairs Freestyle'!A28</f>
        <v>9</v>
      </c>
      <c r="C24" t="str">
        <f>'Double Dutch Pairs Freestyle'!B28</f>
        <v>DDPF</v>
      </c>
      <c r="D24" t="str">
        <f>'Double Dutch Pairs Freestyle'!C28</f>
        <v>11-12</v>
      </c>
      <c r="E24">
        <f>'Double Dutch Pairs Freestyle'!D28</f>
        <v>0</v>
      </c>
      <c r="F24">
        <f>'Double Dutch Pairs Freestyle'!F28</f>
        <v>0</v>
      </c>
      <c r="G24">
        <f>'Double Dutch Pairs Freestyle'!H28</f>
        <v>0</v>
      </c>
      <c r="H24">
        <f>'Double Dutch Pairs Freestyle'!J28</f>
        <v>0</v>
      </c>
      <c r="I24" t="str">
        <f t="shared" si="0"/>
        <v>DDPF-Double Dutch Pairs Freestyle</v>
      </c>
    </row>
    <row r="25" spans="1:9" x14ac:dyDescent="0.25">
      <c r="A25">
        <f>'Team Info'!$B$3</f>
        <v>0</v>
      </c>
      <c r="B25">
        <f>'Double Dutch Pairs Freestyle'!A29</f>
        <v>10</v>
      </c>
      <c r="C25" t="str">
        <f>'Double Dutch Pairs Freestyle'!B29</f>
        <v>DDPF</v>
      </c>
      <c r="D25" t="str">
        <f>'Double Dutch Pairs Freestyle'!C29</f>
        <v>11-12</v>
      </c>
      <c r="E25">
        <f>'Double Dutch Pairs Freestyle'!D29</f>
        <v>0</v>
      </c>
      <c r="F25">
        <f>'Double Dutch Pairs Freestyle'!F29</f>
        <v>0</v>
      </c>
      <c r="G25">
        <f>'Double Dutch Pairs Freestyle'!H29</f>
        <v>0</v>
      </c>
      <c r="H25">
        <f>'Double Dutch Pairs Freestyle'!J29</f>
        <v>0</v>
      </c>
      <c r="I25" t="str">
        <f t="shared" si="0"/>
        <v>DDPF-Double Dutch Pairs Freestyle</v>
      </c>
    </row>
    <row r="26" spans="1:9" x14ac:dyDescent="0.25">
      <c r="A26">
        <f>'Team Info'!$B$3</f>
        <v>0</v>
      </c>
      <c r="B26">
        <f>'Double Dutch Pairs Freestyle'!A30</f>
        <v>11</v>
      </c>
      <c r="C26" t="str">
        <f>'Double Dutch Pairs Freestyle'!B30</f>
        <v>DDPF</v>
      </c>
      <c r="D26" t="str">
        <f>'Double Dutch Pairs Freestyle'!C30</f>
        <v>11-12</v>
      </c>
      <c r="E26">
        <f>'Double Dutch Pairs Freestyle'!D30</f>
        <v>0</v>
      </c>
      <c r="F26">
        <f>'Double Dutch Pairs Freestyle'!F30</f>
        <v>0</v>
      </c>
      <c r="G26">
        <f>'Double Dutch Pairs Freestyle'!H30</f>
        <v>0</v>
      </c>
      <c r="H26">
        <f>'Double Dutch Pairs Freestyle'!J30</f>
        <v>0</v>
      </c>
      <c r="I26" t="str">
        <f t="shared" si="0"/>
        <v>DDPF-Double Dutch Pairs Freestyle</v>
      </c>
    </row>
    <row r="27" spans="1:9" x14ac:dyDescent="0.25">
      <c r="A27">
        <f>'Team Info'!$B$3</f>
        <v>0</v>
      </c>
      <c r="B27">
        <f>'Double Dutch Pairs Freestyle'!A31</f>
        <v>12</v>
      </c>
      <c r="C27" t="str">
        <f>'Double Dutch Pairs Freestyle'!B31</f>
        <v>DDPF</v>
      </c>
      <c r="D27" t="str">
        <f>'Double Dutch Pairs Freestyle'!C31</f>
        <v>11-12</v>
      </c>
      <c r="E27">
        <f>'Double Dutch Pairs Freestyle'!D31</f>
        <v>0</v>
      </c>
      <c r="F27">
        <f>'Double Dutch Pairs Freestyle'!F31</f>
        <v>0</v>
      </c>
      <c r="G27">
        <f>'Double Dutch Pairs Freestyle'!H31</f>
        <v>0</v>
      </c>
      <c r="H27">
        <f>'Double Dutch Pairs Freestyle'!J31</f>
        <v>0</v>
      </c>
      <c r="I27" t="str">
        <f t="shared" si="0"/>
        <v>DDPF-Double Dutch Pairs Freestyle</v>
      </c>
    </row>
    <row r="28" spans="1:9" x14ac:dyDescent="0.25">
      <c r="A28">
        <f>'Team Info'!$B$3</f>
        <v>0</v>
      </c>
      <c r="B28">
        <f>'Double Dutch Pairs Freestyle'!A34</f>
        <v>1</v>
      </c>
      <c r="C28" t="str">
        <f>'Double Dutch Pairs Freestyle'!B34</f>
        <v>DDPF</v>
      </c>
      <c r="D28" t="str">
        <f>'Double Dutch Pairs Freestyle'!C34</f>
        <v>13-14</v>
      </c>
      <c r="E28">
        <f>'Double Dutch Pairs Freestyle'!D34</f>
        <v>0</v>
      </c>
      <c r="F28">
        <f>'Double Dutch Pairs Freestyle'!F34</f>
        <v>0</v>
      </c>
      <c r="G28">
        <f>'Double Dutch Pairs Freestyle'!H34</f>
        <v>0</v>
      </c>
      <c r="H28">
        <f>'Double Dutch Pairs Freestyle'!J34</f>
        <v>0</v>
      </c>
      <c r="I28" t="str">
        <f t="shared" si="0"/>
        <v>DDPF-Double Dutch Pairs Freestyle</v>
      </c>
    </row>
    <row r="29" spans="1:9" x14ac:dyDescent="0.25">
      <c r="A29">
        <f>'Team Info'!$B$3</f>
        <v>0</v>
      </c>
      <c r="B29">
        <f>'Double Dutch Pairs Freestyle'!A35</f>
        <v>2</v>
      </c>
      <c r="C29" t="str">
        <f>'Double Dutch Pairs Freestyle'!B35</f>
        <v>DDPF</v>
      </c>
      <c r="D29" t="str">
        <f>'Double Dutch Pairs Freestyle'!C35</f>
        <v>13-14</v>
      </c>
      <c r="E29">
        <f>'Double Dutch Pairs Freestyle'!D35</f>
        <v>0</v>
      </c>
      <c r="F29">
        <f>'Double Dutch Pairs Freestyle'!F35</f>
        <v>0</v>
      </c>
      <c r="G29">
        <f>'Double Dutch Pairs Freestyle'!H35</f>
        <v>0</v>
      </c>
      <c r="H29">
        <f>'Double Dutch Pairs Freestyle'!J35</f>
        <v>0</v>
      </c>
      <c r="I29" t="str">
        <f t="shared" si="0"/>
        <v>DDPF-Double Dutch Pairs Freestyle</v>
      </c>
    </row>
    <row r="30" spans="1:9" x14ac:dyDescent="0.25">
      <c r="A30">
        <f>'Team Info'!$B$3</f>
        <v>0</v>
      </c>
      <c r="B30">
        <f>'Double Dutch Pairs Freestyle'!A36</f>
        <v>3</v>
      </c>
      <c r="C30" t="str">
        <f>'Double Dutch Pairs Freestyle'!B36</f>
        <v>DDPF</v>
      </c>
      <c r="D30" t="str">
        <f>'Double Dutch Pairs Freestyle'!C36</f>
        <v>13-14</v>
      </c>
      <c r="E30">
        <f>'Double Dutch Pairs Freestyle'!D36</f>
        <v>0</v>
      </c>
      <c r="F30">
        <f>'Double Dutch Pairs Freestyle'!F36</f>
        <v>0</v>
      </c>
      <c r="G30">
        <f>'Double Dutch Pairs Freestyle'!H36</f>
        <v>0</v>
      </c>
      <c r="H30">
        <f>'Double Dutch Pairs Freestyle'!J36</f>
        <v>0</v>
      </c>
      <c r="I30" t="str">
        <f t="shared" si="0"/>
        <v>DDPF-Double Dutch Pairs Freestyle</v>
      </c>
    </row>
    <row r="31" spans="1:9" x14ac:dyDescent="0.25">
      <c r="A31">
        <f>'Team Info'!$B$3</f>
        <v>0</v>
      </c>
      <c r="B31">
        <f>'Double Dutch Pairs Freestyle'!A37</f>
        <v>4</v>
      </c>
      <c r="C31" t="str">
        <f>'Double Dutch Pairs Freestyle'!B37</f>
        <v>DDPF</v>
      </c>
      <c r="D31" t="str">
        <f>'Double Dutch Pairs Freestyle'!C37</f>
        <v>13-14</v>
      </c>
      <c r="E31">
        <f>'Double Dutch Pairs Freestyle'!D37</f>
        <v>0</v>
      </c>
      <c r="F31">
        <f>'Double Dutch Pairs Freestyle'!F37</f>
        <v>0</v>
      </c>
      <c r="G31">
        <f>'Double Dutch Pairs Freestyle'!H37</f>
        <v>0</v>
      </c>
      <c r="H31">
        <f>'Double Dutch Pairs Freestyle'!J37</f>
        <v>0</v>
      </c>
      <c r="I31" t="str">
        <f t="shared" si="0"/>
        <v>DDPF-Double Dutch Pairs Freestyle</v>
      </c>
    </row>
    <row r="32" spans="1:9" x14ac:dyDescent="0.25">
      <c r="A32">
        <f>'Team Info'!$B$3</f>
        <v>0</v>
      </c>
      <c r="B32">
        <f>'Double Dutch Pairs Freestyle'!A38</f>
        <v>5</v>
      </c>
      <c r="C32" t="str">
        <f>'Double Dutch Pairs Freestyle'!B38</f>
        <v>DDPF</v>
      </c>
      <c r="D32" t="str">
        <f>'Double Dutch Pairs Freestyle'!C38</f>
        <v>13-14</v>
      </c>
      <c r="E32">
        <f>'Double Dutch Pairs Freestyle'!D38</f>
        <v>0</v>
      </c>
      <c r="F32">
        <f>'Double Dutch Pairs Freestyle'!F38</f>
        <v>0</v>
      </c>
      <c r="G32">
        <f>'Double Dutch Pairs Freestyle'!H38</f>
        <v>0</v>
      </c>
      <c r="H32">
        <f>'Double Dutch Pairs Freestyle'!J38</f>
        <v>0</v>
      </c>
      <c r="I32" t="str">
        <f t="shared" si="0"/>
        <v>DDPF-Double Dutch Pairs Freestyle</v>
      </c>
    </row>
    <row r="33" spans="1:9" x14ac:dyDescent="0.25">
      <c r="A33">
        <f>'Team Info'!$B$3</f>
        <v>0</v>
      </c>
      <c r="B33">
        <f>'Double Dutch Pairs Freestyle'!A39</f>
        <v>6</v>
      </c>
      <c r="C33" t="str">
        <f>'Double Dutch Pairs Freestyle'!B39</f>
        <v>DDPF</v>
      </c>
      <c r="D33" t="str">
        <f>'Double Dutch Pairs Freestyle'!C39</f>
        <v>13-14</v>
      </c>
      <c r="E33">
        <f>'Double Dutch Pairs Freestyle'!D39</f>
        <v>0</v>
      </c>
      <c r="F33">
        <f>'Double Dutch Pairs Freestyle'!F39</f>
        <v>0</v>
      </c>
      <c r="G33">
        <f>'Double Dutch Pairs Freestyle'!H39</f>
        <v>0</v>
      </c>
      <c r="H33">
        <f>'Double Dutch Pairs Freestyle'!J39</f>
        <v>0</v>
      </c>
      <c r="I33" t="str">
        <f t="shared" si="0"/>
        <v>DDPF-Double Dutch Pairs Freestyle</v>
      </c>
    </row>
    <row r="34" spans="1:9" x14ac:dyDescent="0.25">
      <c r="A34">
        <f>'Team Info'!$B$3</f>
        <v>0</v>
      </c>
      <c r="B34">
        <f>'Double Dutch Pairs Freestyle'!A70</f>
        <v>1</v>
      </c>
      <c r="C34" t="str">
        <f>'Double Dutch Pairs Freestyle'!B70</f>
        <v>DDPF</v>
      </c>
      <c r="D34" t="str">
        <f>'Double Dutch Pairs Freestyle'!C70</f>
        <v>15-17</v>
      </c>
      <c r="E34">
        <f>'Double Dutch Pairs Freestyle'!D70</f>
        <v>0</v>
      </c>
      <c r="F34">
        <f>'Double Dutch Pairs Freestyle'!F70</f>
        <v>0</v>
      </c>
      <c r="G34">
        <f>'Double Dutch Pairs Freestyle'!H70</f>
        <v>0</v>
      </c>
      <c r="H34">
        <f>'Double Dutch Pairs Freestyle'!J70</f>
        <v>0</v>
      </c>
      <c r="I34" t="str">
        <f t="shared" si="0"/>
        <v>DDPF-Double Dutch Pairs Freestyle</v>
      </c>
    </row>
    <row r="35" spans="1:9" x14ac:dyDescent="0.25">
      <c r="A35">
        <f>'Team Info'!$B$3</f>
        <v>0</v>
      </c>
      <c r="B35">
        <f>'Double Dutch Pairs Freestyle'!A71</f>
        <v>2</v>
      </c>
      <c r="C35" t="str">
        <f>'Double Dutch Pairs Freestyle'!B71</f>
        <v>DDPF</v>
      </c>
      <c r="D35" t="str">
        <f>'Double Dutch Pairs Freestyle'!C71</f>
        <v>15-17</v>
      </c>
      <c r="E35">
        <f>'Double Dutch Pairs Freestyle'!D71</f>
        <v>0</v>
      </c>
      <c r="F35">
        <f>'Double Dutch Pairs Freestyle'!F71</f>
        <v>0</v>
      </c>
      <c r="G35">
        <f>'Double Dutch Pairs Freestyle'!H71</f>
        <v>0</v>
      </c>
      <c r="H35">
        <f>'Double Dutch Pairs Freestyle'!J71</f>
        <v>0</v>
      </c>
      <c r="I35" t="str">
        <f t="shared" si="0"/>
        <v>DDPF-Double Dutch Pairs Freestyle</v>
      </c>
    </row>
    <row r="36" spans="1:9" x14ac:dyDescent="0.25">
      <c r="A36">
        <f>'Team Info'!$B$3</f>
        <v>0</v>
      </c>
      <c r="B36">
        <f>'Double Dutch Pairs Freestyle'!A72</f>
        <v>3</v>
      </c>
      <c r="C36" t="str">
        <f>'Double Dutch Pairs Freestyle'!B72</f>
        <v>DDPF</v>
      </c>
      <c r="D36" t="str">
        <f>'Double Dutch Pairs Freestyle'!C72</f>
        <v>15-17</v>
      </c>
      <c r="E36">
        <f>'Double Dutch Pairs Freestyle'!D72</f>
        <v>0</v>
      </c>
      <c r="F36">
        <f>'Double Dutch Pairs Freestyle'!F72</f>
        <v>0</v>
      </c>
      <c r="G36">
        <f>'Double Dutch Pairs Freestyle'!H72</f>
        <v>0</v>
      </c>
      <c r="H36">
        <f>'Double Dutch Pairs Freestyle'!J72</f>
        <v>0</v>
      </c>
      <c r="I36" t="str">
        <f t="shared" si="0"/>
        <v>DDPF-Double Dutch Pairs Freestyle</v>
      </c>
    </row>
    <row r="37" spans="1:9" x14ac:dyDescent="0.25">
      <c r="A37">
        <f>'Team Info'!$B$3</f>
        <v>0</v>
      </c>
      <c r="B37">
        <f>'Double Dutch Pairs Freestyle'!A73</f>
        <v>4</v>
      </c>
      <c r="C37" t="str">
        <f>'Double Dutch Pairs Freestyle'!B73</f>
        <v>DDPF</v>
      </c>
      <c r="D37" t="str">
        <f>'Double Dutch Pairs Freestyle'!C73</f>
        <v>15-17</v>
      </c>
      <c r="E37">
        <f>'Double Dutch Pairs Freestyle'!D73</f>
        <v>0</v>
      </c>
      <c r="F37">
        <f>'Double Dutch Pairs Freestyle'!F73</f>
        <v>0</v>
      </c>
      <c r="G37">
        <f>'Double Dutch Pairs Freestyle'!H73</f>
        <v>0</v>
      </c>
      <c r="H37">
        <f>'Double Dutch Pairs Freestyle'!J73</f>
        <v>0</v>
      </c>
      <c r="I37" t="str">
        <f t="shared" si="0"/>
        <v>DDPF-Double Dutch Pairs Freestyle</v>
      </c>
    </row>
    <row r="38" spans="1:9" x14ac:dyDescent="0.25">
      <c r="A38">
        <f>'Team Info'!$B$3</f>
        <v>0</v>
      </c>
      <c r="B38">
        <f>'Double Dutch Pairs Freestyle'!A74</f>
        <v>5</v>
      </c>
      <c r="C38" t="str">
        <f>'Double Dutch Pairs Freestyle'!B74</f>
        <v>DDPF</v>
      </c>
      <c r="D38" t="str">
        <f>'Double Dutch Pairs Freestyle'!C74</f>
        <v>15-17</v>
      </c>
      <c r="E38">
        <f>'Double Dutch Pairs Freestyle'!D74</f>
        <v>0</v>
      </c>
      <c r="F38">
        <f>'Double Dutch Pairs Freestyle'!F74</f>
        <v>0</v>
      </c>
      <c r="G38">
        <f>'Double Dutch Pairs Freestyle'!H74</f>
        <v>0</v>
      </c>
      <c r="H38">
        <f>'Double Dutch Pairs Freestyle'!J74</f>
        <v>0</v>
      </c>
      <c r="I38" t="str">
        <f t="shared" si="0"/>
        <v>DDPF-Double Dutch Pairs Freestyle</v>
      </c>
    </row>
    <row r="39" spans="1:9" x14ac:dyDescent="0.25">
      <c r="A39">
        <f>'Team Info'!$B$3</f>
        <v>0</v>
      </c>
      <c r="B39">
        <f>'Double Dutch Pairs Freestyle'!A75</f>
        <v>6</v>
      </c>
      <c r="C39" t="str">
        <f>'Double Dutch Pairs Freestyle'!B75</f>
        <v>DDPF</v>
      </c>
      <c r="D39" t="str">
        <f>'Double Dutch Pairs Freestyle'!C75</f>
        <v>15-17</v>
      </c>
      <c r="E39">
        <f>'Double Dutch Pairs Freestyle'!D75</f>
        <v>0</v>
      </c>
      <c r="F39">
        <f>'Double Dutch Pairs Freestyle'!F75</f>
        <v>0</v>
      </c>
      <c r="G39">
        <f>'Double Dutch Pairs Freestyle'!H75</f>
        <v>0</v>
      </c>
      <c r="H39">
        <f>'Double Dutch Pairs Freestyle'!J75</f>
        <v>0</v>
      </c>
      <c r="I39" t="str">
        <f t="shared" si="0"/>
        <v>DDPF-Double Dutch Pairs Freestyle</v>
      </c>
    </row>
    <row r="40" spans="1:9" x14ac:dyDescent="0.25">
      <c r="A40">
        <f>'Team Info'!$B$3</f>
        <v>0</v>
      </c>
      <c r="B40">
        <f>'Double Dutch Pairs Freestyle'!A76</f>
        <v>7</v>
      </c>
      <c r="C40" t="str">
        <f>'Double Dutch Pairs Freestyle'!B76</f>
        <v>DDPF</v>
      </c>
      <c r="D40" t="str">
        <f>'Double Dutch Pairs Freestyle'!C76</f>
        <v>15-17</v>
      </c>
      <c r="E40">
        <f>'Double Dutch Pairs Freestyle'!D76</f>
        <v>0</v>
      </c>
      <c r="F40">
        <f>'Double Dutch Pairs Freestyle'!F76</f>
        <v>0</v>
      </c>
      <c r="G40">
        <f>'Double Dutch Pairs Freestyle'!H76</f>
        <v>0</v>
      </c>
      <c r="H40">
        <f>'Double Dutch Pairs Freestyle'!J76</f>
        <v>0</v>
      </c>
      <c r="I40" t="str">
        <f t="shared" si="0"/>
        <v>DDPF-Double Dutch Pairs Freestyle</v>
      </c>
    </row>
    <row r="41" spans="1:9" x14ac:dyDescent="0.25">
      <c r="A41">
        <f>'Team Info'!$B$3</f>
        <v>0</v>
      </c>
      <c r="B41">
        <f>'Double Dutch Pairs Freestyle'!A77</f>
        <v>8</v>
      </c>
      <c r="C41" t="str">
        <f>'Double Dutch Pairs Freestyle'!B77</f>
        <v>DDPF</v>
      </c>
      <c r="D41" t="str">
        <f>'Double Dutch Pairs Freestyle'!C77</f>
        <v>15-17</v>
      </c>
      <c r="E41">
        <f>'Double Dutch Pairs Freestyle'!D77</f>
        <v>0</v>
      </c>
      <c r="F41">
        <f>'Double Dutch Pairs Freestyle'!F77</f>
        <v>0</v>
      </c>
      <c r="G41">
        <f>'Double Dutch Pairs Freestyle'!H77</f>
        <v>0</v>
      </c>
      <c r="H41">
        <f>'Double Dutch Pairs Freestyle'!J77</f>
        <v>0</v>
      </c>
      <c r="I41" t="str">
        <f t="shared" si="0"/>
        <v>DDPF-Double Dutch Pairs Freestyle</v>
      </c>
    </row>
    <row r="42" spans="1:9" x14ac:dyDescent="0.25">
      <c r="A42">
        <f>'Team Info'!$B$3</f>
        <v>0</v>
      </c>
      <c r="B42">
        <f>'Double Dutch Pairs Freestyle'!A81</f>
        <v>1</v>
      </c>
      <c r="C42" t="str">
        <f>'Double Dutch Pairs Freestyle'!B81</f>
        <v>DDPF</v>
      </c>
      <c r="D42" t="str">
        <f>'Double Dutch Pairs Freestyle'!C81</f>
        <v>18-over</v>
      </c>
      <c r="E42">
        <f>'Double Dutch Pairs Freestyle'!D81</f>
        <v>0</v>
      </c>
      <c r="F42">
        <f>'Double Dutch Pairs Freestyle'!F81</f>
        <v>0</v>
      </c>
      <c r="G42">
        <f>'Double Dutch Pairs Freestyle'!H81</f>
        <v>0</v>
      </c>
      <c r="H42">
        <f>'Double Dutch Pairs Freestyle'!J81</f>
        <v>0</v>
      </c>
      <c r="I42" t="str">
        <f t="shared" si="0"/>
        <v>DDPF-Double Dutch Pairs Freestyle</v>
      </c>
    </row>
    <row r="43" spans="1:9" x14ac:dyDescent="0.25">
      <c r="A43">
        <f>'Team Info'!$B$3</f>
        <v>0</v>
      </c>
      <c r="B43">
        <f>'Double Dutch Pairs Freestyle'!A82</f>
        <v>2</v>
      </c>
      <c r="C43" t="str">
        <f>'Double Dutch Pairs Freestyle'!B82</f>
        <v>DDPF</v>
      </c>
      <c r="D43" t="str">
        <f>'Double Dutch Pairs Freestyle'!C82</f>
        <v>18-over</v>
      </c>
      <c r="E43">
        <f>'Double Dutch Pairs Freestyle'!D82</f>
        <v>0</v>
      </c>
      <c r="F43">
        <f>'Double Dutch Pairs Freestyle'!F82</f>
        <v>0</v>
      </c>
      <c r="G43">
        <f>'Double Dutch Pairs Freestyle'!H82</f>
        <v>0</v>
      </c>
      <c r="H43">
        <f>'Double Dutch Pairs Freestyle'!J82</f>
        <v>0</v>
      </c>
      <c r="I43" t="str">
        <f t="shared" si="0"/>
        <v>DDPF-Double Dutch Pairs Freestyle</v>
      </c>
    </row>
    <row r="44" spans="1:9" x14ac:dyDescent="0.25">
      <c r="A44">
        <f>'Team Info'!$B$3</f>
        <v>0</v>
      </c>
      <c r="B44">
        <f>'Double Dutch Pairs Freestyle'!A83</f>
        <v>3</v>
      </c>
      <c r="C44" t="str">
        <f>'Double Dutch Pairs Freestyle'!B83</f>
        <v>DDPF</v>
      </c>
      <c r="D44" t="str">
        <f>'Double Dutch Pairs Freestyle'!C83</f>
        <v>18-over</v>
      </c>
      <c r="E44">
        <f>'Double Dutch Pairs Freestyle'!D83</f>
        <v>0</v>
      </c>
      <c r="F44">
        <f>'Double Dutch Pairs Freestyle'!F83</f>
        <v>0</v>
      </c>
      <c r="G44">
        <f>'Double Dutch Pairs Freestyle'!H83</f>
        <v>0</v>
      </c>
      <c r="H44">
        <f>'Double Dutch Pairs Freestyle'!J83</f>
        <v>0</v>
      </c>
      <c r="I44" t="str">
        <f t="shared" si="0"/>
        <v>DDPF-Double Dutch Pairs Freestyle</v>
      </c>
    </row>
    <row r="45" spans="1:9" x14ac:dyDescent="0.25">
      <c r="A45">
        <f>'Team Info'!$B$3</f>
        <v>0</v>
      </c>
      <c r="B45">
        <f>'Double Dutch Pairs Freestyle'!A84</f>
        <v>4</v>
      </c>
      <c r="C45" t="str">
        <f>'Double Dutch Pairs Freestyle'!B84</f>
        <v>DDPF</v>
      </c>
      <c r="D45" t="str">
        <f>'Double Dutch Pairs Freestyle'!C84</f>
        <v>18-over</v>
      </c>
      <c r="E45">
        <f>'Double Dutch Pairs Freestyle'!D84</f>
        <v>0</v>
      </c>
      <c r="F45">
        <f>'Double Dutch Pairs Freestyle'!F84</f>
        <v>0</v>
      </c>
      <c r="G45">
        <f>'Double Dutch Pairs Freestyle'!H84</f>
        <v>0</v>
      </c>
      <c r="H45">
        <f>'Double Dutch Pairs Freestyle'!J84</f>
        <v>0</v>
      </c>
      <c r="I45" t="str">
        <f t="shared" si="0"/>
        <v>DDPF-Double Dutch Pairs Freestyle</v>
      </c>
    </row>
    <row r="46" spans="1:9" x14ac:dyDescent="0.25">
      <c r="A46">
        <f>'Team Info'!$B$3</f>
        <v>0</v>
      </c>
      <c r="B46">
        <f>'Double Dutch Pairs Freestyle'!A85</f>
        <v>5</v>
      </c>
      <c r="C46" t="str">
        <f>'Double Dutch Pairs Freestyle'!B85</f>
        <v>DDPF</v>
      </c>
      <c r="D46" t="str">
        <f>'Double Dutch Pairs Freestyle'!C85</f>
        <v>18-over</v>
      </c>
      <c r="E46">
        <f>'Double Dutch Pairs Freestyle'!D85</f>
        <v>0</v>
      </c>
      <c r="F46">
        <f>'Double Dutch Pairs Freestyle'!F85</f>
        <v>0</v>
      </c>
      <c r="G46">
        <f>'Double Dutch Pairs Freestyle'!H85</f>
        <v>0</v>
      </c>
      <c r="H46">
        <f>'Double Dutch Pairs Freestyle'!J85</f>
        <v>0</v>
      </c>
      <c r="I46" t="str">
        <f t="shared" si="0"/>
        <v>DDPF-Double Dutch Pairs Freestyle</v>
      </c>
    </row>
    <row r="47" spans="1:9" x14ac:dyDescent="0.25">
      <c r="A47">
        <f>'Team Info'!$B$3</f>
        <v>0</v>
      </c>
      <c r="B47">
        <f>'Double Dutch Pairs Freestyle'!A86</f>
        <v>6</v>
      </c>
      <c r="C47" t="str">
        <f>'Double Dutch Pairs Freestyle'!B86</f>
        <v>DDPF</v>
      </c>
      <c r="D47" t="str">
        <f>'Double Dutch Pairs Freestyle'!C86</f>
        <v>18-over</v>
      </c>
      <c r="E47">
        <f>'Double Dutch Pairs Freestyle'!D86</f>
        <v>0</v>
      </c>
      <c r="F47">
        <f>'Double Dutch Pairs Freestyle'!F86</f>
        <v>0</v>
      </c>
      <c r="G47">
        <f>'Double Dutch Pairs Freestyle'!H86</f>
        <v>0</v>
      </c>
      <c r="H47">
        <f>'Double Dutch Pairs Freestyle'!J86</f>
        <v>0</v>
      </c>
      <c r="I47" t="str">
        <f t="shared" si="0"/>
        <v>DDPF-Double Dutch Pairs Freestyle</v>
      </c>
    </row>
    <row r="48" spans="1:9" x14ac:dyDescent="0.25">
      <c r="A48">
        <f>'Team Info'!$B$3</f>
        <v>0</v>
      </c>
      <c r="B48">
        <f>'Double Dutch Pairs Freestyle'!A42</f>
        <v>1</v>
      </c>
      <c r="C48" t="str">
        <f>'Double Dutch Pairs Freestyle'!B42</f>
        <v>DDPF</v>
      </c>
      <c r="D48" t="str">
        <f>'Double Dutch Pairs Freestyle'!C42</f>
        <v>30-over</v>
      </c>
      <c r="E48">
        <f>'Double Dutch Pairs Freestyle'!D42</f>
        <v>0</v>
      </c>
      <c r="F48">
        <f>'Double Dutch Pairs Freestyle'!F42</f>
        <v>0</v>
      </c>
      <c r="G48">
        <f>'Double Dutch Pairs Freestyle'!H42</f>
        <v>0</v>
      </c>
      <c r="H48">
        <f>'Double Dutch Pairs Freestyle'!J42</f>
        <v>0</v>
      </c>
      <c r="I48" t="str">
        <f t="shared" si="0"/>
        <v>DDPF-Double Dutch Pairs Freestyle</v>
      </c>
    </row>
    <row r="49" spans="1:9" x14ac:dyDescent="0.25">
      <c r="A49">
        <f>'Team Info'!$B$3</f>
        <v>0</v>
      </c>
      <c r="B49">
        <f>'Double Dutch Pairs Freestyle'!A43</f>
        <v>2</v>
      </c>
      <c r="C49" t="str">
        <f>'Double Dutch Pairs Freestyle'!B43</f>
        <v>DDPF</v>
      </c>
      <c r="D49" t="str">
        <f>'Double Dutch Pairs Freestyle'!C43</f>
        <v>30-over</v>
      </c>
      <c r="E49">
        <f>'Double Dutch Pairs Freestyle'!D43</f>
        <v>0</v>
      </c>
      <c r="F49">
        <f>'Double Dutch Pairs Freestyle'!F43</f>
        <v>0</v>
      </c>
      <c r="G49">
        <f>'Double Dutch Pairs Freestyle'!H43</f>
        <v>0</v>
      </c>
      <c r="H49">
        <f>'Double Dutch Pairs Freestyle'!J43</f>
        <v>0</v>
      </c>
      <c r="I49" t="str">
        <f t="shared" si="0"/>
        <v>DDPF-Double Dutch Pairs Freestyle</v>
      </c>
    </row>
    <row r="50" spans="1:9" x14ac:dyDescent="0.25">
      <c r="A50">
        <f>'Team Info'!$B$3</f>
        <v>0</v>
      </c>
      <c r="B50">
        <f>'Double Dutch Pairs Freestyle'!A44</f>
        <v>3</v>
      </c>
      <c r="C50" t="str">
        <f>'Double Dutch Pairs Freestyle'!B44</f>
        <v>DDPF</v>
      </c>
      <c r="D50" t="str">
        <f>'Double Dutch Pairs Freestyle'!C44</f>
        <v>30-over</v>
      </c>
      <c r="E50">
        <f>'Double Dutch Pairs Freestyle'!D44</f>
        <v>0</v>
      </c>
      <c r="F50">
        <f>'Double Dutch Pairs Freestyle'!F44</f>
        <v>0</v>
      </c>
      <c r="G50">
        <f>'Double Dutch Pairs Freestyle'!H44</f>
        <v>0</v>
      </c>
      <c r="H50">
        <f>'Double Dutch Pairs Freestyle'!J44</f>
        <v>0</v>
      </c>
      <c r="I50" t="str">
        <f t="shared" si="0"/>
        <v>DDPF-Double Dutch Pairs Freestyle</v>
      </c>
    </row>
    <row r="51" spans="1:9" x14ac:dyDescent="0.25">
      <c r="A51">
        <f>'Team Info'!$B$3</f>
        <v>0</v>
      </c>
      <c r="B51">
        <f>'DD Pairs Speed'!A5</f>
        <v>1</v>
      </c>
      <c r="C51" t="str">
        <f>'DD Pairs Speed'!B5</f>
        <v>DDPS</v>
      </c>
      <c r="D51" t="str">
        <f>'DD Pairs Speed'!C5</f>
        <v>10-under</v>
      </c>
      <c r="E51">
        <f>'DD Pairs Speed'!D5</f>
        <v>0</v>
      </c>
      <c r="F51">
        <f>'DD Pairs Speed'!F5</f>
        <v>0</v>
      </c>
      <c r="G51">
        <f>'DD Pairs Speed'!H5</f>
        <v>0</v>
      </c>
      <c r="H51">
        <f>'DD Pairs Speed'!J5</f>
        <v>0</v>
      </c>
      <c r="I51" t="str">
        <f t="shared" si="0"/>
        <v>DDPS-Double Dutch Pairs Speed</v>
      </c>
    </row>
    <row r="52" spans="1:9" x14ac:dyDescent="0.25">
      <c r="A52">
        <f>'Team Info'!$B$3</f>
        <v>0</v>
      </c>
      <c r="B52">
        <f>'DD Pairs Speed'!A6</f>
        <v>2</v>
      </c>
      <c r="C52" t="str">
        <f>'DD Pairs Speed'!B6</f>
        <v>DDPS</v>
      </c>
      <c r="D52" t="str">
        <f>'DD Pairs Speed'!C6</f>
        <v>10-under</v>
      </c>
      <c r="E52">
        <f>'DD Pairs Speed'!D6</f>
        <v>0</v>
      </c>
      <c r="F52">
        <f>'DD Pairs Speed'!F6</f>
        <v>0</v>
      </c>
      <c r="G52">
        <f>'DD Pairs Speed'!H6</f>
        <v>0</v>
      </c>
      <c r="H52">
        <f>'DD Pairs Speed'!J6</f>
        <v>0</v>
      </c>
      <c r="I52" t="str">
        <f t="shared" si="0"/>
        <v>DDPS-Double Dutch Pairs Speed</v>
      </c>
    </row>
    <row r="53" spans="1:9" x14ac:dyDescent="0.25">
      <c r="A53">
        <f>'Team Info'!$B$3</f>
        <v>0</v>
      </c>
      <c r="B53">
        <f>'DD Pairs Speed'!A7</f>
        <v>3</v>
      </c>
      <c r="C53" t="str">
        <f>'DD Pairs Speed'!B7</f>
        <v>DDPS</v>
      </c>
      <c r="D53" t="str">
        <f>'DD Pairs Speed'!C7</f>
        <v>10-under</v>
      </c>
      <c r="E53">
        <f>'DD Pairs Speed'!D7</f>
        <v>0</v>
      </c>
      <c r="F53">
        <f>'DD Pairs Speed'!F7</f>
        <v>0</v>
      </c>
      <c r="G53">
        <f>'DD Pairs Speed'!H7</f>
        <v>0</v>
      </c>
      <c r="H53">
        <f>'DD Pairs Speed'!J7</f>
        <v>0</v>
      </c>
      <c r="I53" t="str">
        <f t="shared" si="0"/>
        <v>DDPS-Double Dutch Pairs Speed</v>
      </c>
    </row>
    <row r="54" spans="1:9" x14ac:dyDescent="0.25">
      <c r="A54">
        <f>'Team Info'!$B$3</f>
        <v>0</v>
      </c>
      <c r="B54">
        <f>'DD Pairs Speed'!A8</f>
        <v>4</v>
      </c>
      <c r="C54" t="str">
        <f>'DD Pairs Speed'!B8</f>
        <v>DDPS</v>
      </c>
      <c r="D54" t="str">
        <f>'DD Pairs Speed'!C8</f>
        <v>10-under</v>
      </c>
      <c r="E54">
        <f>'DD Pairs Speed'!D8</f>
        <v>0</v>
      </c>
      <c r="F54">
        <f>'DD Pairs Speed'!F8</f>
        <v>0</v>
      </c>
      <c r="G54">
        <f>'DD Pairs Speed'!H8</f>
        <v>0</v>
      </c>
      <c r="H54">
        <f>'DD Pairs Speed'!J8</f>
        <v>0</v>
      </c>
      <c r="I54" t="str">
        <f t="shared" si="0"/>
        <v>DDPS-Double Dutch Pairs Speed</v>
      </c>
    </row>
    <row r="55" spans="1:9" x14ac:dyDescent="0.25">
      <c r="A55">
        <f>'Team Info'!$B$3</f>
        <v>0</v>
      </c>
      <c r="B55">
        <f>'DD Pairs Speed'!A9</f>
        <v>5</v>
      </c>
      <c r="C55" t="str">
        <f>'DD Pairs Speed'!B9</f>
        <v>DDPS</v>
      </c>
      <c r="D55" t="str">
        <f>'DD Pairs Speed'!C9</f>
        <v>10-under</v>
      </c>
      <c r="E55">
        <f>'DD Pairs Speed'!D9</f>
        <v>0</v>
      </c>
      <c r="F55">
        <f>'DD Pairs Speed'!F9</f>
        <v>0</v>
      </c>
      <c r="G55">
        <f>'DD Pairs Speed'!H9</f>
        <v>0</v>
      </c>
      <c r="H55">
        <f>'DD Pairs Speed'!J9</f>
        <v>0</v>
      </c>
      <c r="I55" t="str">
        <f t="shared" si="0"/>
        <v>DDPS-Double Dutch Pairs Speed</v>
      </c>
    </row>
    <row r="56" spans="1:9" x14ac:dyDescent="0.25">
      <c r="A56">
        <f>'Team Info'!$B$3</f>
        <v>0</v>
      </c>
      <c r="B56">
        <f>'DD Pairs Speed'!A10</f>
        <v>6</v>
      </c>
      <c r="C56" t="str">
        <f>'DD Pairs Speed'!B10</f>
        <v>DDPS</v>
      </c>
      <c r="D56" t="str">
        <f>'DD Pairs Speed'!C10</f>
        <v>10-under</v>
      </c>
      <c r="E56">
        <f>'DD Pairs Speed'!D10</f>
        <v>0</v>
      </c>
      <c r="F56">
        <f>'DD Pairs Speed'!F10</f>
        <v>0</v>
      </c>
      <c r="G56">
        <f>'DD Pairs Speed'!H10</f>
        <v>0</v>
      </c>
      <c r="H56">
        <f>'DD Pairs Speed'!J10</f>
        <v>0</v>
      </c>
      <c r="I56" t="str">
        <f t="shared" si="0"/>
        <v>DDPS-Double Dutch Pairs Speed</v>
      </c>
    </row>
    <row r="57" spans="1:9" x14ac:dyDescent="0.25">
      <c r="A57">
        <f>'Team Info'!$B$3</f>
        <v>0</v>
      </c>
      <c r="B57">
        <f>'DD Pairs Speed'!A11</f>
        <v>7</v>
      </c>
      <c r="C57" t="str">
        <f>'DD Pairs Speed'!B11</f>
        <v>DDPS</v>
      </c>
      <c r="D57" t="str">
        <f>'DD Pairs Speed'!C11</f>
        <v>10-under</v>
      </c>
      <c r="E57">
        <f>'DD Pairs Speed'!D11</f>
        <v>0</v>
      </c>
      <c r="F57">
        <f>'DD Pairs Speed'!F11</f>
        <v>0</v>
      </c>
      <c r="G57">
        <f>'DD Pairs Speed'!H11</f>
        <v>0</v>
      </c>
      <c r="H57">
        <f>'DD Pairs Speed'!J11</f>
        <v>0</v>
      </c>
      <c r="I57" t="str">
        <f t="shared" si="0"/>
        <v>DDPS-Double Dutch Pairs Speed</v>
      </c>
    </row>
    <row r="58" spans="1:9" x14ac:dyDescent="0.25">
      <c r="A58">
        <f>'Team Info'!$B$3</f>
        <v>0</v>
      </c>
      <c r="B58">
        <f>'DD Pairs Speed'!A12</f>
        <v>8</v>
      </c>
      <c r="C58" t="str">
        <f>'DD Pairs Speed'!B12</f>
        <v>DDPS</v>
      </c>
      <c r="D58" t="str">
        <f>'DD Pairs Speed'!C12</f>
        <v>10-under</v>
      </c>
      <c r="E58">
        <f>'DD Pairs Speed'!D12</f>
        <v>0</v>
      </c>
      <c r="F58">
        <f>'DD Pairs Speed'!F12</f>
        <v>0</v>
      </c>
      <c r="G58">
        <f>'DD Pairs Speed'!H12</f>
        <v>0</v>
      </c>
      <c r="H58">
        <f>'DD Pairs Speed'!J12</f>
        <v>0</v>
      </c>
      <c r="I58" t="str">
        <f t="shared" si="0"/>
        <v>DDPS-Double Dutch Pairs Speed</v>
      </c>
    </row>
    <row r="59" spans="1:9" x14ac:dyDescent="0.25">
      <c r="A59">
        <f>'Team Info'!$B$3</f>
        <v>0</v>
      </c>
      <c r="B59">
        <f>'DD Pairs Speed'!A13</f>
        <v>9</v>
      </c>
      <c r="C59" t="str">
        <f>'DD Pairs Speed'!B13</f>
        <v>DDPS</v>
      </c>
      <c r="D59" t="str">
        <f>'DD Pairs Speed'!C13</f>
        <v>10-under</v>
      </c>
      <c r="E59">
        <f>'DD Pairs Speed'!D13</f>
        <v>0</v>
      </c>
      <c r="F59">
        <f>'DD Pairs Speed'!F13</f>
        <v>0</v>
      </c>
      <c r="G59">
        <f>'DD Pairs Speed'!H13</f>
        <v>0</v>
      </c>
      <c r="H59">
        <f>'DD Pairs Speed'!J13</f>
        <v>0</v>
      </c>
      <c r="I59" t="str">
        <f t="shared" si="0"/>
        <v>DDPS-Double Dutch Pairs Speed</v>
      </c>
    </row>
    <row r="60" spans="1:9" x14ac:dyDescent="0.25">
      <c r="A60">
        <f>'Team Info'!$B$3</f>
        <v>0</v>
      </c>
      <c r="B60">
        <f>'DD Pairs Speed'!A14</f>
        <v>10</v>
      </c>
      <c r="C60" t="str">
        <f>'DD Pairs Speed'!B14</f>
        <v>DDPS</v>
      </c>
      <c r="D60" t="str">
        <f>'DD Pairs Speed'!C14</f>
        <v>10-under</v>
      </c>
      <c r="E60">
        <f>'DD Pairs Speed'!D14</f>
        <v>0</v>
      </c>
      <c r="F60">
        <f>'DD Pairs Speed'!F14</f>
        <v>0</v>
      </c>
      <c r="G60">
        <f>'DD Pairs Speed'!H14</f>
        <v>0</v>
      </c>
      <c r="H60">
        <f>'DD Pairs Speed'!J14</f>
        <v>0</v>
      </c>
      <c r="I60" t="str">
        <f t="shared" si="0"/>
        <v>DDPS-Double Dutch Pairs Speed</v>
      </c>
    </row>
    <row r="61" spans="1:9" x14ac:dyDescent="0.25">
      <c r="A61">
        <f>'Team Info'!$B$3</f>
        <v>0</v>
      </c>
      <c r="B61">
        <f>'DD Pairs Speed'!A15</f>
        <v>11</v>
      </c>
      <c r="C61" t="str">
        <f>'DD Pairs Speed'!B15</f>
        <v>DDPS</v>
      </c>
      <c r="D61" t="str">
        <f>'DD Pairs Speed'!C15</f>
        <v>10-under</v>
      </c>
      <c r="E61">
        <f>'DD Pairs Speed'!D15</f>
        <v>0</v>
      </c>
      <c r="F61">
        <f>'DD Pairs Speed'!F15</f>
        <v>0</v>
      </c>
      <c r="G61">
        <f>'DD Pairs Speed'!H15</f>
        <v>0</v>
      </c>
      <c r="H61">
        <f>'DD Pairs Speed'!J15</f>
        <v>0</v>
      </c>
      <c r="I61" t="str">
        <f t="shared" ref="I61:I62" si="1">VLOOKUP(C61,EVENTS,2,FALSE)</f>
        <v>DDPS-Double Dutch Pairs Speed</v>
      </c>
    </row>
    <row r="62" spans="1:9" x14ac:dyDescent="0.25">
      <c r="A62">
        <f>'Team Info'!$B$3</f>
        <v>0</v>
      </c>
      <c r="B62">
        <f>'DD Pairs Speed'!A16</f>
        <v>12</v>
      </c>
      <c r="C62" t="str">
        <f>'DD Pairs Speed'!B16</f>
        <v>DDPS</v>
      </c>
      <c r="D62" t="str">
        <f>'DD Pairs Speed'!C16</f>
        <v>10-under</v>
      </c>
      <c r="E62">
        <f>'DD Pairs Speed'!D16</f>
        <v>0</v>
      </c>
      <c r="F62">
        <f>'DD Pairs Speed'!F16</f>
        <v>0</v>
      </c>
      <c r="G62">
        <f>'DD Pairs Speed'!H16</f>
        <v>0</v>
      </c>
      <c r="H62">
        <f>'DD Pairs Speed'!J16</f>
        <v>0</v>
      </c>
      <c r="I62" t="str">
        <f t="shared" si="1"/>
        <v>DDPS-Double Dutch Pairs Speed</v>
      </c>
    </row>
    <row r="63" spans="1:9" x14ac:dyDescent="0.25">
      <c r="A63">
        <f>'Team Info'!$B$3</f>
        <v>0</v>
      </c>
      <c r="B63">
        <f>'DD Pairs Speed'!A19</f>
        <v>1</v>
      </c>
      <c r="C63" t="str">
        <f>'DD Pairs Speed'!B19</f>
        <v>DDPS</v>
      </c>
      <c r="D63" t="str">
        <f>'DD Pairs Speed'!C19</f>
        <v>11-12</v>
      </c>
      <c r="E63">
        <f>'DD Pairs Speed'!D19</f>
        <v>0</v>
      </c>
      <c r="F63">
        <f>'DD Pairs Speed'!F19</f>
        <v>0</v>
      </c>
      <c r="G63">
        <f>'DD Pairs Speed'!H19</f>
        <v>0</v>
      </c>
      <c r="H63">
        <f>'DD Pairs Speed'!J19</f>
        <v>0</v>
      </c>
      <c r="I63" t="str">
        <f t="shared" si="0"/>
        <v>DDPS-Double Dutch Pairs Speed</v>
      </c>
    </row>
    <row r="64" spans="1:9" x14ac:dyDescent="0.25">
      <c r="A64">
        <f>'Team Info'!$B$3</f>
        <v>0</v>
      </c>
      <c r="B64">
        <f>'DD Pairs Speed'!A20</f>
        <v>2</v>
      </c>
      <c r="C64" t="str">
        <f>'DD Pairs Speed'!B20</f>
        <v>DDPS</v>
      </c>
      <c r="D64" t="str">
        <f>'DD Pairs Speed'!C20</f>
        <v>11-12</v>
      </c>
      <c r="E64">
        <f>'DD Pairs Speed'!D20</f>
        <v>0</v>
      </c>
      <c r="F64">
        <f>'DD Pairs Speed'!F20</f>
        <v>0</v>
      </c>
      <c r="G64">
        <f>'DD Pairs Speed'!H20</f>
        <v>0</v>
      </c>
      <c r="H64">
        <f>'DD Pairs Speed'!J20</f>
        <v>0</v>
      </c>
      <c r="I64" t="str">
        <f t="shared" si="0"/>
        <v>DDPS-Double Dutch Pairs Speed</v>
      </c>
    </row>
    <row r="65" spans="1:9" x14ac:dyDescent="0.25">
      <c r="A65">
        <f>'Team Info'!$B$3</f>
        <v>0</v>
      </c>
      <c r="B65">
        <f>'DD Pairs Speed'!A21</f>
        <v>3</v>
      </c>
      <c r="C65" t="str">
        <f>'DD Pairs Speed'!B21</f>
        <v>DDPS</v>
      </c>
      <c r="D65" t="str">
        <f>'DD Pairs Speed'!C21</f>
        <v>11-12</v>
      </c>
      <c r="E65">
        <f>'DD Pairs Speed'!D21</f>
        <v>0</v>
      </c>
      <c r="F65">
        <f>'DD Pairs Speed'!F21</f>
        <v>0</v>
      </c>
      <c r="G65">
        <f>'DD Pairs Speed'!H21</f>
        <v>0</v>
      </c>
      <c r="H65">
        <f>'DD Pairs Speed'!J21</f>
        <v>0</v>
      </c>
      <c r="I65" t="str">
        <f t="shared" si="0"/>
        <v>DDPS-Double Dutch Pairs Speed</v>
      </c>
    </row>
    <row r="66" spans="1:9" x14ac:dyDescent="0.25">
      <c r="A66">
        <f>'Team Info'!$B$3</f>
        <v>0</v>
      </c>
      <c r="B66">
        <f>'DD Pairs Speed'!A22</f>
        <v>4</v>
      </c>
      <c r="C66" t="str">
        <f>'DD Pairs Speed'!B22</f>
        <v>DDPS</v>
      </c>
      <c r="D66" t="str">
        <f>'DD Pairs Speed'!C22</f>
        <v>11-12</v>
      </c>
      <c r="E66">
        <f>'DD Pairs Speed'!D22</f>
        <v>0</v>
      </c>
      <c r="F66">
        <f>'DD Pairs Speed'!F22</f>
        <v>0</v>
      </c>
      <c r="G66">
        <f>'DD Pairs Speed'!H22</f>
        <v>0</v>
      </c>
      <c r="H66">
        <f>'DD Pairs Speed'!J22</f>
        <v>0</v>
      </c>
      <c r="I66" t="str">
        <f t="shared" si="0"/>
        <v>DDPS-Double Dutch Pairs Speed</v>
      </c>
    </row>
    <row r="67" spans="1:9" x14ac:dyDescent="0.25">
      <c r="A67">
        <f>'Team Info'!$B$3</f>
        <v>0</v>
      </c>
      <c r="B67">
        <f>'DD Pairs Speed'!A23</f>
        <v>5</v>
      </c>
      <c r="C67" t="str">
        <f>'DD Pairs Speed'!B23</f>
        <v>DDPS</v>
      </c>
      <c r="D67" t="str">
        <f>'DD Pairs Speed'!C23</f>
        <v>11-12</v>
      </c>
      <c r="E67">
        <f>'DD Pairs Speed'!D23</f>
        <v>0</v>
      </c>
      <c r="F67">
        <f>'DD Pairs Speed'!F23</f>
        <v>0</v>
      </c>
      <c r="G67">
        <f>'DD Pairs Speed'!H23</f>
        <v>0</v>
      </c>
      <c r="H67">
        <f>'DD Pairs Speed'!J23</f>
        <v>0</v>
      </c>
      <c r="I67" t="str">
        <f t="shared" si="0"/>
        <v>DDPS-Double Dutch Pairs Speed</v>
      </c>
    </row>
    <row r="68" spans="1:9" x14ac:dyDescent="0.25">
      <c r="A68">
        <f>'Team Info'!$B$3</f>
        <v>0</v>
      </c>
      <c r="B68">
        <f>'DD Pairs Speed'!A24</f>
        <v>6</v>
      </c>
      <c r="C68" t="str">
        <f>'DD Pairs Speed'!B24</f>
        <v>DDPS</v>
      </c>
      <c r="D68" t="str">
        <f>'DD Pairs Speed'!C24</f>
        <v>11-12</v>
      </c>
      <c r="E68">
        <f>'DD Pairs Speed'!D24</f>
        <v>0</v>
      </c>
      <c r="F68">
        <f>'DD Pairs Speed'!F24</f>
        <v>0</v>
      </c>
      <c r="G68">
        <f>'DD Pairs Speed'!H24</f>
        <v>0</v>
      </c>
      <c r="H68">
        <f>'DD Pairs Speed'!J24</f>
        <v>0</v>
      </c>
      <c r="I68" t="str">
        <f t="shared" si="0"/>
        <v>DDPS-Double Dutch Pairs Speed</v>
      </c>
    </row>
    <row r="69" spans="1:9" x14ac:dyDescent="0.25">
      <c r="A69">
        <f>'Team Info'!$B$3</f>
        <v>0</v>
      </c>
      <c r="B69">
        <f>'DD Pairs Speed'!A25</f>
        <v>7</v>
      </c>
      <c r="C69" t="str">
        <f>'DD Pairs Speed'!B25</f>
        <v>DDPS</v>
      </c>
      <c r="D69" t="str">
        <f>'DD Pairs Speed'!C25</f>
        <v>11-12</v>
      </c>
      <c r="E69">
        <f>'DD Pairs Speed'!D25</f>
        <v>0</v>
      </c>
      <c r="F69">
        <f>'DD Pairs Speed'!F25</f>
        <v>0</v>
      </c>
      <c r="G69">
        <f>'DD Pairs Speed'!H25</f>
        <v>0</v>
      </c>
      <c r="H69">
        <f>'DD Pairs Speed'!J25</f>
        <v>0</v>
      </c>
      <c r="I69" t="str">
        <f t="shared" si="0"/>
        <v>DDPS-Double Dutch Pairs Speed</v>
      </c>
    </row>
    <row r="70" spans="1:9" x14ac:dyDescent="0.25">
      <c r="A70">
        <f>'Team Info'!$B$3</f>
        <v>0</v>
      </c>
      <c r="B70">
        <f>'DD Pairs Speed'!A26</f>
        <v>8</v>
      </c>
      <c r="C70" t="str">
        <f>'DD Pairs Speed'!B26</f>
        <v>DDPS</v>
      </c>
      <c r="D70" t="str">
        <f>'DD Pairs Speed'!C26</f>
        <v>11-12</v>
      </c>
      <c r="E70">
        <f>'DD Pairs Speed'!D26</f>
        <v>0</v>
      </c>
      <c r="F70">
        <f>'DD Pairs Speed'!F26</f>
        <v>0</v>
      </c>
      <c r="G70">
        <f>'DD Pairs Speed'!H26</f>
        <v>0</v>
      </c>
      <c r="H70">
        <f>'DD Pairs Speed'!J26</f>
        <v>0</v>
      </c>
      <c r="I70" t="str">
        <f t="shared" ref="I70:I137" si="2">VLOOKUP(C70,EVENTS,2,FALSE)</f>
        <v>DDPS-Double Dutch Pairs Speed</v>
      </c>
    </row>
    <row r="71" spans="1:9" x14ac:dyDescent="0.25">
      <c r="A71">
        <f>'Team Info'!$B$3</f>
        <v>0</v>
      </c>
      <c r="B71">
        <f>'DD Pairs Speed'!A27</f>
        <v>9</v>
      </c>
      <c r="C71" t="str">
        <f>'DD Pairs Speed'!B27</f>
        <v>DDPS</v>
      </c>
      <c r="D71" t="str">
        <f>'DD Pairs Speed'!C27</f>
        <v>11-12</v>
      </c>
      <c r="E71">
        <f>'DD Pairs Speed'!D27</f>
        <v>0</v>
      </c>
      <c r="F71">
        <f>'DD Pairs Speed'!F27</f>
        <v>0</v>
      </c>
      <c r="G71">
        <f>'DD Pairs Speed'!H27</f>
        <v>0</v>
      </c>
      <c r="H71">
        <f>'DD Pairs Speed'!J27</f>
        <v>0</v>
      </c>
      <c r="I71" t="str">
        <f t="shared" si="2"/>
        <v>DDPS-Double Dutch Pairs Speed</v>
      </c>
    </row>
    <row r="72" spans="1:9" x14ac:dyDescent="0.25">
      <c r="A72">
        <f>'Team Info'!$B$3</f>
        <v>0</v>
      </c>
      <c r="B72">
        <f>'DD Pairs Speed'!A28</f>
        <v>10</v>
      </c>
      <c r="C72" t="str">
        <f>'DD Pairs Speed'!B28</f>
        <v>DDPS</v>
      </c>
      <c r="D72" t="str">
        <f>'DD Pairs Speed'!C28</f>
        <v>11-12</v>
      </c>
      <c r="E72">
        <f>'DD Pairs Speed'!D28</f>
        <v>0</v>
      </c>
      <c r="F72">
        <f>'DD Pairs Speed'!F28</f>
        <v>0</v>
      </c>
      <c r="G72">
        <f>'DD Pairs Speed'!H28</f>
        <v>0</v>
      </c>
      <c r="H72">
        <f>'DD Pairs Speed'!J28</f>
        <v>0</v>
      </c>
      <c r="I72" t="str">
        <f t="shared" si="2"/>
        <v>DDPS-Double Dutch Pairs Speed</v>
      </c>
    </row>
    <row r="73" spans="1:9" x14ac:dyDescent="0.25">
      <c r="A73">
        <f>'Team Info'!$B$3</f>
        <v>0</v>
      </c>
      <c r="B73">
        <f>'DD Pairs Speed'!A29</f>
        <v>11</v>
      </c>
      <c r="C73" t="str">
        <f>'DD Pairs Speed'!B29</f>
        <v>DDPS</v>
      </c>
      <c r="D73" t="str">
        <f>'DD Pairs Speed'!C29</f>
        <v>11-12</v>
      </c>
      <c r="E73">
        <f>'DD Pairs Speed'!D29</f>
        <v>0</v>
      </c>
      <c r="F73">
        <f>'DD Pairs Speed'!F29</f>
        <v>0</v>
      </c>
      <c r="G73">
        <f>'DD Pairs Speed'!H29</f>
        <v>0</v>
      </c>
      <c r="H73">
        <f>'DD Pairs Speed'!J29</f>
        <v>0</v>
      </c>
      <c r="I73" t="str">
        <f t="shared" ref="I73:I74" si="3">VLOOKUP(C73,EVENTS,2,FALSE)</f>
        <v>DDPS-Double Dutch Pairs Speed</v>
      </c>
    </row>
    <row r="74" spans="1:9" x14ac:dyDescent="0.25">
      <c r="A74">
        <f>'Team Info'!$B$3</f>
        <v>0</v>
      </c>
      <c r="B74">
        <f>'DD Pairs Speed'!A30</f>
        <v>12</v>
      </c>
      <c r="C74" t="str">
        <f>'DD Pairs Speed'!B30</f>
        <v>DDPS</v>
      </c>
      <c r="D74" t="str">
        <f>'DD Pairs Speed'!C30</f>
        <v>11-12</v>
      </c>
      <c r="E74">
        <f>'DD Pairs Speed'!D30</f>
        <v>0</v>
      </c>
      <c r="F74">
        <f>'DD Pairs Speed'!F30</f>
        <v>0</v>
      </c>
      <c r="G74">
        <f>'DD Pairs Speed'!H30</f>
        <v>0</v>
      </c>
      <c r="H74">
        <f>'DD Pairs Speed'!J30</f>
        <v>0</v>
      </c>
      <c r="I74" t="str">
        <f t="shared" si="3"/>
        <v>DDPS-Double Dutch Pairs Speed</v>
      </c>
    </row>
    <row r="75" spans="1:9" x14ac:dyDescent="0.25">
      <c r="A75">
        <f>'Team Info'!$B$3</f>
        <v>0</v>
      </c>
      <c r="B75">
        <f>'DD Pairs Speed'!A33</f>
        <v>1</v>
      </c>
      <c r="C75" t="str">
        <f>'DD Pairs Speed'!B33</f>
        <v>DDPS</v>
      </c>
      <c r="D75" t="str">
        <f>'DD Pairs Speed'!C33</f>
        <v>13-14</v>
      </c>
      <c r="E75">
        <f>'DD Pairs Speed'!D33</f>
        <v>0</v>
      </c>
      <c r="F75">
        <f>'DD Pairs Speed'!F33</f>
        <v>0</v>
      </c>
      <c r="G75">
        <f>'DD Pairs Speed'!H33</f>
        <v>0</v>
      </c>
      <c r="H75">
        <f>'DD Pairs Speed'!J33</f>
        <v>0</v>
      </c>
      <c r="I75" t="str">
        <f t="shared" si="2"/>
        <v>DDPS-Double Dutch Pairs Speed</v>
      </c>
    </row>
    <row r="76" spans="1:9" x14ac:dyDescent="0.25">
      <c r="A76">
        <f>'Team Info'!$B$3</f>
        <v>0</v>
      </c>
      <c r="B76">
        <f>'DD Pairs Speed'!A34</f>
        <v>2</v>
      </c>
      <c r="C76" t="str">
        <f>'DD Pairs Speed'!B34</f>
        <v>DDPS</v>
      </c>
      <c r="D76" t="str">
        <f>'DD Pairs Speed'!C34</f>
        <v>13-14</v>
      </c>
      <c r="E76">
        <f>'DD Pairs Speed'!D34</f>
        <v>0</v>
      </c>
      <c r="F76">
        <f>'DD Pairs Speed'!F34</f>
        <v>0</v>
      </c>
      <c r="G76">
        <f>'DD Pairs Speed'!H34</f>
        <v>0</v>
      </c>
      <c r="H76">
        <f>'DD Pairs Speed'!J34</f>
        <v>0</v>
      </c>
      <c r="I76" t="str">
        <f t="shared" si="2"/>
        <v>DDPS-Double Dutch Pairs Speed</v>
      </c>
    </row>
    <row r="77" spans="1:9" x14ac:dyDescent="0.25">
      <c r="A77">
        <f>'Team Info'!$B$3</f>
        <v>0</v>
      </c>
      <c r="B77">
        <f>'DD Pairs Speed'!A35</f>
        <v>3</v>
      </c>
      <c r="C77" t="str">
        <f>'DD Pairs Speed'!B35</f>
        <v>DDPS</v>
      </c>
      <c r="D77" t="str">
        <f>'DD Pairs Speed'!C35</f>
        <v>13-14</v>
      </c>
      <c r="E77">
        <f>'DD Pairs Speed'!D35</f>
        <v>0</v>
      </c>
      <c r="F77">
        <f>'DD Pairs Speed'!F35</f>
        <v>0</v>
      </c>
      <c r="G77">
        <f>'DD Pairs Speed'!H35</f>
        <v>0</v>
      </c>
      <c r="H77">
        <f>'DD Pairs Speed'!J35</f>
        <v>0</v>
      </c>
      <c r="I77" t="str">
        <f t="shared" si="2"/>
        <v>DDPS-Double Dutch Pairs Speed</v>
      </c>
    </row>
    <row r="78" spans="1:9" x14ac:dyDescent="0.25">
      <c r="A78">
        <f>'Team Info'!$B$3</f>
        <v>0</v>
      </c>
      <c r="B78">
        <f>'DD Pairs Speed'!A36</f>
        <v>4</v>
      </c>
      <c r="C78" t="str">
        <f>'DD Pairs Speed'!B36</f>
        <v>DDPS</v>
      </c>
      <c r="D78" t="str">
        <f>'DD Pairs Speed'!C36</f>
        <v>13-14</v>
      </c>
      <c r="E78">
        <f>'DD Pairs Speed'!D36</f>
        <v>0</v>
      </c>
      <c r="F78">
        <f>'DD Pairs Speed'!F36</f>
        <v>0</v>
      </c>
      <c r="G78">
        <f>'DD Pairs Speed'!H36</f>
        <v>0</v>
      </c>
      <c r="H78">
        <f>'DD Pairs Speed'!J36</f>
        <v>0</v>
      </c>
      <c r="I78" t="str">
        <f t="shared" si="2"/>
        <v>DDPS-Double Dutch Pairs Speed</v>
      </c>
    </row>
    <row r="79" spans="1:9" x14ac:dyDescent="0.25">
      <c r="A79">
        <f>'Team Info'!$B$3</f>
        <v>0</v>
      </c>
      <c r="B79">
        <f>'DD Pairs Speed'!A37</f>
        <v>5</v>
      </c>
      <c r="C79" t="str">
        <f>'DD Pairs Speed'!B37</f>
        <v>DDPS</v>
      </c>
      <c r="D79" t="str">
        <f>'DD Pairs Speed'!C37</f>
        <v>13-14</v>
      </c>
      <c r="E79">
        <f>'DD Pairs Speed'!D37</f>
        <v>0</v>
      </c>
      <c r="F79">
        <f>'DD Pairs Speed'!F37</f>
        <v>0</v>
      </c>
      <c r="G79">
        <f>'DD Pairs Speed'!H37</f>
        <v>0</v>
      </c>
      <c r="H79">
        <f>'DD Pairs Speed'!J37</f>
        <v>0</v>
      </c>
      <c r="I79" t="str">
        <f t="shared" si="2"/>
        <v>DDPS-Double Dutch Pairs Speed</v>
      </c>
    </row>
    <row r="80" spans="1:9" x14ac:dyDescent="0.25">
      <c r="A80">
        <f>'Team Info'!$B$3</f>
        <v>0</v>
      </c>
      <c r="B80">
        <f>'DD Pairs Speed'!A38</f>
        <v>6</v>
      </c>
      <c r="C80" t="str">
        <f>'DD Pairs Speed'!B38</f>
        <v>DDPS</v>
      </c>
      <c r="D80" t="str">
        <f>'DD Pairs Speed'!C38</f>
        <v>13-14</v>
      </c>
      <c r="E80">
        <f>'DD Pairs Speed'!D38</f>
        <v>0</v>
      </c>
      <c r="F80">
        <f>'DD Pairs Speed'!F38</f>
        <v>0</v>
      </c>
      <c r="G80">
        <f>'DD Pairs Speed'!H38</f>
        <v>0</v>
      </c>
      <c r="H80">
        <f>'DD Pairs Speed'!J38</f>
        <v>0</v>
      </c>
      <c r="I80" t="str">
        <f t="shared" si="2"/>
        <v>DDPS-Double Dutch Pairs Speed</v>
      </c>
    </row>
    <row r="81" spans="1:9" x14ac:dyDescent="0.25">
      <c r="A81">
        <f>'Team Info'!$B$3</f>
        <v>0</v>
      </c>
      <c r="B81">
        <f>'DD Pairs Speed'!A39</f>
        <v>7</v>
      </c>
      <c r="C81" t="str">
        <f>'DD Pairs Speed'!B39</f>
        <v>DDPS</v>
      </c>
      <c r="D81" t="str">
        <f>'DD Pairs Speed'!C39</f>
        <v>13-14</v>
      </c>
      <c r="E81">
        <f>'DD Pairs Speed'!D39</f>
        <v>0</v>
      </c>
      <c r="F81">
        <f>'DD Pairs Speed'!F39</f>
        <v>0</v>
      </c>
      <c r="G81">
        <f>'DD Pairs Speed'!H39</f>
        <v>0</v>
      </c>
      <c r="H81">
        <f>'DD Pairs Speed'!J39</f>
        <v>0</v>
      </c>
      <c r="I81" t="str">
        <f t="shared" si="2"/>
        <v>DDPS-Double Dutch Pairs Speed</v>
      </c>
    </row>
    <row r="82" spans="1:9" x14ac:dyDescent="0.25">
      <c r="A82">
        <f>'Team Info'!$B$3</f>
        <v>0</v>
      </c>
      <c r="B82">
        <f>'DD Pairs Speed'!A40</f>
        <v>8</v>
      </c>
      <c r="C82" t="str">
        <f>'DD Pairs Speed'!B40</f>
        <v>DDPS</v>
      </c>
      <c r="D82" t="str">
        <f>'DD Pairs Speed'!C40</f>
        <v>13-14</v>
      </c>
      <c r="E82">
        <f>'DD Pairs Speed'!D40</f>
        <v>0</v>
      </c>
      <c r="F82">
        <f>'DD Pairs Speed'!F40</f>
        <v>0</v>
      </c>
      <c r="G82">
        <f>'DD Pairs Speed'!H40</f>
        <v>0</v>
      </c>
      <c r="H82">
        <f>'DD Pairs Speed'!J40</f>
        <v>0</v>
      </c>
      <c r="I82" t="str">
        <f t="shared" si="2"/>
        <v>DDPS-Double Dutch Pairs Speed</v>
      </c>
    </row>
    <row r="83" spans="1:9" x14ac:dyDescent="0.25">
      <c r="A83">
        <f>'Team Info'!$B$3</f>
        <v>0</v>
      </c>
      <c r="B83">
        <f>'DD Pairs Speed'!A41</f>
        <v>9</v>
      </c>
      <c r="C83" t="str">
        <f>'DD Pairs Speed'!B41</f>
        <v>DDPS</v>
      </c>
      <c r="D83" t="str">
        <f>'DD Pairs Speed'!C41</f>
        <v>13-14</v>
      </c>
      <c r="E83">
        <f>'DD Pairs Speed'!D41</f>
        <v>0</v>
      </c>
      <c r="F83">
        <f>'DD Pairs Speed'!F41</f>
        <v>0</v>
      </c>
      <c r="G83">
        <f>'DD Pairs Speed'!H41</f>
        <v>0</v>
      </c>
      <c r="H83">
        <f>'DD Pairs Speed'!J41</f>
        <v>0</v>
      </c>
      <c r="I83" t="str">
        <f t="shared" ref="I83:I84" si="4">VLOOKUP(C83,EVENTS,2,FALSE)</f>
        <v>DDPS-Double Dutch Pairs Speed</v>
      </c>
    </row>
    <row r="84" spans="1:9" x14ac:dyDescent="0.25">
      <c r="A84">
        <f>'Team Info'!$B$3</f>
        <v>0</v>
      </c>
      <c r="B84">
        <f>'DD Pairs Speed'!A42</f>
        <v>10</v>
      </c>
      <c r="C84" t="str">
        <f>'DD Pairs Speed'!B42</f>
        <v>DDPS</v>
      </c>
      <c r="D84" t="str">
        <f>'DD Pairs Speed'!C42</f>
        <v>13-14</v>
      </c>
      <c r="E84">
        <f>'DD Pairs Speed'!D42</f>
        <v>0</v>
      </c>
      <c r="F84">
        <f>'DD Pairs Speed'!F42</f>
        <v>0</v>
      </c>
      <c r="G84">
        <f>'DD Pairs Speed'!H42</f>
        <v>0</v>
      </c>
      <c r="H84">
        <f>'DD Pairs Speed'!J42</f>
        <v>0</v>
      </c>
      <c r="I84" t="str">
        <f t="shared" si="4"/>
        <v>DDPS-Double Dutch Pairs Speed</v>
      </c>
    </row>
    <row r="85" spans="1:9" x14ac:dyDescent="0.25">
      <c r="A85">
        <f>'Team Info'!$B$3</f>
        <v>0</v>
      </c>
      <c r="B85">
        <f>'DD Pairs Speed'!A45</f>
        <v>1</v>
      </c>
      <c r="C85" t="str">
        <f>'DD Pairs Speed'!B45</f>
        <v>DDPS</v>
      </c>
      <c r="D85" t="str">
        <f>'DD Pairs Speed'!C45</f>
        <v>15-17</v>
      </c>
      <c r="E85">
        <f>'DD Pairs Speed'!D45</f>
        <v>0</v>
      </c>
      <c r="F85">
        <f>'DD Pairs Speed'!F45</f>
        <v>0</v>
      </c>
      <c r="G85">
        <f>'DD Pairs Speed'!H45</f>
        <v>0</v>
      </c>
      <c r="H85">
        <f>'DD Pairs Speed'!J45</f>
        <v>0</v>
      </c>
      <c r="I85" t="str">
        <f t="shared" si="2"/>
        <v>DDPS-Double Dutch Pairs Speed</v>
      </c>
    </row>
    <row r="86" spans="1:9" x14ac:dyDescent="0.25">
      <c r="A86">
        <f>'Team Info'!$B$3</f>
        <v>0</v>
      </c>
      <c r="B86">
        <f>'DD Pairs Speed'!A46</f>
        <v>2</v>
      </c>
      <c r="C86" t="str">
        <f>'DD Pairs Speed'!B46</f>
        <v>DDPS</v>
      </c>
      <c r="D86" t="str">
        <f>'DD Pairs Speed'!C46</f>
        <v>15-17</v>
      </c>
      <c r="E86">
        <f>'DD Pairs Speed'!D46</f>
        <v>0</v>
      </c>
      <c r="F86">
        <f>'DD Pairs Speed'!F46</f>
        <v>0</v>
      </c>
      <c r="G86">
        <f>'DD Pairs Speed'!H46</f>
        <v>0</v>
      </c>
      <c r="H86">
        <f>'DD Pairs Speed'!J46</f>
        <v>0</v>
      </c>
      <c r="I86" t="str">
        <f t="shared" si="2"/>
        <v>DDPS-Double Dutch Pairs Speed</v>
      </c>
    </row>
    <row r="87" spans="1:9" x14ac:dyDescent="0.25">
      <c r="A87">
        <f>'Team Info'!$B$3</f>
        <v>0</v>
      </c>
      <c r="B87">
        <f>'DD Pairs Speed'!A47</f>
        <v>3</v>
      </c>
      <c r="C87" t="str">
        <f>'DD Pairs Speed'!B47</f>
        <v>DDPS</v>
      </c>
      <c r="D87" t="str">
        <f>'DD Pairs Speed'!C47</f>
        <v>15-17</v>
      </c>
      <c r="E87">
        <f>'DD Pairs Speed'!D47</f>
        <v>0</v>
      </c>
      <c r="F87">
        <f>'DD Pairs Speed'!F47</f>
        <v>0</v>
      </c>
      <c r="G87">
        <f>'DD Pairs Speed'!H47</f>
        <v>0</v>
      </c>
      <c r="H87">
        <f>'DD Pairs Speed'!J47</f>
        <v>0</v>
      </c>
      <c r="I87" t="str">
        <f t="shared" si="2"/>
        <v>DDPS-Double Dutch Pairs Speed</v>
      </c>
    </row>
    <row r="88" spans="1:9" x14ac:dyDescent="0.25">
      <c r="A88">
        <f>'Team Info'!$B$3</f>
        <v>0</v>
      </c>
      <c r="B88">
        <f>'DD Pairs Speed'!A48</f>
        <v>4</v>
      </c>
      <c r="C88" t="str">
        <f>'DD Pairs Speed'!B48</f>
        <v>DDPS</v>
      </c>
      <c r="D88" t="str">
        <f>'DD Pairs Speed'!C48</f>
        <v>15-17</v>
      </c>
      <c r="E88">
        <f>'DD Pairs Speed'!D48</f>
        <v>0</v>
      </c>
      <c r="F88">
        <f>'DD Pairs Speed'!F48</f>
        <v>0</v>
      </c>
      <c r="G88">
        <f>'DD Pairs Speed'!H48</f>
        <v>0</v>
      </c>
      <c r="H88">
        <f>'DD Pairs Speed'!J48</f>
        <v>0</v>
      </c>
      <c r="I88" t="str">
        <f t="shared" si="2"/>
        <v>DDPS-Double Dutch Pairs Speed</v>
      </c>
    </row>
    <row r="89" spans="1:9" x14ac:dyDescent="0.25">
      <c r="A89">
        <f>'Team Info'!$B$3</f>
        <v>0</v>
      </c>
      <c r="B89">
        <f>'DD Pairs Speed'!A49</f>
        <v>5</v>
      </c>
      <c r="C89" t="str">
        <f>'DD Pairs Speed'!B49</f>
        <v>DDPS</v>
      </c>
      <c r="D89" t="str">
        <f>'DD Pairs Speed'!C49</f>
        <v>15-17</v>
      </c>
      <c r="E89">
        <f>'DD Pairs Speed'!D49</f>
        <v>0</v>
      </c>
      <c r="F89">
        <f>'DD Pairs Speed'!F49</f>
        <v>0</v>
      </c>
      <c r="G89">
        <f>'DD Pairs Speed'!H49</f>
        <v>0</v>
      </c>
      <c r="H89">
        <f>'DD Pairs Speed'!J49</f>
        <v>0</v>
      </c>
      <c r="I89" t="str">
        <f t="shared" si="2"/>
        <v>DDPS-Double Dutch Pairs Speed</v>
      </c>
    </row>
    <row r="90" spans="1:9" x14ac:dyDescent="0.25">
      <c r="A90">
        <f>'Team Info'!$B$3</f>
        <v>0</v>
      </c>
      <c r="B90">
        <f>'DD Pairs Speed'!A50</f>
        <v>6</v>
      </c>
      <c r="C90" t="str">
        <f>'DD Pairs Speed'!B50</f>
        <v>DDPS</v>
      </c>
      <c r="D90" t="str">
        <f>'DD Pairs Speed'!C50</f>
        <v>15-17</v>
      </c>
      <c r="E90">
        <f>'DD Pairs Speed'!D50</f>
        <v>0</v>
      </c>
      <c r="F90">
        <f>'DD Pairs Speed'!F50</f>
        <v>0</v>
      </c>
      <c r="G90">
        <f>'DD Pairs Speed'!H50</f>
        <v>0</v>
      </c>
      <c r="H90">
        <f>'DD Pairs Speed'!J50</f>
        <v>0</v>
      </c>
      <c r="I90" t="str">
        <f t="shared" si="2"/>
        <v>DDPS-Double Dutch Pairs Speed</v>
      </c>
    </row>
    <row r="91" spans="1:9" x14ac:dyDescent="0.25">
      <c r="A91">
        <f>'Team Info'!$B$3</f>
        <v>0</v>
      </c>
      <c r="B91">
        <f>'DD Pairs Speed'!A51</f>
        <v>7</v>
      </c>
      <c r="C91" t="str">
        <f>'DD Pairs Speed'!B51</f>
        <v>DDPS</v>
      </c>
      <c r="D91" t="str">
        <f>'DD Pairs Speed'!C51</f>
        <v>15-17</v>
      </c>
      <c r="E91">
        <f>'DD Pairs Speed'!D51</f>
        <v>0</v>
      </c>
      <c r="F91">
        <f>'DD Pairs Speed'!F51</f>
        <v>0</v>
      </c>
      <c r="G91">
        <f>'DD Pairs Speed'!H51</f>
        <v>0</v>
      </c>
      <c r="H91">
        <f>'DD Pairs Speed'!J51</f>
        <v>0</v>
      </c>
      <c r="I91" t="str">
        <f t="shared" si="2"/>
        <v>DDPS-Double Dutch Pairs Speed</v>
      </c>
    </row>
    <row r="92" spans="1:9" x14ac:dyDescent="0.25">
      <c r="A92">
        <f>'Team Info'!$B$3</f>
        <v>0</v>
      </c>
      <c r="B92">
        <f>'DD Pairs Speed'!A52</f>
        <v>8</v>
      </c>
      <c r="C92" t="str">
        <f>'DD Pairs Speed'!B52</f>
        <v>DDPS</v>
      </c>
      <c r="D92" t="str">
        <f>'DD Pairs Speed'!C52</f>
        <v>15-17</v>
      </c>
      <c r="E92">
        <f>'DD Pairs Speed'!D52</f>
        <v>0</v>
      </c>
      <c r="F92">
        <f>'DD Pairs Speed'!F52</f>
        <v>0</v>
      </c>
      <c r="G92">
        <f>'DD Pairs Speed'!H52</f>
        <v>0</v>
      </c>
      <c r="H92">
        <f>'DD Pairs Speed'!J52</f>
        <v>0</v>
      </c>
      <c r="I92" t="str">
        <f t="shared" si="2"/>
        <v>DDPS-Double Dutch Pairs Speed</v>
      </c>
    </row>
    <row r="93" spans="1:9" x14ac:dyDescent="0.25">
      <c r="A93">
        <f>'Team Info'!$B$3</f>
        <v>0</v>
      </c>
      <c r="B93">
        <f>'DD Pairs Speed'!A55</f>
        <v>1</v>
      </c>
      <c r="C93" t="str">
        <f>'DD Pairs Speed'!B55</f>
        <v>DDPS</v>
      </c>
      <c r="D93" t="str">
        <f>'DD Pairs Speed'!C55</f>
        <v>18-over</v>
      </c>
      <c r="E93">
        <f>'DD Pairs Speed'!D55</f>
        <v>0</v>
      </c>
      <c r="F93">
        <f>'DD Pairs Speed'!F55</f>
        <v>0</v>
      </c>
      <c r="G93">
        <f>'DD Pairs Speed'!H55</f>
        <v>0</v>
      </c>
      <c r="H93">
        <f>'DD Pairs Speed'!J55</f>
        <v>0</v>
      </c>
      <c r="I93" t="str">
        <f t="shared" si="2"/>
        <v>DDPS-Double Dutch Pairs Speed</v>
      </c>
    </row>
    <row r="94" spans="1:9" x14ac:dyDescent="0.25">
      <c r="A94">
        <f>'Team Info'!$B$3</f>
        <v>0</v>
      </c>
      <c r="B94">
        <f>'DD Pairs Speed'!A56</f>
        <v>2</v>
      </c>
      <c r="C94" t="str">
        <f>'DD Pairs Speed'!B56</f>
        <v>DDPS</v>
      </c>
      <c r="D94" t="str">
        <f>'DD Pairs Speed'!C56</f>
        <v>18-over</v>
      </c>
      <c r="E94">
        <f>'DD Pairs Speed'!D56</f>
        <v>0</v>
      </c>
      <c r="F94">
        <f>'DD Pairs Speed'!F56</f>
        <v>0</v>
      </c>
      <c r="G94">
        <f>'DD Pairs Speed'!H56</f>
        <v>0</v>
      </c>
      <c r="H94">
        <f>'DD Pairs Speed'!J56</f>
        <v>0</v>
      </c>
      <c r="I94" t="str">
        <f t="shared" si="2"/>
        <v>DDPS-Double Dutch Pairs Speed</v>
      </c>
    </row>
    <row r="95" spans="1:9" x14ac:dyDescent="0.25">
      <c r="A95">
        <f>'Team Info'!$B$3</f>
        <v>0</v>
      </c>
      <c r="B95">
        <f>'DD Pairs Speed'!A57</f>
        <v>3</v>
      </c>
      <c r="C95" t="str">
        <f>'DD Pairs Speed'!B57</f>
        <v>DDPS</v>
      </c>
      <c r="D95" t="str">
        <f>'DD Pairs Speed'!C57</f>
        <v>18-over</v>
      </c>
      <c r="E95">
        <f>'DD Pairs Speed'!D57</f>
        <v>0</v>
      </c>
      <c r="F95">
        <f>'DD Pairs Speed'!F57</f>
        <v>0</v>
      </c>
      <c r="G95">
        <f>'DD Pairs Speed'!H57</f>
        <v>0</v>
      </c>
      <c r="H95">
        <f>'DD Pairs Speed'!J57</f>
        <v>0</v>
      </c>
      <c r="I95" t="str">
        <f t="shared" si="2"/>
        <v>DDPS-Double Dutch Pairs Speed</v>
      </c>
    </row>
    <row r="96" spans="1:9" x14ac:dyDescent="0.25">
      <c r="A96">
        <f>'Team Info'!$B$3</f>
        <v>0</v>
      </c>
      <c r="B96">
        <f>'DD Pairs Speed'!A58</f>
        <v>4</v>
      </c>
      <c r="C96" t="str">
        <f>'DD Pairs Speed'!B58</f>
        <v>DDPS</v>
      </c>
      <c r="D96" t="str">
        <f>'DD Pairs Speed'!C58</f>
        <v>18-over</v>
      </c>
      <c r="E96">
        <f>'DD Pairs Speed'!D58</f>
        <v>0</v>
      </c>
      <c r="F96">
        <f>'DD Pairs Speed'!F58</f>
        <v>0</v>
      </c>
      <c r="G96">
        <f>'DD Pairs Speed'!H58</f>
        <v>0</v>
      </c>
      <c r="H96">
        <f>'DD Pairs Speed'!J58</f>
        <v>0</v>
      </c>
      <c r="I96" t="str">
        <f t="shared" si="2"/>
        <v>DDPS-Double Dutch Pairs Speed</v>
      </c>
    </row>
    <row r="97" spans="1:9" x14ac:dyDescent="0.25">
      <c r="A97">
        <f>'Team Info'!$B$3</f>
        <v>0</v>
      </c>
      <c r="B97">
        <f>'DD Pairs Speed'!A59</f>
        <v>5</v>
      </c>
      <c r="C97" t="str">
        <f>'DD Pairs Speed'!B59</f>
        <v>DDPS</v>
      </c>
      <c r="D97" t="str">
        <f>'DD Pairs Speed'!C59</f>
        <v>18-over</v>
      </c>
      <c r="E97">
        <f>'DD Pairs Speed'!D59</f>
        <v>0</v>
      </c>
      <c r="F97">
        <f>'DD Pairs Speed'!F59</f>
        <v>0</v>
      </c>
      <c r="G97">
        <f>'DD Pairs Speed'!H59</f>
        <v>0</v>
      </c>
      <c r="H97">
        <f>'DD Pairs Speed'!J59</f>
        <v>0</v>
      </c>
      <c r="I97" t="str">
        <f t="shared" si="2"/>
        <v>DDPS-Double Dutch Pairs Speed</v>
      </c>
    </row>
    <row r="98" spans="1:9" x14ac:dyDescent="0.25">
      <c r="A98">
        <f>'Team Info'!$B$3</f>
        <v>0</v>
      </c>
      <c r="B98">
        <f>'DD Pairs Speed'!A60</f>
        <v>6</v>
      </c>
      <c r="C98" t="str">
        <f>'DD Pairs Speed'!B60</f>
        <v>DDPS</v>
      </c>
      <c r="D98" t="str">
        <f>'DD Pairs Speed'!C60</f>
        <v>18-over</v>
      </c>
      <c r="E98">
        <f>'DD Pairs Speed'!D60</f>
        <v>0</v>
      </c>
      <c r="F98">
        <f>'DD Pairs Speed'!F60</f>
        <v>0</v>
      </c>
      <c r="G98">
        <f>'DD Pairs Speed'!H60</f>
        <v>0</v>
      </c>
      <c r="H98">
        <f>'DD Pairs Speed'!J60</f>
        <v>0</v>
      </c>
      <c r="I98" t="str">
        <f t="shared" si="2"/>
        <v>DDPS-Double Dutch Pairs Speed</v>
      </c>
    </row>
    <row r="99" spans="1:9" x14ac:dyDescent="0.25">
      <c r="A99">
        <f>'Team Info'!$B$3</f>
        <v>0</v>
      </c>
      <c r="B99">
        <f>'DD Pairs Speed'!A61</f>
        <v>7</v>
      </c>
      <c r="C99" t="str">
        <f>'DD Pairs Speed'!B61</f>
        <v>DDPS</v>
      </c>
      <c r="D99" t="str">
        <f>'DD Pairs Speed'!C61</f>
        <v>18-over</v>
      </c>
      <c r="E99">
        <f>'DD Pairs Speed'!D61</f>
        <v>0</v>
      </c>
      <c r="F99">
        <f>'DD Pairs Speed'!F61</f>
        <v>0</v>
      </c>
      <c r="G99">
        <f>'DD Pairs Speed'!H61</f>
        <v>0</v>
      </c>
      <c r="H99">
        <f>'DD Pairs Speed'!J61</f>
        <v>0</v>
      </c>
      <c r="I99" t="str">
        <f t="shared" si="2"/>
        <v>DDPS-Double Dutch Pairs Speed</v>
      </c>
    </row>
    <row r="100" spans="1:9" x14ac:dyDescent="0.25">
      <c r="A100">
        <f>'Team Info'!$B$3</f>
        <v>0</v>
      </c>
      <c r="B100">
        <f>'DD Pairs Speed'!A62</f>
        <v>8</v>
      </c>
      <c r="C100" t="str">
        <f>'DD Pairs Speed'!B62</f>
        <v>DDPS</v>
      </c>
      <c r="D100" t="str">
        <f>'DD Pairs Speed'!C62</f>
        <v>18-over</v>
      </c>
      <c r="E100">
        <f>'DD Pairs Speed'!D62</f>
        <v>0</v>
      </c>
      <c r="F100">
        <f>'DD Pairs Speed'!F62</f>
        <v>0</v>
      </c>
      <c r="G100">
        <f>'DD Pairs Speed'!H62</f>
        <v>0</v>
      </c>
      <c r="H100">
        <f>'DD Pairs Speed'!J62</f>
        <v>0</v>
      </c>
      <c r="I100" t="str">
        <f t="shared" si="2"/>
        <v>DDPS-Double Dutch Pairs Speed</v>
      </c>
    </row>
    <row r="101" spans="1:9" x14ac:dyDescent="0.25">
      <c r="A101">
        <f>'Team Info'!$B$3</f>
        <v>0</v>
      </c>
      <c r="B101">
        <f>'DD Pairs Speed'!A65</f>
        <v>1</v>
      </c>
      <c r="C101" t="str">
        <f>'DD Pairs Speed'!B65</f>
        <v>DDPS</v>
      </c>
      <c r="D101" t="str">
        <f>'DD Pairs Speed'!C65</f>
        <v>30-over</v>
      </c>
      <c r="E101">
        <f>'DD Pairs Speed'!D65</f>
        <v>0</v>
      </c>
      <c r="F101">
        <f>'DD Pairs Speed'!F65</f>
        <v>0</v>
      </c>
      <c r="G101">
        <f>'DD Pairs Speed'!H65</f>
        <v>0</v>
      </c>
      <c r="H101">
        <f>'DD Pairs Speed'!J65</f>
        <v>0</v>
      </c>
      <c r="I101" t="str">
        <f t="shared" si="2"/>
        <v>DDPS-Double Dutch Pairs Speed</v>
      </c>
    </row>
    <row r="102" spans="1:9" x14ac:dyDescent="0.25">
      <c r="A102">
        <f>'Team Info'!$B$3</f>
        <v>0</v>
      </c>
      <c r="B102">
        <f>'DD Pairs Speed'!A66</f>
        <v>2</v>
      </c>
      <c r="C102" t="str">
        <f>'DD Pairs Speed'!B66</f>
        <v>DDPS</v>
      </c>
      <c r="D102" t="str">
        <f>'DD Pairs Speed'!C66</f>
        <v>30-over</v>
      </c>
      <c r="E102">
        <f>'DD Pairs Speed'!D66</f>
        <v>0</v>
      </c>
      <c r="F102">
        <f>'DD Pairs Speed'!F66</f>
        <v>0</v>
      </c>
      <c r="G102">
        <f>'DD Pairs Speed'!H66</f>
        <v>0</v>
      </c>
      <c r="H102">
        <f>'DD Pairs Speed'!J66</f>
        <v>0</v>
      </c>
      <c r="I102" t="str">
        <f t="shared" si="2"/>
        <v>DDPS-Double Dutch Pairs Speed</v>
      </c>
    </row>
    <row r="103" spans="1:9" x14ac:dyDescent="0.25">
      <c r="A103">
        <f>'Team Info'!$B$3</f>
        <v>0</v>
      </c>
      <c r="B103">
        <f>'DD Pairs Speed'!A67</f>
        <v>3</v>
      </c>
      <c r="C103" t="str">
        <f>'DD Pairs Speed'!B67</f>
        <v>DDPS</v>
      </c>
      <c r="D103" t="str">
        <f>'DD Pairs Speed'!C67</f>
        <v>30-over</v>
      </c>
      <c r="E103">
        <f>'DD Pairs Speed'!D67</f>
        <v>0</v>
      </c>
      <c r="F103">
        <f>'DD Pairs Speed'!F67</f>
        <v>0</v>
      </c>
      <c r="G103">
        <f>'DD Pairs Speed'!H67</f>
        <v>0</v>
      </c>
      <c r="H103">
        <f>'DD Pairs Speed'!J67</f>
        <v>0</v>
      </c>
      <c r="I103" t="str">
        <f t="shared" si="2"/>
        <v>DDPS-Double Dutch Pairs Speed</v>
      </c>
    </row>
    <row r="104" spans="1:9" x14ac:dyDescent="0.25">
      <c r="A104">
        <f>'Team Info'!$B$3</f>
        <v>0</v>
      </c>
      <c r="B104">
        <f>'DD Pairs Speed'!A68</f>
        <v>4</v>
      </c>
      <c r="C104" t="str">
        <f>'DD Pairs Speed'!B68</f>
        <v>DDPS</v>
      </c>
      <c r="D104" t="str">
        <f>'DD Pairs Speed'!C68</f>
        <v>30-over</v>
      </c>
      <c r="E104">
        <f>'DD Pairs Speed'!D68</f>
        <v>0</v>
      </c>
      <c r="F104">
        <f>'DD Pairs Speed'!F68</f>
        <v>0</v>
      </c>
      <c r="G104">
        <f>'DD Pairs Speed'!H68</f>
        <v>0</v>
      </c>
      <c r="H104">
        <f>'DD Pairs Speed'!J68</f>
        <v>0</v>
      </c>
      <c r="I104" t="str">
        <f t="shared" si="2"/>
        <v>DDPS-Double Dutch Pairs Speed</v>
      </c>
    </row>
    <row r="105" spans="1:9" x14ac:dyDescent="0.25">
      <c r="A105">
        <f>'Team Info'!$B$3</f>
        <v>0</v>
      </c>
      <c r="B105">
        <f>'DD Pairs Speed'!A69</f>
        <v>5</v>
      </c>
      <c r="C105" t="str">
        <f>'DD Pairs Speed'!B69</f>
        <v>DDPS</v>
      </c>
      <c r="D105" t="str">
        <f>'DD Pairs Speed'!C69</f>
        <v>30-over</v>
      </c>
      <c r="E105">
        <f>'DD Pairs Speed'!D69</f>
        <v>0</v>
      </c>
      <c r="F105">
        <f>'DD Pairs Speed'!F69</f>
        <v>0</v>
      </c>
      <c r="G105">
        <f>'DD Pairs Speed'!H69</f>
        <v>0</v>
      </c>
      <c r="H105">
        <f>'DD Pairs Speed'!J69</f>
        <v>0</v>
      </c>
      <c r="I105" t="str">
        <f t="shared" si="2"/>
        <v>DDPS-Double Dutch Pairs Speed</v>
      </c>
    </row>
    <row r="106" spans="1:9" x14ac:dyDescent="0.25">
      <c r="A106">
        <f>'Team Info'!$B$3</f>
        <v>0</v>
      </c>
      <c r="B106">
        <f>'DD Pairs Speed'!A70</f>
        <v>6</v>
      </c>
      <c r="C106" t="str">
        <f>'DD Pairs Speed'!B70</f>
        <v>DDPS</v>
      </c>
      <c r="D106" t="str">
        <f>'DD Pairs Speed'!C70</f>
        <v>30-over</v>
      </c>
      <c r="E106">
        <f>'DD Pairs Speed'!D70</f>
        <v>0</v>
      </c>
      <c r="F106">
        <f>'DD Pairs Speed'!F70</f>
        <v>0</v>
      </c>
      <c r="G106">
        <f>'DD Pairs Speed'!H70</f>
        <v>0</v>
      </c>
      <c r="H106">
        <f>'DD Pairs Speed'!J70</f>
        <v>0</v>
      </c>
      <c r="I106" t="str">
        <f t="shared" si="2"/>
        <v>DDPS-Double Dutch Pairs Speed</v>
      </c>
    </row>
    <row r="107" spans="1:9" x14ac:dyDescent="0.25">
      <c r="A107">
        <f>'Team Info'!$B$3</f>
        <v>0</v>
      </c>
      <c r="B107">
        <f>'DD Pairs Speed'!A71</f>
        <v>7</v>
      </c>
      <c r="C107" t="str">
        <f>'DD Pairs Speed'!B71</f>
        <v>DDPS</v>
      </c>
      <c r="D107" t="str">
        <f>'DD Pairs Speed'!C71</f>
        <v>30-over</v>
      </c>
      <c r="E107">
        <f>'DD Pairs Speed'!D71</f>
        <v>0</v>
      </c>
      <c r="F107">
        <f>'DD Pairs Speed'!F71</f>
        <v>0</v>
      </c>
      <c r="G107">
        <f>'DD Pairs Speed'!H71</f>
        <v>0</v>
      </c>
      <c r="H107">
        <f>'DD Pairs Speed'!J71</f>
        <v>0</v>
      </c>
      <c r="I107" t="str">
        <f t="shared" si="2"/>
        <v>DDPS-Double Dutch Pairs Speed</v>
      </c>
    </row>
    <row r="108" spans="1:9" x14ac:dyDescent="0.25">
      <c r="A108">
        <f>'Team Info'!$B$3</f>
        <v>0</v>
      </c>
      <c r="B108">
        <f>'DD Pairs Speed'!A72</f>
        <v>8</v>
      </c>
      <c r="C108" t="str">
        <f>'DD Pairs Speed'!B72</f>
        <v>DDPS</v>
      </c>
      <c r="D108" t="str">
        <f>'DD Pairs Speed'!C72</f>
        <v>30-over</v>
      </c>
      <c r="E108">
        <f>'DD Pairs Speed'!D72</f>
        <v>0</v>
      </c>
      <c r="F108">
        <f>'DD Pairs Speed'!F72</f>
        <v>0</v>
      </c>
      <c r="G108">
        <f>'DD Pairs Speed'!H72</f>
        <v>0</v>
      </c>
      <c r="H108">
        <f>'DD Pairs Speed'!J72</f>
        <v>0</v>
      </c>
      <c r="I108" t="str">
        <f t="shared" si="2"/>
        <v>DDPS-Double Dutch Pairs Speed</v>
      </c>
    </row>
    <row r="109" spans="1:9" x14ac:dyDescent="0.25">
      <c r="A109">
        <f>'Team Info'!$B$3</f>
        <v>0</v>
      </c>
      <c r="B109">
        <f>'Double Dutch Single Freestyle'!A7</f>
        <v>1</v>
      </c>
      <c r="C109" t="str">
        <f>'Double Dutch Single Freestyle'!B7</f>
        <v>DDSF</v>
      </c>
      <c r="D109" t="str">
        <f>'Double Dutch Single Freestyle'!C7</f>
        <v>10-under</v>
      </c>
      <c r="E109">
        <f>'Double Dutch Single Freestyle'!D7</f>
        <v>0</v>
      </c>
      <c r="F109">
        <f>'Double Dutch Single Freestyle'!F7</f>
        <v>0</v>
      </c>
      <c r="G109">
        <f>'Double Dutch Single Freestyle'!H7</f>
        <v>0</v>
      </c>
      <c r="I109" t="str">
        <f t="shared" si="2"/>
        <v>DDSF-Double Dutch Single Freestyle</v>
      </c>
    </row>
    <row r="110" spans="1:9" x14ac:dyDescent="0.25">
      <c r="A110">
        <f>'Team Info'!$B$3</f>
        <v>0</v>
      </c>
      <c r="B110">
        <f>'Double Dutch Single Freestyle'!A8</f>
        <v>2</v>
      </c>
      <c r="C110" t="str">
        <f>'Double Dutch Single Freestyle'!B8</f>
        <v>DDSF</v>
      </c>
      <c r="D110" t="str">
        <f>'Double Dutch Single Freestyle'!C8</f>
        <v>10-under</v>
      </c>
      <c r="E110">
        <f>'Double Dutch Single Freestyle'!D8</f>
        <v>0</v>
      </c>
      <c r="F110">
        <f>'Double Dutch Single Freestyle'!F8</f>
        <v>0</v>
      </c>
      <c r="G110">
        <f>'Double Dutch Single Freestyle'!H8</f>
        <v>0</v>
      </c>
      <c r="I110" t="str">
        <f t="shared" si="2"/>
        <v>DDSF-Double Dutch Single Freestyle</v>
      </c>
    </row>
    <row r="111" spans="1:9" x14ac:dyDescent="0.25">
      <c r="A111">
        <f>'Team Info'!$B$3</f>
        <v>0</v>
      </c>
      <c r="B111">
        <f>'Double Dutch Single Freestyle'!A9</f>
        <v>3</v>
      </c>
      <c r="C111" t="str">
        <f>'Double Dutch Single Freestyle'!B9</f>
        <v>DDSF</v>
      </c>
      <c r="D111" t="str">
        <f>'Double Dutch Single Freestyle'!C9</f>
        <v>10-under</v>
      </c>
      <c r="E111">
        <f>'Double Dutch Single Freestyle'!D9</f>
        <v>0</v>
      </c>
      <c r="F111">
        <f>'Double Dutch Single Freestyle'!F9</f>
        <v>0</v>
      </c>
      <c r="G111">
        <f>'Double Dutch Single Freestyle'!H9</f>
        <v>0</v>
      </c>
      <c r="I111" t="str">
        <f t="shared" si="2"/>
        <v>DDSF-Double Dutch Single Freestyle</v>
      </c>
    </row>
    <row r="112" spans="1:9" x14ac:dyDescent="0.25">
      <c r="A112">
        <f>'Team Info'!$B$3</f>
        <v>0</v>
      </c>
      <c r="B112">
        <f>'Double Dutch Single Freestyle'!A10</f>
        <v>4</v>
      </c>
      <c r="C112" t="str">
        <f>'Double Dutch Single Freestyle'!B10</f>
        <v>DDSF</v>
      </c>
      <c r="D112" t="str">
        <f>'Double Dutch Single Freestyle'!C10</f>
        <v>10-under</v>
      </c>
      <c r="E112">
        <f>'Double Dutch Single Freestyle'!D10</f>
        <v>0</v>
      </c>
      <c r="F112">
        <f>'Double Dutch Single Freestyle'!F10</f>
        <v>0</v>
      </c>
      <c r="G112">
        <f>'Double Dutch Single Freestyle'!H10</f>
        <v>0</v>
      </c>
      <c r="I112" t="str">
        <f t="shared" si="2"/>
        <v>DDSF-Double Dutch Single Freestyle</v>
      </c>
    </row>
    <row r="113" spans="1:9" x14ac:dyDescent="0.25">
      <c r="A113">
        <f>'Team Info'!$B$3</f>
        <v>0</v>
      </c>
      <c r="B113">
        <f>'Double Dutch Single Freestyle'!A11</f>
        <v>5</v>
      </c>
      <c r="C113" t="str">
        <f>'Double Dutch Single Freestyle'!B11</f>
        <v>DDSF</v>
      </c>
      <c r="D113" t="str">
        <f>'Double Dutch Single Freestyle'!C11</f>
        <v>10-under</v>
      </c>
      <c r="E113">
        <f>'Double Dutch Single Freestyle'!D11</f>
        <v>0</v>
      </c>
      <c r="F113">
        <f>'Double Dutch Single Freestyle'!F11</f>
        <v>0</v>
      </c>
      <c r="G113">
        <f>'Double Dutch Single Freestyle'!H11</f>
        <v>0</v>
      </c>
      <c r="I113" t="str">
        <f t="shared" si="2"/>
        <v>DDSF-Double Dutch Single Freestyle</v>
      </c>
    </row>
    <row r="114" spans="1:9" x14ac:dyDescent="0.25">
      <c r="A114">
        <f>'Team Info'!$B$3</f>
        <v>0</v>
      </c>
      <c r="B114">
        <f>'Double Dutch Single Freestyle'!A12</f>
        <v>6</v>
      </c>
      <c r="C114" t="str">
        <f>'Double Dutch Single Freestyle'!B12</f>
        <v>DDSF</v>
      </c>
      <c r="D114" t="str">
        <f>'Double Dutch Single Freestyle'!C12</f>
        <v>10-under</v>
      </c>
      <c r="E114">
        <f>'Double Dutch Single Freestyle'!D12</f>
        <v>0</v>
      </c>
      <c r="F114">
        <f>'Double Dutch Single Freestyle'!F12</f>
        <v>0</v>
      </c>
      <c r="G114">
        <f>'Double Dutch Single Freestyle'!H12</f>
        <v>0</v>
      </c>
      <c r="I114" t="str">
        <f t="shared" si="2"/>
        <v>DDSF-Double Dutch Single Freestyle</v>
      </c>
    </row>
    <row r="115" spans="1:9" x14ac:dyDescent="0.25">
      <c r="A115">
        <f>'Team Info'!$B$3</f>
        <v>0</v>
      </c>
      <c r="B115">
        <f>'Double Dutch Single Freestyle'!A13</f>
        <v>7</v>
      </c>
      <c r="C115" t="str">
        <f>'Double Dutch Single Freestyle'!B13</f>
        <v>DDSF</v>
      </c>
      <c r="D115" t="str">
        <f>'Double Dutch Single Freestyle'!C13</f>
        <v>10-under</v>
      </c>
      <c r="E115">
        <f>'Double Dutch Single Freestyle'!D13</f>
        <v>0</v>
      </c>
      <c r="F115">
        <f>'Double Dutch Single Freestyle'!F13</f>
        <v>0</v>
      </c>
      <c r="G115">
        <f>'Double Dutch Single Freestyle'!H13</f>
        <v>0</v>
      </c>
      <c r="I115" t="str">
        <f t="shared" si="2"/>
        <v>DDSF-Double Dutch Single Freestyle</v>
      </c>
    </row>
    <row r="116" spans="1:9" x14ac:dyDescent="0.25">
      <c r="A116">
        <f>'Team Info'!$B$3</f>
        <v>0</v>
      </c>
      <c r="B116">
        <f>'Double Dutch Single Freestyle'!A14</f>
        <v>8</v>
      </c>
      <c r="C116" t="str">
        <f>'Double Dutch Single Freestyle'!B14</f>
        <v>DDSF</v>
      </c>
      <c r="D116" t="str">
        <f>'Double Dutch Single Freestyle'!C14</f>
        <v>10-under</v>
      </c>
      <c r="E116">
        <f>'Double Dutch Single Freestyle'!D14</f>
        <v>0</v>
      </c>
      <c r="F116">
        <f>'Double Dutch Single Freestyle'!F14</f>
        <v>0</v>
      </c>
      <c r="G116">
        <f>'Double Dutch Single Freestyle'!H14</f>
        <v>0</v>
      </c>
      <c r="I116" t="str">
        <f t="shared" si="2"/>
        <v>DDSF-Double Dutch Single Freestyle</v>
      </c>
    </row>
    <row r="117" spans="1:9" x14ac:dyDescent="0.25">
      <c r="A117">
        <f>'Team Info'!$B$3</f>
        <v>0</v>
      </c>
      <c r="B117">
        <f>'Double Dutch Single Freestyle'!A15</f>
        <v>9</v>
      </c>
      <c r="C117" t="str">
        <f>'Double Dutch Single Freestyle'!B15</f>
        <v>DDSF</v>
      </c>
      <c r="D117" t="str">
        <f>'Double Dutch Single Freestyle'!C15</f>
        <v>10-under</v>
      </c>
      <c r="E117">
        <f>'Double Dutch Single Freestyle'!D15</f>
        <v>0</v>
      </c>
      <c r="F117">
        <f>'Double Dutch Single Freestyle'!F15</f>
        <v>0</v>
      </c>
      <c r="G117">
        <f>'Double Dutch Single Freestyle'!H15</f>
        <v>0</v>
      </c>
      <c r="I117" t="str">
        <f t="shared" si="2"/>
        <v>DDSF-Double Dutch Single Freestyle</v>
      </c>
    </row>
    <row r="118" spans="1:9" x14ac:dyDescent="0.25">
      <c r="A118">
        <f>'Team Info'!$B$3</f>
        <v>0</v>
      </c>
      <c r="B118">
        <f>'Double Dutch Single Freestyle'!A16</f>
        <v>10</v>
      </c>
      <c r="C118" t="str">
        <f>'Double Dutch Single Freestyle'!B16</f>
        <v>DDSF</v>
      </c>
      <c r="D118" t="str">
        <f>'Double Dutch Single Freestyle'!C16</f>
        <v>10-under</v>
      </c>
      <c r="E118">
        <f>'Double Dutch Single Freestyle'!D16</f>
        <v>0</v>
      </c>
      <c r="F118">
        <f>'Double Dutch Single Freestyle'!F16</f>
        <v>0</v>
      </c>
      <c r="G118">
        <f>'Double Dutch Single Freestyle'!H16</f>
        <v>0</v>
      </c>
      <c r="I118" t="str">
        <f t="shared" si="2"/>
        <v>DDSF-Double Dutch Single Freestyle</v>
      </c>
    </row>
    <row r="119" spans="1:9" x14ac:dyDescent="0.25">
      <c r="A119">
        <f>'Team Info'!$B$3</f>
        <v>0</v>
      </c>
      <c r="B119">
        <f>'Double Dutch Single Freestyle'!A17</f>
        <v>11</v>
      </c>
      <c r="C119" t="str">
        <f>'Double Dutch Single Freestyle'!B17</f>
        <v>DDSF</v>
      </c>
      <c r="D119" t="str">
        <f>'Double Dutch Single Freestyle'!C17</f>
        <v>10-under</v>
      </c>
      <c r="E119">
        <f>'Double Dutch Single Freestyle'!D17</f>
        <v>0</v>
      </c>
      <c r="F119">
        <f>'Double Dutch Single Freestyle'!F17</f>
        <v>0</v>
      </c>
      <c r="G119">
        <f>'Double Dutch Single Freestyle'!H17</f>
        <v>0</v>
      </c>
      <c r="I119" t="str">
        <f t="shared" si="2"/>
        <v>DDSF-Double Dutch Single Freestyle</v>
      </c>
    </row>
    <row r="120" spans="1:9" x14ac:dyDescent="0.25">
      <c r="A120">
        <f>'Team Info'!$B$3</f>
        <v>0</v>
      </c>
      <c r="B120">
        <f>'Double Dutch Single Freestyle'!A18</f>
        <v>12</v>
      </c>
      <c r="C120" t="str">
        <f>'Double Dutch Single Freestyle'!B18</f>
        <v>DDSF</v>
      </c>
      <c r="D120" t="str">
        <f>'Double Dutch Single Freestyle'!C18</f>
        <v>10-under</v>
      </c>
      <c r="E120">
        <f>'Double Dutch Single Freestyle'!D18</f>
        <v>0</v>
      </c>
      <c r="F120">
        <f>'Double Dutch Single Freestyle'!F18</f>
        <v>0</v>
      </c>
      <c r="G120">
        <f>'Double Dutch Single Freestyle'!H18</f>
        <v>0</v>
      </c>
      <c r="I120" t="str">
        <f t="shared" si="2"/>
        <v>DDSF-Double Dutch Single Freestyle</v>
      </c>
    </row>
    <row r="121" spans="1:9" x14ac:dyDescent="0.25">
      <c r="A121">
        <f>'Team Info'!$B$3</f>
        <v>0</v>
      </c>
      <c r="B121">
        <f>'Double Dutch Single Freestyle'!A19</f>
        <v>13</v>
      </c>
      <c r="C121" t="str">
        <f>'Double Dutch Single Freestyle'!B19</f>
        <v>DDSF</v>
      </c>
      <c r="D121" t="str">
        <f>'Double Dutch Single Freestyle'!C19</f>
        <v>10-under</v>
      </c>
      <c r="E121">
        <f>'Double Dutch Single Freestyle'!D19</f>
        <v>0</v>
      </c>
      <c r="F121">
        <f>'Double Dutch Single Freestyle'!F19</f>
        <v>0</v>
      </c>
      <c r="G121">
        <f>'Double Dutch Single Freestyle'!H19</f>
        <v>0</v>
      </c>
      <c r="I121" t="str">
        <f t="shared" si="2"/>
        <v>DDSF-Double Dutch Single Freestyle</v>
      </c>
    </row>
    <row r="122" spans="1:9" x14ac:dyDescent="0.25">
      <c r="A122">
        <f>'Team Info'!$B$3</f>
        <v>0</v>
      </c>
      <c r="B122">
        <f>'Double Dutch Single Freestyle'!A20</f>
        <v>14</v>
      </c>
      <c r="C122" t="str">
        <f>'Double Dutch Single Freestyle'!B20</f>
        <v>DDSF</v>
      </c>
      <c r="D122" t="str">
        <f>'Double Dutch Single Freestyle'!C20</f>
        <v>10-under</v>
      </c>
      <c r="E122">
        <f>'Double Dutch Single Freestyle'!D20</f>
        <v>0</v>
      </c>
      <c r="F122">
        <f>'Double Dutch Single Freestyle'!F20</f>
        <v>0</v>
      </c>
      <c r="G122">
        <f>'Double Dutch Single Freestyle'!H20</f>
        <v>0</v>
      </c>
      <c r="I122" t="str">
        <f t="shared" si="2"/>
        <v>DDSF-Double Dutch Single Freestyle</v>
      </c>
    </row>
    <row r="123" spans="1:9" x14ac:dyDescent="0.25">
      <c r="A123">
        <f>'Team Info'!$B$3</f>
        <v>0</v>
      </c>
      <c r="B123">
        <f>'Double Dutch Single Freestyle'!A21</f>
        <v>15</v>
      </c>
      <c r="C123" t="str">
        <f>'Double Dutch Single Freestyle'!B21</f>
        <v>DDSF</v>
      </c>
      <c r="D123" t="str">
        <f>'Double Dutch Single Freestyle'!C21</f>
        <v>10-under</v>
      </c>
      <c r="E123">
        <f>'Double Dutch Single Freestyle'!D21</f>
        <v>0</v>
      </c>
      <c r="F123">
        <f>'Double Dutch Single Freestyle'!F21</f>
        <v>0</v>
      </c>
      <c r="G123">
        <f>'Double Dutch Single Freestyle'!H21</f>
        <v>0</v>
      </c>
      <c r="I123" t="str">
        <f t="shared" si="2"/>
        <v>DDSF-Double Dutch Single Freestyle</v>
      </c>
    </row>
    <row r="124" spans="1:9" x14ac:dyDescent="0.25">
      <c r="A124">
        <f>'Team Info'!$B$3</f>
        <v>0</v>
      </c>
      <c r="B124">
        <f>'Double Dutch Single Freestyle'!A24</f>
        <v>1</v>
      </c>
      <c r="C124" t="str">
        <f>'Double Dutch Single Freestyle'!B24</f>
        <v>DDSF</v>
      </c>
      <c r="D124" t="str">
        <f>'Double Dutch Single Freestyle'!C24</f>
        <v>11-12</v>
      </c>
      <c r="E124">
        <f>'Double Dutch Single Freestyle'!D24</f>
        <v>0</v>
      </c>
      <c r="F124">
        <f>'Double Dutch Single Freestyle'!F24</f>
        <v>0</v>
      </c>
      <c r="G124">
        <f>'Double Dutch Single Freestyle'!H24</f>
        <v>0</v>
      </c>
      <c r="I124" t="str">
        <f t="shared" si="2"/>
        <v>DDSF-Double Dutch Single Freestyle</v>
      </c>
    </row>
    <row r="125" spans="1:9" x14ac:dyDescent="0.25">
      <c r="A125">
        <f>'Team Info'!$B$3</f>
        <v>0</v>
      </c>
      <c r="B125">
        <f>'Double Dutch Single Freestyle'!A25</f>
        <v>2</v>
      </c>
      <c r="C125" t="str">
        <f>'Double Dutch Single Freestyle'!B25</f>
        <v>DDSF</v>
      </c>
      <c r="D125" t="str">
        <f>'Double Dutch Single Freestyle'!C25</f>
        <v>11-12</v>
      </c>
      <c r="E125">
        <f>'Double Dutch Single Freestyle'!D25</f>
        <v>0</v>
      </c>
      <c r="F125">
        <f>'Double Dutch Single Freestyle'!F25</f>
        <v>0</v>
      </c>
      <c r="G125">
        <f>'Double Dutch Single Freestyle'!H25</f>
        <v>0</v>
      </c>
      <c r="I125" t="str">
        <f t="shared" si="2"/>
        <v>DDSF-Double Dutch Single Freestyle</v>
      </c>
    </row>
    <row r="126" spans="1:9" x14ac:dyDescent="0.25">
      <c r="A126">
        <f>'Team Info'!$B$3</f>
        <v>0</v>
      </c>
      <c r="B126">
        <f>'Double Dutch Single Freestyle'!A26</f>
        <v>3</v>
      </c>
      <c r="C126" t="str">
        <f>'Double Dutch Single Freestyle'!B26</f>
        <v>DDSF</v>
      </c>
      <c r="D126" t="str">
        <f>'Double Dutch Single Freestyle'!C26</f>
        <v>11-12</v>
      </c>
      <c r="E126">
        <f>'Double Dutch Single Freestyle'!D26</f>
        <v>0</v>
      </c>
      <c r="F126">
        <f>'Double Dutch Single Freestyle'!F26</f>
        <v>0</v>
      </c>
      <c r="G126">
        <f>'Double Dutch Single Freestyle'!H26</f>
        <v>0</v>
      </c>
      <c r="I126" t="str">
        <f t="shared" si="2"/>
        <v>DDSF-Double Dutch Single Freestyle</v>
      </c>
    </row>
    <row r="127" spans="1:9" x14ac:dyDescent="0.25">
      <c r="A127">
        <f>'Team Info'!$B$3</f>
        <v>0</v>
      </c>
      <c r="B127">
        <f>'Double Dutch Single Freestyle'!A27</f>
        <v>4</v>
      </c>
      <c r="C127" t="str">
        <f>'Double Dutch Single Freestyle'!B27</f>
        <v>DDSF</v>
      </c>
      <c r="D127" t="str">
        <f>'Double Dutch Single Freestyle'!C27</f>
        <v>11-12</v>
      </c>
      <c r="E127">
        <f>'Double Dutch Single Freestyle'!D27</f>
        <v>0</v>
      </c>
      <c r="F127">
        <f>'Double Dutch Single Freestyle'!F27</f>
        <v>0</v>
      </c>
      <c r="G127">
        <f>'Double Dutch Single Freestyle'!H27</f>
        <v>0</v>
      </c>
      <c r="I127" t="str">
        <f t="shared" si="2"/>
        <v>DDSF-Double Dutch Single Freestyle</v>
      </c>
    </row>
    <row r="128" spans="1:9" x14ac:dyDescent="0.25">
      <c r="A128">
        <f>'Team Info'!$B$3</f>
        <v>0</v>
      </c>
      <c r="B128">
        <f>'Double Dutch Single Freestyle'!A28</f>
        <v>5</v>
      </c>
      <c r="C128" t="str">
        <f>'Double Dutch Single Freestyle'!B28</f>
        <v>DDSF</v>
      </c>
      <c r="D128" t="str">
        <f>'Double Dutch Single Freestyle'!C28</f>
        <v>11-12</v>
      </c>
      <c r="E128">
        <f>'Double Dutch Single Freestyle'!D28</f>
        <v>0</v>
      </c>
      <c r="F128">
        <f>'Double Dutch Single Freestyle'!F28</f>
        <v>0</v>
      </c>
      <c r="G128">
        <f>'Double Dutch Single Freestyle'!H28</f>
        <v>0</v>
      </c>
      <c r="I128" t="str">
        <f t="shared" si="2"/>
        <v>DDSF-Double Dutch Single Freestyle</v>
      </c>
    </row>
    <row r="129" spans="1:9" x14ac:dyDescent="0.25">
      <c r="A129">
        <f>'Team Info'!$B$3</f>
        <v>0</v>
      </c>
      <c r="B129">
        <f>'Double Dutch Single Freestyle'!A29</f>
        <v>6</v>
      </c>
      <c r="C129" t="str">
        <f>'Double Dutch Single Freestyle'!B29</f>
        <v>DDSF</v>
      </c>
      <c r="D129" t="str">
        <f>'Double Dutch Single Freestyle'!C29</f>
        <v>11-12</v>
      </c>
      <c r="E129">
        <f>'Double Dutch Single Freestyle'!D29</f>
        <v>0</v>
      </c>
      <c r="F129">
        <f>'Double Dutch Single Freestyle'!F29</f>
        <v>0</v>
      </c>
      <c r="G129">
        <f>'Double Dutch Single Freestyle'!H29</f>
        <v>0</v>
      </c>
      <c r="I129" t="str">
        <f t="shared" si="2"/>
        <v>DDSF-Double Dutch Single Freestyle</v>
      </c>
    </row>
    <row r="130" spans="1:9" x14ac:dyDescent="0.25">
      <c r="A130">
        <f>'Team Info'!$B$3</f>
        <v>0</v>
      </c>
      <c r="B130">
        <f>'Double Dutch Single Freestyle'!A30</f>
        <v>7</v>
      </c>
      <c r="C130" t="str">
        <f>'Double Dutch Single Freestyle'!B30</f>
        <v>DDSF</v>
      </c>
      <c r="D130" t="str">
        <f>'Double Dutch Single Freestyle'!C30</f>
        <v>11-12</v>
      </c>
      <c r="E130">
        <f>'Double Dutch Single Freestyle'!D30</f>
        <v>0</v>
      </c>
      <c r="F130">
        <f>'Double Dutch Single Freestyle'!F30</f>
        <v>0</v>
      </c>
      <c r="G130">
        <f>'Double Dutch Single Freestyle'!H30</f>
        <v>0</v>
      </c>
      <c r="I130" t="str">
        <f t="shared" si="2"/>
        <v>DDSF-Double Dutch Single Freestyle</v>
      </c>
    </row>
    <row r="131" spans="1:9" x14ac:dyDescent="0.25">
      <c r="A131">
        <f>'Team Info'!$B$3</f>
        <v>0</v>
      </c>
      <c r="B131">
        <f>'Double Dutch Single Freestyle'!A31</f>
        <v>8</v>
      </c>
      <c r="C131" t="str">
        <f>'Double Dutch Single Freestyle'!B31</f>
        <v>DDSF</v>
      </c>
      <c r="D131" t="str">
        <f>'Double Dutch Single Freestyle'!C31</f>
        <v>11-12</v>
      </c>
      <c r="E131">
        <f>'Double Dutch Single Freestyle'!D31</f>
        <v>0</v>
      </c>
      <c r="F131">
        <f>'Double Dutch Single Freestyle'!F31</f>
        <v>0</v>
      </c>
      <c r="G131">
        <f>'Double Dutch Single Freestyle'!H31</f>
        <v>0</v>
      </c>
      <c r="I131" t="str">
        <f t="shared" si="2"/>
        <v>DDSF-Double Dutch Single Freestyle</v>
      </c>
    </row>
    <row r="132" spans="1:9" x14ac:dyDescent="0.25">
      <c r="A132">
        <f>'Team Info'!$B$3</f>
        <v>0</v>
      </c>
      <c r="B132">
        <f>'Double Dutch Single Freestyle'!A32</f>
        <v>9</v>
      </c>
      <c r="C132" t="str">
        <f>'Double Dutch Single Freestyle'!B32</f>
        <v>DDSF</v>
      </c>
      <c r="D132" t="str">
        <f>'Double Dutch Single Freestyle'!C32</f>
        <v>11-12</v>
      </c>
      <c r="E132">
        <f>'Double Dutch Single Freestyle'!D32</f>
        <v>0</v>
      </c>
      <c r="F132">
        <f>'Double Dutch Single Freestyle'!F32</f>
        <v>0</v>
      </c>
      <c r="G132">
        <f>'Double Dutch Single Freestyle'!H32</f>
        <v>0</v>
      </c>
      <c r="I132" t="str">
        <f t="shared" si="2"/>
        <v>DDSF-Double Dutch Single Freestyle</v>
      </c>
    </row>
    <row r="133" spans="1:9" x14ac:dyDescent="0.25">
      <c r="A133">
        <f>'Team Info'!$B$3</f>
        <v>0</v>
      </c>
      <c r="B133">
        <f>'Double Dutch Single Freestyle'!A33</f>
        <v>10</v>
      </c>
      <c r="C133" t="str">
        <f>'Double Dutch Single Freestyle'!B33</f>
        <v>DDSF</v>
      </c>
      <c r="D133" t="str">
        <f>'Double Dutch Single Freestyle'!C33</f>
        <v>11-12</v>
      </c>
      <c r="E133">
        <f>'Double Dutch Single Freestyle'!D33</f>
        <v>0</v>
      </c>
      <c r="F133">
        <f>'Double Dutch Single Freestyle'!F33</f>
        <v>0</v>
      </c>
      <c r="G133">
        <f>'Double Dutch Single Freestyle'!H33</f>
        <v>0</v>
      </c>
      <c r="I133" t="str">
        <f t="shared" si="2"/>
        <v>DDSF-Double Dutch Single Freestyle</v>
      </c>
    </row>
    <row r="134" spans="1:9" x14ac:dyDescent="0.25">
      <c r="A134">
        <f>'Team Info'!$B$3</f>
        <v>0</v>
      </c>
      <c r="B134">
        <f>'Double Dutch Single Freestyle'!A34</f>
        <v>11</v>
      </c>
      <c r="C134" t="str">
        <f>'Double Dutch Single Freestyle'!B34</f>
        <v>DDSF</v>
      </c>
      <c r="D134" t="str">
        <f>'Double Dutch Single Freestyle'!C34</f>
        <v>11-12</v>
      </c>
      <c r="E134">
        <f>'Double Dutch Single Freestyle'!D34</f>
        <v>0</v>
      </c>
      <c r="F134">
        <f>'Double Dutch Single Freestyle'!F34</f>
        <v>0</v>
      </c>
      <c r="G134">
        <f>'Double Dutch Single Freestyle'!H34</f>
        <v>0</v>
      </c>
      <c r="I134" t="str">
        <f t="shared" si="2"/>
        <v>DDSF-Double Dutch Single Freestyle</v>
      </c>
    </row>
    <row r="135" spans="1:9" x14ac:dyDescent="0.25">
      <c r="A135">
        <f>'Team Info'!$B$3</f>
        <v>0</v>
      </c>
      <c r="B135">
        <f>'Double Dutch Single Freestyle'!A35</f>
        <v>12</v>
      </c>
      <c r="C135" t="str">
        <f>'Double Dutch Single Freestyle'!B35</f>
        <v>DDSF</v>
      </c>
      <c r="D135" t="str">
        <f>'Double Dutch Single Freestyle'!C35</f>
        <v>11-12</v>
      </c>
      <c r="E135">
        <f>'Double Dutch Single Freestyle'!D35</f>
        <v>0</v>
      </c>
      <c r="F135">
        <f>'Double Dutch Single Freestyle'!F35</f>
        <v>0</v>
      </c>
      <c r="G135">
        <f>'Double Dutch Single Freestyle'!H35</f>
        <v>0</v>
      </c>
      <c r="I135" t="str">
        <f t="shared" si="2"/>
        <v>DDSF-Double Dutch Single Freestyle</v>
      </c>
    </row>
    <row r="136" spans="1:9" x14ac:dyDescent="0.25">
      <c r="A136">
        <f>'Team Info'!$B$3</f>
        <v>0</v>
      </c>
      <c r="B136">
        <f>'Double Dutch Single Freestyle'!A36</f>
        <v>13</v>
      </c>
      <c r="C136" t="str">
        <f>'Double Dutch Single Freestyle'!B36</f>
        <v>DDSF</v>
      </c>
      <c r="D136" t="str">
        <f>'Double Dutch Single Freestyle'!C36</f>
        <v>11-12</v>
      </c>
      <c r="E136">
        <f>'Double Dutch Single Freestyle'!D36</f>
        <v>0</v>
      </c>
      <c r="F136">
        <f>'Double Dutch Single Freestyle'!F36</f>
        <v>0</v>
      </c>
      <c r="G136">
        <f>'Double Dutch Single Freestyle'!H36</f>
        <v>0</v>
      </c>
      <c r="I136" t="str">
        <f t="shared" si="2"/>
        <v>DDSF-Double Dutch Single Freestyle</v>
      </c>
    </row>
    <row r="137" spans="1:9" x14ac:dyDescent="0.25">
      <c r="A137">
        <f>'Team Info'!$B$3</f>
        <v>0</v>
      </c>
      <c r="B137">
        <f>'Double Dutch Single Freestyle'!A37</f>
        <v>14</v>
      </c>
      <c r="C137" t="str">
        <f>'Double Dutch Single Freestyle'!B37</f>
        <v>DDSF</v>
      </c>
      <c r="D137" t="str">
        <f>'Double Dutch Single Freestyle'!C37</f>
        <v>11-12</v>
      </c>
      <c r="E137">
        <f>'Double Dutch Single Freestyle'!D37</f>
        <v>0</v>
      </c>
      <c r="F137">
        <f>'Double Dutch Single Freestyle'!F37</f>
        <v>0</v>
      </c>
      <c r="G137">
        <f>'Double Dutch Single Freestyle'!H37</f>
        <v>0</v>
      </c>
      <c r="I137" t="str">
        <f t="shared" si="2"/>
        <v>DDSF-Double Dutch Single Freestyle</v>
      </c>
    </row>
    <row r="138" spans="1:9" x14ac:dyDescent="0.25">
      <c r="A138">
        <f>'Team Info'!$B$3</f>
        <v>0</v>
      </c>
      <c r="B138">
        <f>'Double Dutch Single Freestyle'!A38</f>
        <v>15</v>
      </c>
      <c r="C138" t="str">
        <f>'Double Dutch Single Freestyle'!B38</f>
        <v>DDSF</v>
      </c>
      <c r="D138" t="str">
        <f>'Double Dutch Single Freestyle'!C38</f>
        <v>11-12</v>
      </c>
      <c r="E138">
        <f>'Double Dutch Single Freestyle'!D38</f>
        <v>0</v>
      </c>
      <c r="F138">
        <f>'Double Dutch Single Freestyle'!F38</f>
        <v>0</v>
      </c>
      <c r="G138">
        <f>'Double Dutch Single Freestyle'!H38</f>
        <v>0</v>
      </c>
      <c r="I138" t="str">
        <f t="shared" ref="I138:I201" si="5">VLOOKUP(C138,EVENTS,2,FALSE)</f>
        <v>DDSF-Double Dutch Single Freestyle</v>
      </c>
    </row>
    <row r="139" spans="1:9" x14ac:dyDescent="0.25">
      <c r="A139">
        <f>'Team Info'!$B$3</f>
        <v>0</v>
      </c>
      <c r="B139">
        <f>'Double Dutch Single Freestyle'!A42</f>
        <v>1</v>
      </c>
      <c r="C139" t="str">
        <f>'Double Dutch Single Freestyle'!B42</f>
        <v>DDSF</v>
      </c>
      <c r="D139" t="str">
        <f>'Double Dutch Single Freestyle'!C42</f>
        <v>13-14</v>
      </c>
      <c r="E139">
        <f>'Double Dutch Single Freestyle'!D42</f>
        <v>0</v>
      </c>
      <c r="F139">
        <f>'Double Dutch Single Freestyle'!F42</f>
        <v>0</v>
      </c>
      <c r="G139">
        <f>'Double Dutch Single Freestyle'!H42</f>
        <v>0</v>
      </c>
      <c r="I139" t="str">
        <f t="shared" si="5"/>
        <v>DDSF-Double Dutch Single Freestyle</v>
      </c>
    </row>
    <row r="140" spans="1:9" x14ac:dyDescent="0.25">
      <c r="A140">
        <f>'Team Info'!$B$3</f>
        <v>0</v>
      </c>
      <c r="B140">
        <f>'Double Dutch Single Freestyle'!A43</f>
        <v>2</v>
      </c>
      <c r="C140" t="str">
        <f>'Double Dutch Single Freestyle'!B43</f>
        <v>DDSF</v>
      </c>
      <c r="D140" t="str">
        <f>'Double Dutch Single Freestyle'!C43</f>
        <v>13-14</v>
      </c>
      <c r="E140">
        <f>'Double Dutch Single Freestyle'!D43</f>
        <v>0</v>
      </c>
      <c r="F140">
        <f>'Double Dutch Single Freestyle'!F43</f>
        <v>0</v>
      </c>
      <c r="G140">
        <f>'Double Dutch Single Freestyle'!H43</f>
        <v>0</v>
      </c>
      <c r="I140" t="str">
        <f t="shared" si="5"/>
        <v>DDSF-Double Dutch Single Freestyle</v>
      </c>
    </row>
    <row r="141" spans="1:9" x14ac:dyDescent="0.25">
      <c r="A141">
        <f>'Team Info'!$B$3</f>
        <v>0</v>
      </c>
      <c r="B141">
        <f>'Double Dutch Single Freestyle'!A44</f>
        <v>3</v>
      </c>
      <c r="C141" t="str">
        <f>'Double Dutch Single Freestyle'!B44</f>
        <v>DDSF</v>
      </c>
      <c r="D141" t="str">
        <f>'Double Dutch Single Freestyle'!C44</f>
        <v>13-14</v>
      </c>
      <c r="E141">
        <f>'Double Dutch Single Freestyle'!D44</f>
        <v>0</v>
      </c>
      <c r="F141">
        <f>'Double Dutch Single Freestyle'!F44</f>
        <v>0</v>
      </c>
      <c r="G141">
        <f>'Double Dutch Single Freestyle'!H44</f>
        <v>0</v>
      </c>
      <c r="I141" t="str">
        <f t="shared" si="5"/>
        <v>DDSF-Double Dutch Single Freestyle</v>
      </c>
    </row>
    <row r="142" spans="1:9" x14ac:dyDescent="0.25">
      <c r="A142">
        <f>'Team Info'!$B$3</f>
        <v>0</v>
      </c>
      <c r="B142">
        <f>'Double Dutch Single Freestyle'!A45</f>
        <v>4</v>
      </c>
      <c r="C142" t="str">
        <f>'Double Dutch Single Freestyle'!B45</f>
        <v>DDSF</v>
      </c>
      <c r="D142" t="str">
        <f>'Double Dutch Single Freestyle'!C45</f>
        <v>13-14</v>
      </c>
      <c r="E142">
        <f>'Double Dutch Single Freestyle'!D45</f>
        <v>0</v>
      </c>
      <c r="F142">
        <f>'Double Dutch Single Freestyle'!F45</f>
        <v>0</v>
      </c>
      <c r="G142">
        <f>'Double Dutch Single Freestyle'!H45</f>
        <v>0</v>
      </c>
      <c r="I142" t="str">
        <f t="shared" si="5"/>
        <v>DDSF-Double Dutch Single Freestyle</v>
      </c>
    </row>
    <row r="143" spans="1:9" x14ac:dyDescent="0.25">
      <c r="A143">
        <f>'Team Info'!$B$3</f>
        <v>0</v>
      </c>
      <c r="B143">
        <f>'Double Dutch Single Freestyle'!A46</f>
        <v>5</v>
      </c>
      <c r="C143" t="str">
        <f>'Double Dutch Single Freestyle'!B46</f>
        <v>DDSF</v>
      </c>
      <c r="D143" t="str">
        <f>'Double Dutch Single Freestyle'!C46</f>
        <v>13-14</v>
      </c>
      <c r="E143">
        <f>'Double Dutch Single Freestyle'!D46</f>
        <v>0</v>
      </c>
      <c r="F143">
        <f>'Double Dutch Single Freestyle'!F46</f>
        <v>0</v>
      </c>
      <c r="G143">
        <f>'Double Dutch Single Freestyle'!H46</f>
        <v>0</v>
      </c>
      <c r="I143" t="str">
        <f t="shared" si="5"/>
        <v>DDSF-Double Dutch Single Freestyle</v>
      </c>
    </row>
    <row r="144" spans="1:9" x14ac:dyDescent="0.25">
      <c r="A144">
        <f>'Team Info'!$B$3</f>
        <v>0</v>
      </c>
      <c r="B144">
        <f>'Double Dutch Single Freestyle'!A47</f>
        <v>6</v>
      </c>
      <c r="C144" t="str">
        <f>'Double Dutch Single Freestyle'!B47</f>
        <v>DDSF</v>
      </c>
      <c r="D144" t="str">
        <f>'Double Dutch Single Freestyle'!C47</f>
        <v>13-14</v>
      </c>
      <c r="E144">
        <f>'Double Dutch Single Freestyle'!D47</f>
        <v>0</v>
      </c>
      <c r="F144">
        <f>'Double Dutch Single Freestyle'!F47</f>
        <v>0</v>
      </c>
      <c r="G144">
        <f>'Double Dutch Single Freestyle'!H47</f>
        <v>0</v>
      </c>
      <c r="I144" t="str">
        <f t="shared" si="5"/>
        <v>DDSF-Double Dutch Single Freestyle</v>
      </c>
    </row>
    <row r="145" spans="1:9" x14ac:dyDescent="0.25">
      <c r="A145">
        <f>'Team Info'!$B$3</f>
        <v>0</v>
      </c>
      <c r="B145">
        <f>'Double Dutch Single Freestyle'!A48</f>
        <v>7</v>
      </c>
      <c r="C145" t="str">
        <f>'Double Dutch Single Freestyle'!B48</f>
        <v>DDSF</v>
      </c>
      <c r="D145" t="str">
        <f>'Double Dutch Single Freestyle'!C48</f>
        <v>13-14</v>
      </c>
      <c r="E145">
        <f>'Double Dutch Single Freestyle'!D48</f>
        <v>0</v>
      </c>
      <c r="F145">
        <f>'Double Dutch Single Freestyle'!F48</f>
        <v>0</v>
      </c>
      <c r="G145">
        <f>'Double Dutch Single Freestyle'!H48</f>
        <v>0</v>
      </c>
      <c r="I145" t="str">
        <f t="shared" si="5"/>
        <v>DDSF-Double Dutch Single Freestyle</v>
      </c>
    </row>
    <row r="146" spans="1:9" x14ac:dyDescent="0.25">
      <c r="A146">
        <f>'Team Info'!$B$3</f>
        <v>0</v>
      </c>
      <c r="B146">
        <f>'Double Dutch Single Freestyle'!A49</f>
        <v>8</v>
      </c>
      <c r="C146" t="str">
        <f>'Double Dutch Single Freestyle'!B49</f>
        <v>DDSF</v>
      </c>
      <c r="D146" t="str">
        <f>'Double Dutch Single Freestyle'!C49</f>
        <v>13-14</v>
      </c>
      <c r="E146">
        <f>'Double Dutch Single Freestyle'!D49</f>
        <v>0</v>
      </c>
      <c r="F146">
        <f>'Double Dutch Single Freestyle'!F49</f>
        <v>0</v>
      </c>
      <c r="G146">
        <f>'Double Dutch Single Freestyle'!H49</f>
        <v>0</v>
      </c>
      <c r="I146" t="str">
        <f t="shared" si="5"/>
        <v>DDSF-Double Dutch Single Freestyle</v>
      </c>
    </row>
    <row r="147" spans="1:9" x14ac:dyDescent="0.25">
      <c r="A147">
        <f>'Team Info'!$B$3</f>
        <v>0</v>
      </c>
      <c r="B147">
        <f>'Double Dutch Single Freestyle'!A50</f>
        <v>9</v>
      </c>
      <c r="C147" t="str">
        <f>'Double Dutch Single Freestyle'!B50</f>
        <v>DDSF</v>
      </c>
      <c r="D147" t="str">
        <f>'Double Dutch Single Freestyle'!C50</f>
        <v>13-14</v>
      </c>
      <c r="E147">
        <f>'Double Dutch Single Freestyle'!D50</f>
        <v>0</v>
      </c>
      <c r="F147">
        <f>'Double Dutch Single Freestyle'!F50</f>
        <v>0</v>
      </c>
      <c r="G147">
        <f>'Double Dutch Single Freestyle'!H50</f>
        <v>0</v>
      </c>
      <c r="I147" t="str">
        <f t="shared" si="5"/>
        <v>DDSF-Double Dutch Single Freestyle</v>
      </c>
    </row>
    <row r="148" spans="1:9" x14ac:dyDescent="0.25">
      <c r="A148">
        <f>'Team Info'!$B$3</f>
        <v>0</v>
      </c>
      <c r="B148">
        <f>'Double Dutch Single Freestyle'!A51</f>
        <v>10</v>
      </c>
      <c r="C148" t="str">
        <f>'Double Dutch Single Freestyle'!B51</f>
        <v>DDSF</v>
      </c>
      <c r="D148" t="str">
        <f>'Double Dutch Single Freestyle'!C51</f>
        <v>13-14</v>
      </c>
      <c r="E148">
        <f>'Double Dutch Single Freestyle'!D51</f>
        <v>0</v>
      </c>
      <c r="F148">
        <f>'Double Dutch Single Freestyle'!F51</f>
        <v>0</v>
      </c>
      <c r="G148">
        <f>'Double Dutch Single Freestyle'!H51</f>
        <v>0</v>
      </c>
      <c r="I148" t="str">
        <f t="shared" si="5"/>
        <v>DDSF-Double Dutch Single Freestyle</v>
      </c>
    </row>
    <row r="149" spans="1:9" x14ac:dyDescent="0.25">
      <c r="A149">
        <f>'Team Info'!$B$3</f>
        <v>0</v>
      </c>
      <c r="B149">
        <f>'Double Dutch Single Freestyle'!A52</f>
        <v>11</v>
      </c>
      <c r="C149" t="str">
        <f>'Double Dutch Single Freestyle'!B52</f>
        <v>DDSF</v>
      </c>
      <c r="D149" t="str">
        <f>'Double Dutch Single Freestyle'!C52</f>
        <v>13-14</v>
      </c>
      <c r="E149">
        <f>'Double Dutch Single Freestyle'!D52</f>
        <v>0</v>
      </c>
      <c r="F149">
        <f>'Double Dutch Single Freestyle'!F52</f>
        <v>0</v>
      </c>
      <c r="G149">
        <f>'Double Dutch Single Freestyle'!H52</f>
        <v>0</v>
      </c>
      <c r="I149" t="str">
        <f t="shared" si="5"/>
        <v>DDSF-Double Dutch Single Freestyle</v>
      </c>
    </row>
    <row r="150" spans="1:9" x14ac:dyDescent="0.25">
      <c r="A150">
        <f>'Team Info'!$B$3</f>
        <v>0</v>
      </c>
      <c r="B150">
        <f>'Double Dutch Single Freestyle'!A53</f>
        <v>12</v>
      </c>
      <c r="C150" t="str">
        <f>'Double Dutch Single Freestyle'!B53</f>
        <v>DDSF</v>
      </c>
      <c r="D150" t="str">
        <f>'Double Dutch Single Freestyle'!C53</f>
        <v>13-14</v>
      </c>
      <c r="E150">
        <f>'Double Dutch Single Freestyle'!D53</f>
        <v>0</v>
      </c>
      <c r="F150">
        <f>'Double Dutch Single Freestyle'!F53</f>
        <v>0</v>
      </c>
      <c r="G150">
        <f>'Double Dutch Single Freestyle'!H53</f>
        <v>0</v>
      </c>
      <c r="I150" t="str">
        <f t="shared" si="5"/>
        <v>DDSF-Double Dutch Single Freestyle</v>
      </c>
    </row>
    <row r="151" spans="1:9" x14ac:dyDescent="0.25">
      <c r="A151">
        <f>'Team Info'!$B$3</f>
        <v>0</v>
      </c>
      <c r="B151">
        <f>'Double Dutch Single Freestyle'!A88</f>
        <v>1</v>
      </c>
      <c r="C151" t="str">
        <f>'Double Dutch Single Freestyle'!B88</f>
        <v>DDSF</v>
      </c>
      <c r="D151" t="str">
        <f>'Double Dutch Single Freestyle'!C88</f>
        <v>15-17</v>
      </c>
      <c r="E151">
        <f>'Double Dutch Single Freestyle'!D88</f>
        <v>0</v>
      </c>
      <c r="F151">
        <f>'Double Dutch Single Freestyle'!F88</f>
        <v>0</v>
      </c>
      <c r="G151">
        <f>'Double Dutch Single Freestyle'!H88</f>
        <v>0</v>
      </c>
      <c r="I151" t="str">
        <f t="shared" si="5"/>
        <v>DDSF-Double Dutch Single Freestyle</v>
      </c>
    </row>
    <row r="152" spans="1:9" x14ac:dyDescent="0.25">
      <c r="A152">
        <f>'Team Info'!$B$3</f>
        <v>0</v>
      </c>
      <c r="B152">
        <f>'Double Dutch Single Freestyle'!A89</f>
        <v>2</v>
      </c>
      <c r="C152" t="str">
        <f>'Double Dutch Single Freestyle'!B89</f>
        <v>DDSF</v>
      </c>
      <c r="D152" t="str">
        <f>'Double Dutch Single Freestyle'!C89</f>
        <v>15-17</v>
      </c>
      <c r="E152">
        <f>'Double Dutch Single Freestyle'!D89</f>
        <v>0</v>
      </c>
      <c r="F152">
        <f>'Double Dutch Single Freestyle'!F89</f>
        <v>0</v>
      </c>
      <c r="G152">
        <f>'Double Dutch Single Freestyle'!H89</f>
        <v>0</v>
      </c>
      <c r="I152" t="str">
        <f t="shared" si="5"/>
        <v>DDSF-Double Dutch Single Freestyle</v>
      </c>
    </row>
    <row r="153" spans="1:9" x14ac:dyDescent="0.25">
      <c r="A153">
        <f>'Team Info'!$B$3</f>
        <v>0</v>
      </c>
      <c r="B153">
        <f>'Double Dutch Single Freestyle'!A90</f>
        <v>3</v>
      </c>
      <c r="C153" t="str">
        <f>'Double Dutch Single Freestyle'!B90</f>
        <v>DDSF</v>
      </c>
      <c r="D153" t="str">
        <f>'Double Dutch Single Freestyle'!C90</f>
        <v>15-17</v>
      </c>
      <c r="E153">
        <f>'Double Dutch Single Freestyle'!D90</f>
        <v>0</v>
      </c>
      <c r="F153">
        <f>'Double Dutch Single Freestyle'!F90</f>
        <v>0</v>
      </c>
      <c r="G153">
        <f>'Double Dutch Single Freestyle'!H90</f>
        <v>0</v>
      </c>
      <c r="I153" t="str">
        <f t="shared" si="5"/>
        <v>DDSF-Double Dutch Single Freestyle</v>
      </c>
    </row>
    <row r="154" spans="1:9" x14ac:dyDescent="0.25">
      <c r="A154">
        <f>'Team Info'!$B$3</f>
        <v>0</v>
      </c>
      <c r="B154">
        <f>'Double Dutch Single Freestyle'!A91</f>
        <v>4</v>
      </c>
      <c r="C154" t="str">
        <f>'Double Dutch Single Freestyle'!B91</f>
        <v>DDSF</v>
      </c>
      <c r="D154" t="str">
        <f>'Double Dutch Single Freestyle'!C91</f>
        <v>15-17</v>
      </c>
      <c r="E154">
        <f>'Double Dutch Single Freestyle'!D91</f>
        <v>0</v>
      </c>
      <c r="F154">
        <f>'Double Dutch Single Freestyle'!F91</f>
        <v>0</v>
      </c>
      <c r="G154">
        <f>'Double Dutch Single Freestyle'!H91</f>
        <v>0</v>
      </c>
      <c r="I154" t="str">
        <f t="shared" si="5"/>
        <v>DDSF-Double Dutch Single Freestyle</v>
      </c>
    </row>
    <row r="155" spans="1:9" x14ac:dyDescent="0.25">
      <c r="A155">
        <f>'Team Info'!$B$3</f>
        <v>0</v>
      </c>
      <c r="B155">
        <f>'Double Dutch Single Freestyle'!A92</f>
        <v>5</v>
      </c>
      <c r="C155" t="str">
        <f>'Double Dutch Single Freestyle'!B92</f>
        <v>DDSF</v>
      </c>
      <c r="D155" t="str">
        <f>'Double Dutch Single Freestyle'!C92</f>
        <v>15-17</v>
      </c>
      <c r="E155">
        <f>'Double Dutch Single Freestyle'!D92</f>
        <v>0</v>
      </c>
      <c r="F155">
        <f>'Double Dutch Single Freestyle'!F92</f>
        <v>0</v>
      </c>
      <c r="G155">
        <f>'Double Dutch Single Freestyle'!H92</f>
        <v>0</v>
      </c>
      <c r="I155" t="str">
        <f t="shared" si="5"/>
        <v>DDSF-Double Dutch Single Freestyle</v>
      </c>
    </row>
    <row r="156" spans="1:9" x14ac:dyDescent="0.25">
      <c r="A156">
        <f>'Team Info'!$B$3</f>
        <v>0</v>
      </c>
      <c r="B156">
        <f>'Double Dutch Single Freestyle'!A93</f>
        <v>6</v>
      </c>
      <c r="C156" t="str">
        <f>'Double Dutch Single Freestyle'!B93</f>
        <v>DDSF</v>
      </c>
      <c r="D156" t="str">
        <f>'Double Dutch Single Freestyle'!C93</f>
        <v>15-17</v>
      </c>
      <c r="E156">
        <f>'Double Dutch Single Freestyle'!D93</f>
        <v>0</v>
      </c>
      <c r="F156">
        <f>'Double Dutch Single Freestyle'!F93</f>
        <v>0</v>
      </c>
      <c r="G156">
        <f>'Double Dutch Single Freestyle'!H93</f>
        <v>0</v>
      </c>
      <c r="I156" t="str">
        <f t="shared" si="5"/>
        <v>DDSF-Double Dutch Single Freestyle</v>
      </c>
    </row>
    <row r="157" spans="1:9" x14ac:dyDescent="0.25">
      <c r="A157">
        <f>'Team Info'!$B$3</f>
        <v>0</v>
      </c>
      <c r="B157">
        <f>'Double Dutch Single Freestyle'!A94</f>
        <v>7</v>
      </c>
      <c r="C157" t="str">
        <f>'Double Dutch Single Freestyle'!B94</f>
        <v>DDSF</v>
      </c>
      <c r="D157" t="str">
        <f>'Double Dutch Single Freestyle'!C94</f>
        <v>15-17</v>
      </c>
      <c r="E157">
        <f>'Double Dutch Single Freestyle'!D94</f>
        <v>0</v>
      </c>
      <c r="F157">
        <f>'Double Dutch Single Freestyle'!F94</f>
        <v>0</v>
      </c>
      <c r="G157">
        <f>'Double Dutch Single Freestyle'!H94</f>
        <v>0</v>
      </c>
      <c r="I157" t="str">
        <f t="shared" si="5"/>
        <v>DDSF-Double Dutch Single Freestyle</v>
      </c>
    </row>
    <row r="158" spans="1:9" x14ac:dyDescent="0.25">
      <c r="A158">
        <f>'Team Info'!$B$3</f>
        <v>0</v>
      </c>
      <c r="B158">
        <f>'Double Dutch Single Freestyle'!A95</f>
        <v>8</v>
      </c>
      <c r="C158" t="str">
        <f>'Double Dutch Single Freestyle'!B95</f>
        <v>DDSF</v>
      </c>
      <c r="D158" t="str">
        <f>'Double Dutch Single Freestyle'!C95</f>
        <v>15-17</v>
      </c>
      <c r="E158">
        <f>'Double Dutch Single Freestyle'!D95</f>
        <v>0</v>
      </c>
      <c r="F158">
        <f>'Double Dutch Single Freestyle'!F95</f>
        <v>0</v>
      </c>
      <c r="G158">
        <f>'Double Dutch Single Freestyle'!H95</f>
        <v>0</v>
      </c>
      <c r="I158" t="str">
        <f t="shared" si="5"/>
        <v>DDSF-Double Dutch Single Freestyle</v>
      </c>
    </row>
    <row r="159" spans="1:9" x14ac:dyDescent="0.25">
      <c r="A159">
        <f>'Team Info'!$B$3</f>
        <v>0</v>
      </c>
      <c r="B159">
        <f>'Double Dutch Single Freestyle'!A99</f>
        <v>1</v>
      </c>
      <c r="C159" t="str">
        <f>'Double Dutch Single Freestyle'!B99</f>
        <v>DDSF</v>
      </c>
      <c r="D159" t="str">
        <f>'Double Dutch Single Freestyle'!C99</f>
        <v>18-over</v>
      </c>
      <c r="E159">
        <f>'Double Dutch Single Freestyle'!D99</f>
        <v>0</v>
      </c>
      <c r="F159">
        <f>'Double Dutch Single Freestyle'!F99</f>
        <v>0</v>
      </c>
      <c r="G159">
        <f>'Double Dutch Single Freestyle'!H99</f>
        <v>0</v>
      </c>
      <c r="I159" t="str">
        <f t="shared" si="5"/>
        <v>DDSF-Double Dutch Single Freestyle</v>
      </c>
    </row>
    <row r="160" spans="1:9" x14ac:dyDescent="0.25">
      <c r="A160">
        <f>'Team Info'!$B$3</f>
        <v>0</v>
      </c>
      <c r="B160">
        <f>'Double Dutch Single Freestyle'!A100</f>
        <v>2</v>
      </c>
      <c r="C160" t="str">
        <f>'Double Dutch Single Freestyle'!B100</f>
        <v>DDSF</v>
      </c>
      <c r="D160" t="str">
        <f>'Double Dutch Single Freestyle'!C100</f>
        <v>18-over</v>
      </c>
      <c r="E160">
        <f>'Double Dutch Single Freestyle'!D100</f>
        <v>0</v>
      </c>
      <c r="F160">
        <f>'Double Dutch Single Freestyle'!F100</f>
        <v>0</v>
      </c>
      <c r="G160">
        <f>'Double Dutch Single Freestyle'!H100</f>
        <v>0</v>
      </c>
      <c r="I160" t="str">
        <f t="shared" si="5"/>
        <v>DDSF-Double Dutch Single Freestyle</v>
      </c>
    </row>
    <row r="161" spans="1:9" x14ac:dyDescent="0.25">
      <c r="A161">
        <f>'Team Info'!$B$3</f>
        <v>0</v>
      </c>
      <c r="B161">
        <f>'Double Dutch Single Freestyle'!A101</f>
        <v>3</v>
      </c>
      <c r="C161" t="str">
        <f>'Double Dutch Single Freestyle'!B101</f>
        <v>DDSF</v>
      </c>
      <c r="D161" t="str">
        <f>'Double Dutch Single Freestyle'!C101</f>
        <v>18-over</v>
      </c>
      <c r="E161">
        <f>'Double Dutch Single Freestyle'!D101</f>
        <v>0</v>
      </c>
      <c r="F161">
        <f>'Double Dutch Single Freestyle'!F101</f>
        <v>0</v>
      </c>
      <c r="G161">
        <f>'Double Dutch Single Freestyle'!H101</f>
        <v>0</v>
      </c>
      <c r="I161" t="str">
        <f t="shared" si="5"/>
        <v>DDSF-Double Dutch Single Freestyle</v>
      </c>
    </row>
    <row r="162" spans="1:9" x14ac:dyDescent="0.25">
      <c r="A162">
        <f>'Team Info'!$B$3</f>
        <v>0</v>
      </c>
      <c r="B162">
        <f>'Double Dutch Single Freestyle'!A102</f>
        <v>4</v>
      </c>
      <c r="C162" t="str">
        <f>'Double Dutch Single Freestyle'!B102</f>
        <v>DDSF</v>
      </c>
      <c r="D162" t="str">
        <f>'Double Dutch Single Freestyle'!C102</f>
        <v>18-over</v>
      </c>
      <c r="E162">
        <f>'Double Dutch Single Freestyle'!D102</f>
        <v>0</v>
      </c>
      <c r="F162">
        <f>'Double Dutch Single Freestyle'!F102</f>
        <v>0</v>
      </c>
      <c r="G162">
        <f>'Double Dutch Single Freestyle'!H102</f>
        <v>0</v>
      </c>
      <c r="I162" t="str">
        <f t="shared" si="5"/>
        <v>DDSF-Double Dutch Single Freestyle</v>
      </c>
    </row>
    <row r="163" spans="1:9" x14ac:dyDescent="0.25">
      <c r="A163">
        <f>'Team Info'!$B$3</f>
        <v>0</v>
      </c>
      <c r="B163">
        <f>'Double Dutch Single Freestyle'!A103</f>
        <v>5</v>
      </c>
      <c r="C163" t="str">
        <f>'Double Dutch Single Freestyle'!B103</f>
        <v>DDSF</v>
      </c>
      <c r="D163" t="str">
        <f>'Double Dutch Single Freestyle'!C103</f>
        <v>18-over</v>
      </c>
      <c r="E163">
        <f>'Double Dutch Single Freestyle'!D103</f>
        <v>0</v>
      </c>
      <c r="F163">
        <f>'Double Dutch Single Freestyle'!F103</f>
        <v>0</v>
      </c>
      <c r="G163">
        <f>'Double Dutch Single Freestyle'!H103</f>
        <v>0</v>
      </c>
      <c r="I163" t="str">
        <f t="shared" si="5"/>
        <v>DDSF-Double Dutch Single Freestyle</v>
      </c>
    </row>
    <row r="164" spans="1:9" x14ac:dyDescent="0.25">
      <c r="A164">
        <f>'Team Info'!$B$3</f>
        <v>0</v>
      </c>
      <c r="B164">
        <f>'Double Dutch Single Freestyle'!A104</f>
        <v>6</v>
      </c>
      <c r="C164" t="str">
        <f>'Double Dutch Single Freestyle'!B104</f>
        <v>DDSF</v>
      </c>
      <c r="D164" t="str">
        <f>'Double Dutch Single Freestyle'!C104</f>
        <v>18-over</v>
      </c>
      <c r="E164">
        <f>'Double Dutch Single Freestyle'!D104</f>
        <v>0</v>
      </c>
      <c r="F164">
        <f>'Double Dutch Single Freestyle'!F104</f>
        <v>0</v>
      </c>
      <c r="G164">
        <f>'Double Dutch Single Freestyle'!H104</f>
        <v>0</v>
      </c>
      <c r="I164" t="str">
        <f t="shared" si="5"/>
        <v>DDSF-Double Dutch Single Freestyle</v>
      </c>
    </row>
    <row r="165" spans="1:9" x14ac:dyDescent="0.25">
      <c r="A165">
        <f>'Team Info'!$B$3</f>
        <v>0</v>
      </c>
      <c r="B165">
        <f>'Double Dutch Single Freestyle'!A105</f>
        <v>7</v>
      </c>
      <c r="C165" t="str">
        <f>'Double Dutch Single Freestyle'!B105</f>
        <v>DDSF</v>
      </c>
      <c r="D165" t="str">
        <f>'Double Dutch Single Freestyle'!C105</f>
        <v>18-over</v>
      </c>
      <c r="E165">
        <f>'Double Dutch Single Freestyle'!D105</f>
        <v>0</v>
      </c>
      <c r="F165">
        <f>'Double Dutch Single Freestyle'!F105</f>
        <v>0</v>
      </c>
      <c r="G165">
        <f>'Double Dutch Single Freestyle'!H105</f>
        <v>0</v>
      </c>
      <c r="I165" t="str">
        <f t="shared" si="5"/>
        <v>DDSF-Double Dutch Single Freestyle</v>
      </c>
    </row>
    <row r="166" spans="1:9" x14ac:dyDescent="0.25">
      <c r="A166">
        <f>'Team Info'!$B$3</f>
        <v>0</v>
      </c>
      <c r="B166">
        <f>'Double Dutch Single Freestyle'!A106</f>
        <v>8</v>
      </c>
      <c r="C166" t="str">
        <f>'Double Dutch Single Freestyle'!B106</f>
        <v>DDSF</v>
      </c>
      <c r="D166" t="str">
        <f>'Double Dutch Single Freestyle'!C106</f>
        <v>18-over</v>
      </c>
      <c r="E166">
        <f>'Double Dutch Single Freestyle'!D106</f>
        <v>0</v>
      </c>
      <c r="F166">
        <f>'Double Dutch Single Freestyle'!F106</f>
        <v>0</v>
      </c>
      <c r="G166">
        <f>'Double Dutch Single Freestyle'!H106</f>
        <v>0</v>
      </c>
      <c r="I166" t="str">
        <f t="shared" si="5"/>
        <v>DDSF-Double Dutch Single Freestyle</v>
      </c>
    </row>
    <row r="167" spans="1:9" x14ac:dyDescent="0.25">
      <c r="A167">
        <f>'Team Info'!$B$3</f>
        <v>0</v>
      </c>
      <c r="B167">
        <f>'Double Dutch Single Freestyle'!A57</f>
        <v>1</v>
      </c>
      <c r="C167" t="str">
        <f>'Double Dutch Single Freestyle'!B57</f>
        <v>DDSF</v>
      </c>
      <c r="D167" t="str">
        <f>'Double Dutch Single Freestyle'!C57</f>
        <v>30-over</v>
      </c>
      <c r="E167">
        <f>'Double Dutch Single Freestyle'!D57</f>
        <v>0</v>
      </c>
      <c r="F167">
        <f>'Double Dutch Single Freestyle'!F57</f>
        <v>0</v>
      </c>
      <c r="G167">
        <f>'Double Dutch Single Freestyle'!H57</f>
        <v>0</v>
      </c>
      <c r="I167" t="str">
        <f t="shared" si="5"/>
        <v>DDSF-Double Dutch Single Freestyle</v>
      </c>
    </row>
    <row r="168" spans="1:9" x14ac:dyDescent="0.25">
      <c r="A168">
        <f>'Team Info'!$B$3</f>
        <v>0</v>
      </c>
      <c r="B168">
        <f>'Double Dutch Single Freestyle'!A58</f>
        <v>2</v>
      </c>
      <c r="C168" t="str">
        <f>'Double Dutch Single Freestyle'!B58</f>
        <v>DDSF</v>
      </c>
      <c r="D168" t="str">
        <f>'Double Dutch Single Freestyle'!C58</f>
        <v>30-over</v>
      </c>
      <c r="E168">
        <f>'Double Dutch Single Freestyle'!D58</f>
        <v>0</v>
      </c>
      <c r="F168">
        <f>'Double Dutch Single Freestyle'!F58</f>
        <v>0</v>
      </c>
      <c r="G168">
        <f>'Double Dutch Single Freestyle'!H58</f>
        <v>0</v>
      </c>
      <c r="I168" t="str">
        <f t="shared" si="5"/>
        <v>DDSF-Double Dutch Single Freestyle</v>
      </c>
    </row>
    <row r="169" spans="1:9" x14ac:dyDescent="0.25">
      <c r="A169">
        <f>'Team Info'!$B$3</f>
        <v>0</v>
      </c>
      <c r="B169">
        <f>'Double Dutch Single Freestyle'!A59</f>
        <v>3</v>
      </c>
      <c r="C169" t="str">
        <f>'Double Dutch Single Freestyle'!B59</f>
        <v>DDSF</v>
      </c>
      <c r="D169" t="str">
        <f>'Double Dutch Single Freestyle'!C59</f>
        <v>30-over</v>
      </c>
      <c r="E169">
        <f>'Double Dutch Single Freestyle'!D59</f>
        <v>0</v>
      </c>
      <c r="F169">
        <f>'Double Dutch Single Freestyle'!F59</f>
        <v>0</v>
      </c>
      <c r="G169">
        <f>'Double Dutch Single Freestyle'!H59</f>
        <v>0</v>
      </c>
      <c r="I169" t="str">
        <f t="shared" si="5"/>
        <v>DDSF-Double Dutch Single Freestyle</v>
      </c>
    </row>
    <row r="170" spans="1:9" x14ac:dyDescent="0.25">
      <c r="A170">
        <f>'Team Info'!$B$3</f>
        <v>0</v>
      </c>
      <c r="B170">
        <f>'DD Speed Relay'!A5</f>
        <v>1</v>
      </c>
      <c r="C170" t="str">
        <f>'DD Speed Relay'!B5</f>
        <v>DDSR</v>
      </c>
      <c r="D170" t="str">
        <f>'DD Speed Relay'!C5</f>
        <v>10-under</v>
      </c>
      <c r="E170">
        <f>'DD Speed Relay'!D5</f>
        <v>0</v>
      </c>
      <c r="F170">
        <f>'DD Speed Relay'!F5</f>
        <v>0</v>
      </c>
      <c r="G170">
        <f>'DD Speed Relay'!H5</f>
        <v>0</v>
      </c>
      <c r="H170">
        <f>'DD Speed Relay'!J5</f>
        <v>0</v>
      </c>
      <c r="I170" t="str">
        <f t="shared" si="5"/>
        <v>DDSR-Double Dutch Speed Relay</v>
      </c>
    </row>
    <row r="171" spans="1:9" x14ac:dyDescent="0.25">
      <c r="A171">
        <f>'Team Info'!$B$3</f>
        <v>0</v>
      </c>
      <c r="B171">
        <f>'DD Speed Relay'!A6</f>
        <v>2</v>
      </c>
      <c r="C171" t="str">
        <f>'DD Speed Relay'!B6</f>
        <v>DDSR</v>
      </c>
      <c r="D171" t="str">
        <f>'DD Speed Relay'!C6</f>
        <v>10-under</v>
      </c>
      <c r="E171">
        <f>'DD Speed Relay'!D6</f>
        <v>0</v>
      </c>
      <c r="F171">
        <f>'DD Speed Relay'!F6</f>
        <v>0</v>
      </c>
      <c r="G171">
        <f>'DD Speed Relay'!H6</f>
        <v>0</v>
      </c>
      <c r="H171">
        <f>'DD Speed Relay'!J6</f>
        <v>0</v>
      </c>
      <c r="I171" t="str">
        <f t="shared" si="5"/>
        <v>DDSR-Double Dutch Speed Relay</v>
      </c>
    </row>
    <row r="172" spans="1:9" x14ac:dyDescent="0.25">
      <c r="A172">
        <f>'Team Info'!$B$3</f>
        <v>0</v>
      </c>
      <c r="B172">
        <f>'DD Speed Relay'!A7</f>
        <v>3</v>
      </c>
      <c r="C172" t="str">
        <f>'DD Speed Relay'!B7</f>
        <v>DDSR</v>
      </c>
      <c r="D172" t="str">
        <f>'DD Speed Relay'!C7</f>
        <v>10-under</v>
      </c>
      <c r="E172">
        <f>'DD Speed Relay'!D7</f>
        <v>0</v>
      </c>
      <c r="F172">
        <f>'DD Speed Relay'!F7</f>
        <v>0</v>
      </c>
      <c r="G172">
        <f>'DD Speed Relay'!H7</f>
        <v>0</v>
      </c>
      <c r="H172">
        <f>'DD Speed Relay'!J7</f>
        <v>0</v>
      </c>
      <c r="I172" t="str">
        <f t="shared" si="5"/>
        <v>DDSR-Double Dutch Speed Relay</v>
      </c>
    </row>
    <row r="173" spans="1:9" x14ac:dyDescent="0.25">
      <c r="A173">
        <f>'Team Info'!$B$3</f>
        <v>0</v>
      </c>
      <c r="B173">
        <f>'DD Speed Relay'!A8</f>
        <v>4</v>
      </c>
      <c r="C173" t="str">
        <f>'DD Speed Relay'!B8</f>
        <v>DDSR</v>
      </c>
      <c r="D173" t="str">
        <f>'DD Speed Relay'!C8</f>
        <v>10-under</v>
      </c>
      <c r="E173">
        <f>'DD Speed Relay'!D8</f>
        <v>0</v>
      </c>
      <c r="F173">
        <f>'DD Speed Relay'!F8</f>
        <v>0</v>
      </c>
      <c r="G173">
        <f>'DD Speed Relay'!H8</f>
        <v>0</v>
      </c>
      <c r="H173">
        <f>'DD Speed Relay'!J8</f>
        <v>0</v>
      </c>
      <c r="I173" t="str">
        <f t="shared" si="5"/>
        <v>DDSR-Double Dutch Speed Relay</v>
      </c>
    </row>
    <row r="174" spans="1:9" x14ac:dyDescent="0.25">
      <c r="A174">
        <f>'Team Info'!$B$3</f>
        <v>0</v>
      </c>
      <c r="B174">
        <f>'DD Speed Relay'!A9</f>
        <v>5</v>
      </c>
      <c r="C174" t="str">
        <f>'DD Speed Relay'!B9</f>
        <v>DDSR</v>
      </c>
      <c r="D174" t="str">
        <f>'DD Speed Relay'!C9</f>
        <v>10-under</v>
      </c>
      <c r="E174">
        <f>'DD Speed Relay'!D9</f>
        <v>0</v>
      </c>
      <c r="F174">
        <f>'DD Speed Relay'!F9</f>
        <v>0</v>
      </c>
      <c r="G174">
        <f>'DD Speed Relay'!H9</f>
        <v>0</v>
      </c>
      <c r="H174">
        <f>'DD Speed Relay'!J9</f>
        <v>0</v>
      </c>
      <c r="I174" t="str">
        <f t="shared" si="5"/>
        <v>DDSR-Double Dutch Speed Relay</v>
      </c>
    </row>
    <row r="175" spans="1:9" x14ac:dyDescent="0.25">
      <c r="A175">
        <f>'Team Info'!$B$3</f>
        <v>0</v>
      </c>
      <c r="B175">
        <f>'DD Speed Relay'!A10</f>
        <v>6</v>
      </c>
      <c r="C175" t="str">
        <f>'DD Speed Relay'!B10</f>
        <v>DDSR</v>
      </c>
      <c r="D175" t="str">
        <f>'DD Speed Relay'!C10</f>
        <v>10-under</v>
      </c>
      <c r="E175">
        <f>'DD Speed Relay'!D10</f>
        <v>0</v>
      </c>
      <c r="F175">
        <f>'DD Speed Relay'!F10</f>
        <v>0</v>
      </c>
      <c r="G175">
        <f>'DD Speed Relay'!H10</f>
        <v>0</v>
      </c>
      <c r="H175">
        <f>'DD Speed Relay'!J10</f>
        <v>0</v>
      </c>
      <c r="I175" t="str">
        <f t="shared" si="5"/>
        <v>DDSR-Double Dutch Speed Relay</v>
      </c>
    </row>
    <row r="176" spans="1:9" x14ac:dyDescent="0.25">
      <c r="A176">
        <f>'Team Info'!$B$3</f>
        <v>0</v>
      </c>
      <c r="B176">
        <f>'DD Speed Relay'!A11</f>
        <v>7</v>
      </c>
      <c r="C176" t="str">
        <f>'DD Speed Relay'!B11</f>
        <v>DDSR</v>
      </c>
      <c r="D176" t="str">
        <f>'DD Speed Relay'!C11</f>
        <v>10-under</v>
      </c>
      <c r="E176">
        <f>'DD Speed Relay'!D11</f>
        <v>0</v>
      </c>
      <c r="F176">
        <f>'DD Speed Relay'!F11</f>
        <v>0</v>
      </c>
      <c r="G176">
        <f>'DD Speed Relay'!H11</f>
        <v>0</v>
      </c>
      <c r="H176">
        <f>'DD Speed Relay'!J11</f>
        <v>0</v>
      </c>
      <c r="I176" t="str">
        <f t="shared" si="5"/>
        <v>DDSR-Double Dutch Speed Relay</v>
      </c>
    </row>
    <row r="177" spans="1:9" x14ac:dyDescent="0.25">
      <c r="A177">
        <f>'Team Info'!$B$3</f>
        <v>0</v>
      </c>
      <c r="B177">
        <f>'DD Speed Relay'!A12</f>
        <v>8</v>
      </c>
      <c r="C177" t="str">
        <f>'DD Speed Relay'!B12</f>
        <v>DDSR</v>
      </c>
      <c r="D177" t="str">
        <f>'DD Speed Relay'!C12</f>
        <v>10-under</v>
      </c>
      <c r="E177">
        <f>'DD Speed Relay'!D12</f>
        <v>0</v>
      </c>
      <c r="F177">
        <f>'DD Speed Relay'!F12</f>
        <v>0</v>
      </c>
      <c r="G177">
        <f>'DD Speed Relay'!H12</f>
        <v>0</v>
      </c>
      <c r="H177">
        <f>'DD Speed Relay'!J12</f>
        <v>0</v>
      </c>
      <c r="I177" t="str">
        <f t="shared" si="5"/>
        <v>DDSR-Double Dutch Speed Relay</v>
      </c>
    </row>
    <row r="178" spans="1:9" x14ac:dyDescent="0.25">
      <c r="A178">
        <f>'Team Info'!$B$3</f>
        <v>0</v>
      </c>
      <c r="B178">
        <f>'DD Speed Relay'!A13</f>
        <v>9</v>
      </c>
      <c r="C178" t="str">
        <f>'DD Speed Relay'!B13</f>
        <v>DDSR</v>
      </c>
      <c r="D178" t="str">
        <f>'DD Speed Relay'!C13</f>
        <v>10-under</v>
      </c>
      <c r="E178">
        <f>'DD Speed Relay'!D13</f>
        <v>0</v>
      </c>
      <c r="F178">
        <f>'DD Speed Relay'!F13</f>
        <v>0</v>
      </c>
      <c r="G178">
        <f>'DD Speed Relay'!H13</f>
        <v>0</v>
      </c>
      <c r="H178">
        <f>'DD Speed Relay'!J13</f>
        <v>0</v>
      </c>
      <c r="I178" t="str">
        <f t="shared" si="5"/>
        <v>DDSR-Double Dutch Speed Relay</v>
      </c>
    </row>
    <row r="179" spans="1:9" x14ac:dyDescent="0.25">
      <c r="A179">
        <f>'Team Info'!$B$3</f>
        <v>0</v>
      </c>
      <c r="B179">
        <f>'DD Speed Relay'!A14</f>
        <v>10</v>
      </c>
      <c r="C179" t="str">
        <f>'DD Speed Relay'!B14</f>
        <v>DDSR</v>
      </c>
      <c r="D179" t="str">
        <f>'DD Speed Relay'!C14</f>
        <v>10-under</v>
      </c>
      <c r="E179">
        <f>'DD Speed Relay'!D14</f>
        <v>0</v>
      </c>
      <c r="F179">
        <f>'DD Speed Relay'!F14</f>
        <v>0</v>
      </c>
      <c r="G179">
        <f>'DD Speed Relay'!H14</f>
        <v>0</v>
      </c>
      <c r="H179">
        <f>'DD Speed Relay'!J14</f>
        <v>0</v>
      </c>
      <c r="I179" t="str">
        <f t="shared" si="5"/>
        <v>DDSR-Double Dutch Speed Relay</v>
      </c>
    </row>
    <row r="180" spans="1:9" x14ac:dyDescent="0.25">
      <c r="A180">
        <f>'Team Info'!$B$3</f>
        <v>0</v>
      </c>
      <c r="B180">
        <f>'DD Speed Relay'!A15</f>
        <v>11</v>
      </c>
      <c r="C180" t="str">
        <f>'DD Speed Relay'!B15</f>
        <v>DDSR</v>
      </c>
      <c r="D180" t="str">
        <f>'DD Speed Relay'!C15</f>
        <v>10-under</v>
      </c>
      <c r="E180">
        <f>'DD Speed Relay'!D15</f>
        <v>0</v>
      </c>
      <c r="F180">
        <f>'DD Speed Relay'!F15</f>
        <v>0</v>
      </c>
      <c r="G180">
        <f>'DD Speed Relay'!H15</f>
        <v>0</v>
      </c>
      <c r="H180">
        <f>'DD Speed Relay'!J15</f>
        <v>0</v>
      </c>
      <c r="I180" t="str">
        <f t="shared" si="5"/>
        <v>DDSR-Double Dutch Speed Relay</v>
      </c>
    </row>
    <row r="181" spans="1:9" x14ac:dyDescent="0.25">
      <c r="A181">
        <f>'Team Info'!$B$3</f>
        <v>0</v>
      </c>
      <c r="B181">
        <f>'DD Speed Relay'!A16</f>
        <v>12</v>
      </c>
      <c r="C181" t="str">
        <f>'DD Speed Relay'!B16</f>
        <v>DDSR</v>
      </c>
      <c r="D181" t="str">
        <f>'DD Speed Relay'!C16</f>
        <v>10-under</v>
      </c>
      <c r="E181">
        <f>'DD Speed Relay'!D16</f>
        <v>0</v>
      </c>
      <c r="F181">
        <f>'DD Speed Relay'!F16</f>
        <v>0</v>
      </c>
      <c r="G181">
        <f>'DD Speed Relay'!H16</f>
        <v>0</v>
      </c>
      <c r="H181">
        <f>'DD Speed Relay'!J16</f>
        <v>0</v>
      </c>
      <c r="I181" t="str">
        <f t="shared" si="5"/>
        <v>DDSR-Double Dutch Speed Relay</v>
      </c>
    </row>
    <row r="182" spans="1:9" x14ac:dyDescent="0.25">
      <c r="A182">
        <f>'Team Info'!$B$3</f>
        <v>0</v>
      </c>
      <c r="B182">
        <f>'DD Speed Relay'!A17</f>
        <v>13</v>
      </c>
      <c r="C182" t="str">
        <f>'DD Speed Relay'!B17</f>
        <v>DDSR</v>
      </c>
      <c r="D182" t="str">
        <f>'DD Speed Relay'!C17</f>
        <v>10-under</v>
      </c>
      <c r="E182">
        <f>'DD Speed Relay'!D17</f>
        <v>0</v>
      </c>
      <c r="F182">
        <f>'DD Speed Relay'!F17</f>
        <v>0</v>
      </c>
      <c r="G182">
        <f>'DD Speed Relay'!H17</f>
        <v>0</v>
      </c>
      <c r="H182">
        <f>'DD Speed Relay'!J17</f>
        <v>0</v>
      </c>
      <c r="I182" t="str">
        <f t="shared" si="5"/>
        <v>DDSR-Double Dutch Speed Relay</v>
      </c>
    </row>
    <row r="183" spans="1:9" x14ac:dyDescent="0.25">
      <c r="A183">
        <f>'Team Info'!$B$3</f>
        <v>0</v>
      </c>
      <c r="B183">
        <f>'DD Speed Relay'!A18</f>
        <v>14</v>
      </c>
      <c r="C183" t="str">
        <f>'DD Speed Relay'!B18</f>
        <v>DDSR</v>
      </c>
      <c r="D183" t="str">
        <f>'DD Speed Relay'!C18</f>
        <v>10-under</v>
      </c>
      <c r="E183">
        <f>'DD Speed Relay'!D18</f>
        <v>0</v>
      </c>
      <c r="F183">
        <f>'DD Speed Relay'!F18</f>
        <v>0</v>
      </c>
      <c r="G183">
        <f>'DD Speed Relay'!H18</f>
        <v>0</v>
      </c>
      <c r="H183">
        <f>'DD Speed Relay'!J18</f>
        <v>0</v>
      </c>
      <c r="I183" t="str">
        <f t="shared" si="5"/>
        <v>DDSR-Double Dutch Speed Relay</v>
      </c>
    </row>
    <row r="184" spans="1:9" x14ac:dyDescent="0.25">
      <c r="A184">
        <f>'Team Info'!$B$3</f>
        <v>0</v>
      </c>
      <c r="B184">
        <f>'DD Speed Relay'!A19</f>
        <v>15</v>
      </c>
      <c r="C184" t="str">
        <f>'DD Speed Relay'!B19</f>
        <v>DDSR</v>
      </c>
      <c r="D184" t="str">
        <f>'DD Speed Relay'!C19</f>
        <v>10-under</v>
      </c>
      <c r="E184">
        <f>'DD Speed Relay'!D19</f>
        <v>0</v>
      </c>
      <c r="F184">
        <f>'DD Speed Relay'!F19</f>
        <v>0</v>
      </c>
      <c r="G184">
        <f>'DD Speed Relay'!H19</f>
        <v>0</v>
      </c>
      <c r="H184">
        <f>'DD Speed Relay'!J19</f>
        <v>0</v>
      </c>
      <c r="I184" t="str">
        <f t="shared" si="5"/>
        <v>DDSR-Double Dutch Speed Relay</v>
      </c>
    </row>
    <row r="185" spans="1:9" x14ac:dyDescent="0.25">
      <c r="A185">
        <f>'Team Info'!$B$3</f>
        <v>0</v>
      </c>
      <c r="B185">
        <f>'DD Speed Relay'!A22</f>
        <v>1</v>
      </c>
      <c r="C185" t="str">
        <f>'DD Speed Relay'!B22</f>
        <v>DDSR</v>
      </c>
      <c r="D185" t="str">
        <f>'DD Speed Relay'!C22</f>
        <v>11-12</v>
      </c>
      <c r="E185">
        <f>'DD Speed Relay'!D22</f>
        <v>0</v>
      </c>
      <c r="F185">
        <f>'DD Speed Relay'!F22</f>
        <v>0</v>
      </c>
      <c r="G185">
        <f>'DD Speed Relay'!H22</f>
        <v>0</v>
      </c>
      <c r="H185">
        <f>'DD Speed Relay'!J22</f>
        <v>0</v>
      </c>
      <c r="I185" t="str">
        <f t="shared" si="5"/>
        <v>DDSR-Double Dutch Speed Relay</v>
      </c>
    </row>
    <row r="186" spans="1:9" x14ac:dyDescent="0.25">
      <c r="A186">
        <f>'Team Info'!$B$3</f>
        <v>0</v>
      </c>
      <c r="B186">
        <f>'DD Speed Relay'!A23</f>
        <v>2</v>
      </c>
      <c r="C186" t="str">
        <f>'DD Speed Relay'!B23</f>
        <v>DDSR</v>
      </c>
      <c r="D186" t="str">
        <f>'DD Speed Relay'!C23</f>
        <v>11-12</v>
      </c>
      <c r="E186">
        <f>'DD Speed Relay'!D23</f>
        <v>0</v>
      </c>
      <c r="F186">
        <f>'DD Speed Relay'!F23</f>
        <v>0</v>
      </c>
      <c r="G186">
        <f>'DD Speed Relay'!H23</f>
        <v>0</v>
      </c>
      <c r="H186">
        <f>'DD Speed Relay'!J23</f>
        <v>0</v>
      </c>
      <c r="I186" t="str">
        <f t="shared" si="5"/>
        <v>DDSR-Double Dutch Speed Relay</v>
      </c>
    </row>
    <row r="187" spans="1:9" x14ac:dyDescent="0.25">
      <c r="A187">
        <f>'Team Info'!$B$3</f>
        <v>0</v>
      </c>
      <c r="B187">
        <f>'DD Speed Relay'!A24</f>
        <v>3</v>
      </c>
      <c r="C187" t="str">
        <f>'DD Speed Relay'!B24</f>
        <v>DDSR</v>
      </c>
      <c r="D187" t="str">
        <f>'DD Speed Relay'!C24</f>
        <v>11-12</v>
      </c>
      <c r="E187">
        <f>'DD Speed Relay'!D24</f>
        <v>0</v>
      </c>
      <c r="F187">
        <f>'DD Speed Relay'!F24</f>
        <v>0</v>
      </c>
      <c r="G187">
        <f>'DD Speed Relay'!H24</f>
        <v>0</v>
      </c>
      <c r="H187">
        <f>'DD Speed Relay'!J24</f>
        <v>0</v>
      </c>
      <c r="I187" t="str">
        <f t="shared" si="5"/>
        <v>DDSR-Double Dutch Speed Relay</v>
      </c>
    </row>
    <row r="188" spans="1:9" x14ac:dyDescent="0.25">
      <c r="A188">
        <f>'Team Info'!$B$3</f>
        <v>0</v>
      </c>
      <c r="B188">
        <f>'DD Speed Relay'!A25</f>
        <v>4</v>
      </c>
      <c r="C188" t="str">
        <f>'DD Speed Relay'!B25</f>
        <v>DDSR</v>
      </c>
      <c r="D188" t="str">
        <f>'DD Speed Relay'!C25</f>
        <v>11-12</v>
      </c>
      <c r="E188">
        <f>'DD Speed Relay'!D25</f>
        <v>0</v>
      </c>
      <c r="F188">
        <f>'DD Speed Relay'!F25</f>
        <v>0</v>
      </c>
      <c r="G188">
        <f>'DD Speed Relay'!H25</f>
        <v>0</v>
      </c>
      <c r="H188">
        <f>'DD Speed Relay'!J25</f>
        <v>0</v>
      </c>
      <c r="I188" t="str">
        <f t="shared" si="5"/>
        <v>DDSR-Double Dutch Speed Relay</v>
      </c>
    </row>
    <row r="189" spans="1:9" x14ac:dyDescent="0.25">
      <c r="A189">
        <f>'Team Info'!$B$3</f>
        <v>0</v>
      </c>
      <c r="B189">
        <f>'DD Speed Relay'!A26</f>
        <v>5</v>
      </c>
      <c r="C189" t="str">
        <f>'DD Speed Relay'!B26</f>
        <v>DDSR</v>
      </c>
      <c r="D189" t="str">
        <f>'DD Speed Relay'!C26</f>
        <v>11-12</v>
      </c>
      <c r="E189">
        <f>'DD Speed Relay'!D26</f>
        <v>0</v>
      </c>
      <c r="F189">
        <f>'DD Speed Relay'!F26</f>
        <v>0</v>
      </c>
      <c r="G189">
        <f>'DD Speed Relay'!H26</f>
        <v>0</v>
      </c>
      <c r="H189">
        <f>'DD Speed Relay'!J26</f>
        <v>0</v>
      </c>
      <c r="I189" t="str">
        <f t="shared" si="5"/>
        <v>DDSR-Double Dutch Speed Relay</v>
      </c>
    </row>
    <row r="190" spans="1:9" x14ac:dyDescent="0.25">
      <c r="A190">
        <f>'Team Info'!$B$3</f>
        <v>0</v>
      </c>
      <c r="B190">
        <f>'DD Speed Relay'!A27</f>
        <v>6</v>
      </c>
      <c r="C190" t="str">
        <f>'DD Speed Relay'!B27</f>
        <v>DDSR</v>
      </c>
      <c r="D190" t="str">
        <f>'DD Speed Relay'!C27</f>
        <v>11-12</v>
      </c>
      <c r="E190">
        <f>'DD Speed Relay'!D27</f>
        <v>0</v>
      </c>
      <c r="F190">
        <f>'DD Speed Relay'!F27</f>
        <v>0</v>
      </c>
      <c r="G190">
        <f>'DD Speed Relay'!H27</f>
        <v>0</v>
      </c>
      <c r="H190">
        <f>'DD Speed Relay'!J27</f>
        <v>0</v>
      </c>
      <c r="I190" t="str">
        <f t="shared" si="5"/>
        <v>DDSR-Double Dutch Speed Relay</v>
      </c>
    </row>
    <row r="191" spans="1:9" x14ac:dyDescent="0.25">
      <c r="A191">
        <f>'Team Info'!$B$3</f>
        <v>0</v>
      </c>
      <c r="B191">
        <f>'DD Speed Relay'!A28</f>
        <v>7</v>
      </c>
      <c r="C191" t="str">
        <f>'DD Speed Relay'!B28</f>
        <v>DDSR</v>
      </c>
      <c r="D191" t="str">
        <f>'DD Speed Relay'!C28</f>
        <v>11-12</v>
      </c>
      <c r="E191">
        <f>'DD Speed Relay'!D28</f>
        <v>0</v>
      </c>
      <c r="F191">
        <f>'DD Speed Relay'!F28</f>
        <v>0</v>
      </c>
      <c r="G191">
        <f>'DD Speed Relay'!H28</f>
        <v>0</v>
      </c>
      <c r="H191">
        <f>'DD Speed Relay'!J28</f>
        <v>0</v>
      </c>
      <c r="I191" t="str">
        <f t="shared" si="5"/>
        <v>DDSR-Double Dutch Speed Relay</v>
      </c>
    </row>
    <row r="192" spans="1:9" x14ac:dyDescent="0.25">
      <c r="A192">
        <f>'Team Info'!$B$3</f>
        <v>0</v>
      </c>
      <c r="B192">
        <f>'DD Speed Relay'!A29</f>
        <v>8</v>
      </c>
      <c r="C192" t="str">
        <f>'DD Speed Relay'!B29</f>
        <v>DDSR</v>
      </c>
      <c r="D192" t="str">
        <f>'DD Speed Relay'!C29</f>
        <v>11-12</v>
      </c>
      <c r="E192">
        <f>'DD Speed Relay'!D29</f>
        <v>0</v>
      </c>
      <c r="F192">
        <f>'DD Speed Relay'!F29</f>
        <v>0</v>
      </c>
      <c r="G192">
        <f>'DD Speed Relay'!H29</f>
        <v>0</v>
      </c>
      <c r="H192">
        <f>'DD Speed Relay'!J29</f>
        <v>0</v>
      </c>
      <c r="I192" t="str">
        <f t="shared" si="5"/>
        <v>DDSR-Double Dutch Speed Relay</v>
      </c>
    </row>
    <row r="193" spans="1:9" x14ac:dyDescent="0.25">
      <c r="A193">
        <f>'Team Info'!$B$3</f>
        <v>0</v>
      </c>
      <c r="B193">
        <f>'DD Speed Relay'!A30</f>
        <v>9</v>
      </c>
      <c r="C193" t="str">
        <f>'DD Speed Relay'!B30</f>
        <v>DDSR</v>
      </c>
      <c r="D193" t="str">
        <f>'DD Speed Relay'!C30</f>
        <v>11-12</v>
      </c>
      <c r="E193">
        <f>'DD Speed Relay'!D30</f>
        <v>0</v>
      </c>
      <c r="F193">
        <f>'DD Speed Relay'!F30</f>
        <v>0</v>
      </c>
      <c r="G193">
        <f>'DD Speed Relay'!H30</f>
        <v>0</v>
      </c>
      <c r="H193">
        <f>'DD Speed Relay'!J30</f>
        <v>0</v>
      </c>
      <c r="I193" t="str">
        <f t="shared" si="5"/>
        <v>DDSR-Double Dutch Speed Relay</v>
      </c>
    </row>
    <row r="194" spans="1:9" x14ac:dyDescent="0.25">
      <c r="A194">
        <f>'Team Info'!$B$3</f>
        <v>0</v>
      </c>
      <c r="B194">
        <f>'DD Speed Relay'!A31</f>
        <v>10</v>
      </c>
      <c r="C194" t="str">
        <f>'DD Speed Relay'!B31</f>
        <v>DDSR</v>
      </c>
      <c r="D194" t="str">
        <f>'DD Speed Relay'!C31</f>
        <v>11-12</v>
      </c>
      <c r="E194">
        <f>'DD Speed Relay'!D31</f>
        <v>0</v>
      </c>
      <c r="F194">
        <f>'DD Speed Relay'!F31</f>
        <v>0</v>
      </c>
      <c r="G194">
        <f>'DD Speed Relay'!H31</f>
        <v>0</v>
      </c>
      <c r="H194">
        <f>'DD Speed Relay'!J31</f>
        <v>0</v>
      </c>
      <c r="I194" t="str">
        <f t="shared" si="5"/>
        <v>DDSR-Double Dutch Speed Relay</v>
      </c>
    </row>
    <row r="195" spans="1:9" x14ac:dyDescent="0.25">
      <c r="A195">
        <f>'Team Info'!$B$3</f>
        <v>0</v>
      </c>
      <c r="B195">
        <f>'DD Speed Relay'!A32</f>
        <v>11</v>
      </c>
      <c r="C195" t="str">
        <f>'DD Speed Relay'!B32</f>
        <v>DDSR</v>
      </c>
      <c r="D195" t="str">
        <f>'DD Speed Relay'!C32</f>
        <v>11-12</v>
      </c>
      <c r="E195">
        <f>'DD Speed Relay'!D32</f>
        <v>0</v>
      </c>
      <c r="F195">
        <f>'DD Speed Relay'!F32</f>
        <v>0</v>
      </c>
      <c r="G195">
        <f>'DD Speed Relay'!H32</f>
        <v>0</v>
      </c>
      <c r="H195">
        <f>'DD Speed Relay'!J32</f>
        <v>0</v>
      </c>
      <c r="I195" t="str">
        <f t="shared" si="5"/>
        <v>DDSR-Double Dutch Speed Relay</v>
      </c>
    </row>
    <row r="196" spans="1:9" x14ac:dyDescent="0.25">
      <c r="A196">
        <f>'Team Info'!$B$3</f>
        <v>0</v>
      </c>
      <c r="B196">
        <f>'DD Speed Relay'!A33</f>
        <v>12</v>
      </c>
      <c r="C196" t="str">
        <f>'DD Speed Relay'!B33</f>
        <v>DDSR</v>
      </c>
      <c r="D196" t="str">
        <f>'DD Speed Relay'!C33</f>
        <v>11-12</v>
      </c>
      <c r="E196">
        <f>'DD Speed Relay'!D33</f>
        <v>0</v>
      </c>
      <c r="F196">
        <f>'DD Speed Relay'!F33</f>
        <v>0</v>
      </c>
      <c r="G196">
        <f>'DD Speed Relay'!H33</f>
        <v>0</v>
      </c>
      <c r="H196">
        <f>'DD Speed Relay'!J33</f>
        <v>0</v>
      </c>
      <c r="I196" t="str">
        <f t="shared" si="5"/>
        <v>DDSR-Double Dutch Speed Relay</v>
      </c>
    </row>
    <row r="197" spans="1:9" x14ac:dyDescent="0.25">
      <c r="A197">
        <f>'Team Info'!$B$3</f>
        <v>0</v>
      </c>
      <c r="B197">
        <f>'DD Speed Relay'!A34</f>
        <v>13</v>
      </c>
      <c r="C197" t="str">
        <f>'DD Speed Relay'!B34</f>
        <v>DDSR</v>
      </c>
      <c r="D197" t="str">
        <f>'DD Speed Relay'!C34</f>
        <v>11-12</v>
      </c>
      <c r="E197">
        <f>'DD Speed Relay'!D34</f>
        <v>0</v>
      </c>
      <c r="F197">
        <f>'DD Speed Relay'!F34</f>
        <v>0</v>
      </c>
      <c r="G197">
        <f>'DD Speed Relay'!H34</f>
        <v>0</v>
      </c>
      <c r="H197">
        <f>'DD Speed Relay'!J34</f>
        <v>0</v>
      </c>
      <c r="I197" t="str">
        <f t="shared" si="5"/>
        <v>DDSR-Double Dutch Speed Relay</v>
      </c>
    </row>
    <row r="198" spans="1:9" x14ac:dyDescent="0.25">
      <c r="A198">
        <f>'Team Info'!$B$3</f>
        <v>0</v>
      </c>
      <c r="B198">
        <f>'DD Speed Relay'!A35</f>
        <v>14</v>
      </c>
      <c r="C198" t="str">
        <f>'DD Speed Relay'!B35</f>
        <v>DDSR</v>
      </c>
      <c r="D198" t="str">
        <f>'DD Speed Relay'!C35</f>
        <v>11-12</v>
      </c>
      <c r="E198">
        <f>'DD Speed Relay'!D35</f>
        <v>0</v>
      </c>
      <c r="F198">
        <f>'DD Speed Relay'!F35</f>
        <v>0</v>
      </c>
      <c r="G198">
        <f>'DD Speed Relay'!H35</f>
        <v>0</v>
      </c>
      <c r="H198">
        <f>'DD Speed Relay'!J35</f>
        <v>0</v>
      </c>
      <c r="I198" t="str">
        <f t="shared" si="5"/>
        <v>DDSR-Double Dutch Speed Relay</v>
      </c>
    </row>
    <row r="199" spans="1:9" x14ac:dyDescent="0.25">
      <c r="A199">
        <f>'Team Info'!$B$3</f>
        <v>0</v>
      </c>
      <c r="B199">
        <f>'DD Speed Relay'!A36</f>
        <v>15</v>
      </c>
      <c r="C199" t="str">
        <f>'DD Speed Relay'!B36</f>
        <v>DDSR</v>
      </c>
      <c r="D199" t="str">
        <f>'DD Speed Relay'!C36</f>
        <v>11-12</v>
      </c>
      <c r="E199">
        <f>'DD Speed Relay'!D36</f>
        <v>0</v>
      </c>
      <c r="F199">
        <f>'DD Speed Relay'!F36</f>
        <v>0</v>
      </c>
      <c r="G199">
        <f>'DD Speed Relay'!H36</f>
        <v>0</v>
      </c>
      <c r="H199">
        <f>'DD Speed Relay'!J36</f>
        <v>0</v>
      </c>
      <c r="I199" t="str">
        <f t="shared" si="5"/>
        <v>DDSR-Double Dutch Speed Relay</v>
      </c>
    </row>
    <row r="200" spans="1:9" x14ac:dyDescent="0.25">
      <c r="A200">
        <f>'Team Info'!$B$3</f>
        <v>0</v>
      </c>
      <c r="B200">
        <f>'DD Speed Relay'!A39</f>
        <v>1</v>
      </c>
      <c r="C200" t="str">
        <f>'DD Speed Relay'!B39</f>
        <v>DDSR</v>
      </c>
      <c r="D200" t="str">
        <f>'DD Speed Relay'!C39</f>
        <v>13-14</v>
      </c>
      <c r="E200">
        <f>'DD Speed Relay'!D39</f>
        <v>0</v>
      </c>
      <c r="F200">
        <f>'DD Speed Relay'!F39</f>
        <v>0</v>
      </c>
      <c r="G200">
        <f>'DD Speed Relay'!H39</f>
        <v>0</v>
      </c>
      <c r="H200">
        <f>'DD Speed Relay'!J39</f>
        <v>0</v>
      </c>
      <c r="I200" t="str">
        <f t="shared" si="5"/>
        <v>DDSR-Double Dutch Speed Relay</v>
      </c>
    </row>
    <row r="201" spans="1:9" x14ac:dyDescent="0.25">
      <c r="A201">
        <f>'Team Info'!$B$3</f>
        <v>0</v>
      </c>
      <c r="B201">
        <f>'DD Speed Relay'!A40</f>
        <v>2</v>
      </c>
      <c r="C201" t="str">
        <f>'DD Speed Relay'!B40</f>
        <v>DDSR</v>
      </c>
      <c r="D201" t="str">
        <f>'DD Speed Relay'!C40</f>
        <v>13-14</v>
      </c>
      <c r="E201">
        <f>'DD Speed Relay'!D40</f>
        <v>0</v>
      </c>
      <c r="F201">
        <f>'DD Speed Relay'!F40</f>
        <v>0</v>
      </c>
      <c r="G201">
        <f>'DD Speed Relay'!H40</f>
        <v>0</v>
      </c>
      <c r="H201">
        <f>'DD Speed Relay'!J40</f>
        <v>0</v>
      </c>
      <c r="I201" t="str">
        <f t="shared" si="5"/>
        <v>DDSR-Double Dutch Speed Relay</v>
      </c>
    </row>
    <row r="202" spans="1:9" x14ac:dyDescent="0.25">
      <c r="A202">
        <f>'Team Info'!$B$3</f>
        <v>0</v>
      </c>
      <c r="B202">
        <f>'DD Speed Relay'!A41</f>
        <v>3</v>
      </c>
      <c r="C202" t="str">
        <f>'DD Speed Relay'!B41</f>
        <v>DDSR</v>
      </c>
      <c r="D202" t="str">
        <f>'DD Speed Relay'!C41</f>
        <v>13-14</v>
      </c>
      <c r="E202">
        <f>'DD Speed Relay'!D41</f>
        <v>0</v>
      </c>
      <c r="F202">
        <f>'DD Speed Relay'!F41</f>
        <v>0</v>
      </c>
      <c r="G202">
        <f>'DD Speed Relay'!H41</f>
        <v>0</v>
      </c>
      <c r="H202">
        <f>'DD Speed Relay'!J41</f>
        <v>0</v>
      </c>
      <c r="I202" t="str">
        <f t="shared" ref="I202:I285" si="6">VLOOKUP(C202,EVENTS,2,FALSE)</f>
        <v>DDSR-Double Dutch Speed Relay</v>
      </c>
    </row>
    <row r="203" spans="1:9" x14ac:dyDescent="0.25">
      <c r="A203">
        <f>'Team Info'!$B$3</f>
        <v>0</v>
      </c>
      <c r="B203">
        <f>'DD Speed Relay'!A42</f>
        <v>4</v>
      </c>
      <c r="C203" t="str">
        <f>'DD Speed Relay'!B42</f>
        <v>DDSR</v>
      </c>
      <c r="D203" t="str">
        <f>'DD Speed Relay'!C42</f>
        <v>13-14</v>
      </c>
      <c r="E203">
        <f>'DD Speed Relay'!D42</f>
        <v>0</v>
      </c>
      <c r="F203">
        <f>'DD Speed Relay'!F42</f>
        <v>0</v>
      </c>
      <c r="G203">
        <f>'DD Speed Relay'!H42</f>
        <v>0</v>
      </c>
      <c r="H203">
        <f>'DD Speed Relay'!J42</f>
        <v>0</v>
      </c>
      <c r="I203" t="str">
        <f t="shared" si="6"/>
        <v>DDSR-Double Dutch Speed Relay</v>
      </c>
    </row>
    <row r="204" spans="1:9" x14ac:dyDescent="0.25">
      <c r="A204">
        <f>'Team Info'!$B$3</f>
        <v>0</v>
      </c>
      <c r="B204">
        <f>'DD Speed Relay'!A43</f>
        <v>5</v>
      </c>
      <c r="C204" t="str">
        <f>'DD Speed Relay'!B43</f>
        <v>DDSR</v>
      </c>
      <c r="D204" t="str">
        <f>'DD Speed Relay'!C43</f>
        <v>13-14</v>
      </c>
      <c r="E204">
        <f>'DD Speed Relay'!D43</f>
        <v>0</v>
      </c>
      <c r="F204">
        <f>'DD Speed Relay'!F43</f>
        <v>0</v>
      </c>
      <c r="G204">
        <f>'DD Speed Relay'!H43</f>
        <v>0</v>
      </c>
      <c r="H204">
        <f>'DD Speed Relay'!J43</f>
        <v>0</v>
      </c>
      <c r="I204" t="str">
        <f t="shared" si="6"/>
        <v>DDSR-Double Dutch Speed Relay</v>
      </c>
    </row>
    <row r="205" spans="1:9" x14ac:dyDescent="0.25">
      <c r="A205">
        <f>'Team Info'!$B$3</f>
        <v>0</v>
      </c>
      <c r="B205">
        <f>'DD Speed Relay'!A44</f>
        <v>6</v>
      </c>
      <c r="C205" t="str">
        <f>'DD Speed Relay'!B44</f>
        <v>DDSR</v>
      </c>
      <c r="D205" t="str">
        <f>'DD Speed Relay'!C44</f>
        <v>13-14</v>
      </c>
      <c r="E205">
        <f>'DD Speed Relay'!D44</f>
        <v>0</v>
      </c>
      <c r="F205">
        <f>'DD Speed Relay'!F44</f>
        <v>0</v>
      </c>
      <c r="G205">
        <f>'DD Speed Relay'!H44</f>
        <v>0</v>
      </c>
      <c r="H205">
        <f>'DD Speed Relay'!J44</f>
        <v>0</v>
      </c>
      <c r="I205" t="str">
        <f t="shared" si="6"/>
        <v>DDSR-Double Dutch Speed Relay</v>
      </c>
    </row>
    <row r="206" spans="1:9" x14ac:dyDescent="0.25">
      <c r="A206">
        <f>'Team Info'!$B$3</f>
        <v>0</v>
      </c>
      <c r="B206">
        <f>'DD Speed Relay'!A45</f>
        <v>7</v>
      </c>
      <c r="C206" t="str">
        <f>'DD Speed Relay'!B45</f>
        <v>DDSR</v>
      </c>
      <c r="D206" t="str">
        <f>'DD Speed Relay'!C45</f>
        <v>13-14</v>
      </c>
      <c r="E206">
        <f>'DD Speed Relay'!D45</f>
        <v>0</v>
      </c>
      <c r="F206">
        <f>'DD Speed Relay'!F45</f>
        <v>0</v>
      </c>
      <c r="G206">
        <f>'DD Speed Relay'!H45</f>
        <v>0</v>
      </c>
      <c r="H206">
        <f>'DD Speed Relay'!J45</f>
        <v>0</v>
      </c>
      <c r="I206" t="str">
        <f t="shared" si="6"/>
        <v>DDSR-Double Dutch Speed Relay</v>
      </c>
    </row>
    <row r="207" spans="1:9" x14ac:dyDescent="0.25">
      <c r="A207">
        <f>'Team Info'!$B$3</f>
        <v>0</v>
      </c>
      <c r="B207">
        <f>'DD Speed Relay'!A46</f>
        <v>8</v>
      </c>
      <c r="C207" t="str">
        <f>'DD Speed Relay'!B46</f>
        <v>DDSR</v>
      </c>
      <c r="D207" t="str">
        <f>'DD Speed Relay'!C46</f>
        <v>13-14</v>
      </c>
      <c r="E207">
        <f>'DD Speed Relay'!D46</f>
        <v>0</v>
      </c>
      <c r="F207">
        <f>'DD Speed Relay'!F46</f>
        <v>0</v>
      </c>
      <c r="G207">
        <f>'DD Speed Relay'!H46</f>
        <v>0</v>
      </c>
      <c r="H207">
        <f>'DD Speed Relay'!J46</f>
        <v>0</v>
      </c>
      <c r="I207" t="str">
        <f t="shared" si="6"/>
        <v>DDSR-Double Dutch Speed Relay</v>
      </c>
    </row>
    <row r="208" spans="1:9" x14ac:dyDescent="0.25">
      <c r="A208">
        <f>'Team Info'!$B$3</f>
        <v>0</v>
      </c>
      <c r="B208">
        <f>'DD Speed Relay'!A47</f>
        <v>9</v>
      </c>
      <c r="C208" t="str">
        <f>'DD Speed Relay'!B47</f>
        <v>DDSR</v>
      </c>
      <c r="D208" t="str">
        <f>'DD Speed Relay'!C47</f>
        <v>13-14</v>
      </c>
      <c r="E208">
        <f>'DD Speed Relay'!D47</f>
        <v>0</v>
      </c>
      <c r="F208">
        <f>'DD Speed Relay'!F47</f>
        <v>0</v>
      </c>
      <c r="G208">
        <f>'DD Speed Relay'!H47</f>
        <v>0</v>
      </c>
      <c r="H208">
        <f>'DD Speed Relay'!J47</f>
        <v>0</v>
      </c>
      <c r="I208" t="str">
        <f t="shared" si="6"/>
        <v>DDSR-Double Dutch Speed Relay</v>
      </c>
    </row>
    <row r="209" spans="1:9" x14ac:dyDescent="0.25">
      <c r="A209">
        <f>'Team Info'!$B$3</f>
        <v>0</v>
      </c>
      <c r="B209">
        <f>'DD Speed Relay'!A48</f>
        <v>10</v>
      </c>
      <c r="C209" t="str">
        <f>'DD Speed Relay'!B48</f>
        <v>DDSR</v>
      </c>
      <c r="D209" t="str">
        <f>'DD Speed Relay'!C48</f>
        <v>13-14</v>
      </c>
      <c r="E209">
        <f>'DD Speed Relay'!D48</f>
        <v>0</v>
      </c>
      <c r="F209">
        <f>'DD Speed Relay'!F48</f>
        <v>0</v>
      </c>
      <c r="G209">
        <f>'DD Speed Relay'!H48</f>
        <v>0</v>
      </c>
      <c r="H209">
        <f>'DD Speed Relay'!J48</f>
        <v>0</v>
      </c>
      <c r="I209" t="str">
        <f t="shared" si="6"/>
        <v>DDSR-Double Dutch Speed Relay</v>
      </c>
    </row>
    <row r="210" spans="1:9" x14ac:dyDescent="0.25">
      <c r="A210">
        <f>'Team Info'!$B$3</f>
        <v>0</v>
      </c>
      <c r="B210">
        <f>'DD Speed Relay'!A49</f>
        <v>11</v>
      </c>
      <c r="C210" t="str">
        <f>'DD Speed Relay'!B49</f>
        <v>DDSR</v>
      </c>
      <c r="D210" t="str">
        <f>'DD Speed Relay'!C49</f>
        <v>13-14</v>
      </c>
      <c r="E210">
        <f>'DD Speed Relay'!D49</f>
        <v>0</v>
      </c>
      <c r="F210">
        <f>'DD Speed Relay'!F49</f>
        <v>0</v>
      </c>
      <c r="G210">
        <f>'DD Speed Relay'!H49</f>
        <v>0</v>
      </c>
      <c r="H210">
        <f>'DD Speed Relay'!J49</f>
        <v>0</v>
      </c>
      <c r="I210" t="str">
        <f t="shared" si="6"/>
        <v>DDSR-Double Dutch Speed Relay</v>
      </c>
    </row>
    <row r="211" spans="1:9" x14ac:dyDescent="0.25">
      <c r="A211">
        <f>'Team Info'!$B$3</f>
        <v>0</v>
      </c>
      <c r="B211">
        <f>'DD Speed Relay'!A50</f>
        <v>12</v>
      </c>
      <c r="C211" t="str">
        <f>'DD Speed Relay'!B50</f>
        <v>DDSR</v>
      </c>
      <c r="D211" t="str">
        <f>'DD Speed Relay'!C50</f>
        <v>13-14</v>
      </c>
      <c r="E211">
        <f>'DD Speed Relay'!D50</f>
        <v>0</v>
      </c>
      <c r="F211">
        <f>'DD Speed Relay'!F50</f>
        <v>0</v>
      </c>
      <c r="G211">
        <f>'DD Speed Relay'!H50</f>
        <v>0</v>
      </c>
      <c r="H211">
        <f>'DD Speed Relay'!J50</f>
        <v>0</v>
      </c>
      <c r="I211" t="str">
        <f t="shared" si="6"/>
        <v>DDSR-Double Dutch Speed Relay</v>
      </c>
    </row>
    <row r="212" spans="1:9" x14ac:dyDescent="0.25">
      <c r="A212">
        <f>'Team Info'!$B$3</f>
        <v>0</v>
      </c>
      <c r="B212">
        <f>'DD Speed Relay'!A53</f>
        <v>1</v>
      </c>
      <c r="C212" t="str">
        <f>'DD Speed Relay'!B53</f>
        <v>DDSR</v>
      </c>
      <c r="D212" t="str">
        <f>'DD Speed Relay'!C53</f>
        <v>15-17</v>
      </c>
      <c r="E212">
        <f>'DD Speed Relay'!D53</f>
        <v>0</v>
      </c>
      <c r="F212">
        <f>'DD Speed Relay'!F53</f>
        <v>0</v>
      </c>
      <c r="G212">
        <f>'DD Speed Relay'!H53</f>
        <v>0</v>
      </c>
      <c r="H212">
        <f>'DD Speed Relay'!J53</f>
        <v>0</v>
      </c>
      <c r="I212" t="str">
        <f t="shared" si="6"/>
        <v>DDSR-Double Dutch Speed Relay</v>
      </c>
    </row>
    <row r="213" spans="1:9" x14ac:dyDescent="0.25">
      <c r="A213">
        <f>'Team Info'!$B$3</f>
        <v>0</v>
      </c>
      <c r="B213">
        <f>'DD Speed Relay'!A54</f>
        <v>2</v>
      </c>
      <c r="C213" t="str">
        <f>'DD Speed Relay'!B54</f>
        <v>DDSR</v>
      </c>
      <c r="D213" t="str">
        <f>'DD Speed Relay'!C54</f>
        <v>15-17</v>
      </c>
      <c r="E213">
        <f>'DD Speed Relay'!D54</f>
        <v>0</v>
      </c>
      <c r="F213">
        <f>'DD Speed Relay'!F54</f>
        <v>0</v>
      </c>
      <c r="G213">
        <f>'DD Speed Relay'!H54</f>
        <v>0</v>
      </c>
      <c r="H213">
        <f>'DD Speed Relay'!J54</f>
        <v>0</v>
      </c>
      <c r="I213" t="str">
        <f t="shared" si="6"/>
        <v>DDSR-Double Dutch Speed Relay</v>
      </c>
    </row>
    <row r="214" spans="1:9" x14ac:dyDescent="0.25">
      <c r="A214">
        <f>'Team Info'!$B$3</f>
        <v>0</v>
      </c>
      <c r="B214">
        <f>'DD Speed Relay'!A55</f>
        <v>3</v>
      </c>
      <c r="C214" t="str">
        <f>'DD Speed Relay'!B55</f>
        <v>DDSR</v>
      </c>
      <c r="D214" t="str">
        <f>'DD Speed Relay'!C55</f>
        <v>15-17</v>
      </c>
      <c r="E214">
        <f>'DD Speed Relay'!D55</f>
        <v>0</v>
      </c>
      <c r="F214">
        <f>'DD Speed Relay'!F55</f>
        <v>0</v>
      </c>
      <c r="G214">
        <f>'DD Speed Relay'!H55</f>
        <v>0</v>
      </c>
      <c r="H214">
        <f>'DD Speed Relay'!J55</f>
        <v>0</v>
      </c>
      <c r="I214" t="str">
        <f t="shared" si="6"/>
        <v>DDSR-Double Dutch Speed Relay</v>
      </c>
    </row>
    <row r="215" spans="1:9" x14ac:dyDescent="0.25">
      <c r="A215">
        <f>'Team Info'!$B$3</f>
        <v>0</v>
      </c>
      <c r="B215">
        <f>'DD Speed Relay'!A56</f>
        <v>4</v>
      </c>
      <c r="C215" t="str">
        <f>'DD Speed Relay'!B56</f>
        <v>DDSR</v>
      </c>
      <c r="D215" t="str">
        <f>'DD Speed Relay'!C56</f>
        <v>15-17</v>
      </c>
      <c r="E215">
        <f>'DD Speed Relay'!D56</f>
        <v>0</v>
      </c>
      <c r="F215">
        <f>'DD Speed Relay'!F56</f>
        <v>0</v>
      </c>
      <c r="G215">
        <f>'DD Speed Relay'!H56</f>
        <v>0</v>
      </c>
      <c r="H215">
        <f>'DD Speed Relay'!J56</f>
        <v>0</v>
      </c>
      <c r="I215" t="str">
        <f t="shared" si="6"/>
        <v>DDSR-Double Dutch Speed Relay</v>
      </c>
    </row>
    <row r="216" spans="1:9" x14ac:dyDescent="0.25">
      <c r="A216">
        <f>'Team Info'!$B$3</f>
        <v>0</v>
      </c>
      <c r="B216">
        <f>'DD Speed Relay'!A57</f>
        <v>5</v>
      </c>
      <c r="C216" t="str">
        <f>'DD Speed Relay'!B57</f>
        <v>DDSR</v>
      </c>
      <c r="D216" t="str">
        <f>'DD Speed Relay'!C57</f>
        <v>15-17</v>
      </c>
      <c r="E216">
        <f>'DD Speed Relay'!D57</f>
        <v>0</v>
      </c>
      <c r="F216">
        <f>'DD Speed Relay'!F57</f>
        <v>0</v>
      </c>
      <c r="G216">
        <f>'DD Speed Relay'!H57</f>
        <v>0</v>
      </c>
      <c r="H216">
        <f>'DD Speed Relay'!J57</f>
        <v>0</v>
      </c>
      <c r="I216" t="str">
        <f t="shared" si="6"/>
        <v>DDSR-Double Dutch Speed Relay</v>
      </c>
    </row>
    <row r="217" spans="1:9" x14ac:dyDescent="0.25">
      <c r="A217">
        <f>'Team Info'!$B$3</f>
        <v>0</v>
      </c>
      <c r="B217">
        <f>'DD Speed Relay'!A58</f>
        <v>6</v>
      </c>
      <c r="C217" t="str">
        <f>'DD Speed Relay'!B58</f>
        <v>DDSR</v>
      </c>
      <c r="D217" t="str">
        <f>'DD Speed Relay'!C58</f>
        <v>15-17</v>
      </c>
      <c r="E217">
        <f>'DD Speed Relay'!D58</f>
        <v>0</v>
      </c>
      <c r="F217">
        <f>'DD Speed Relay'!F58</f>
        <v>0</v>
      </c>
      <c r="G217">
        <f>'DD Speed Relay'!H58</f>
        <v>0</v>
      </c>
      <c r="H217">
        <f>'DD Speed Relay'!J58</f>
        <v>0</v>
      </c>
      <c r="I217" t="str">
        <f t="shared" si="6"/>
        <v>DDSR-Double Dutch Speed Relay</v>
      </c>
    </row>
    <row r="218" spans="1:9" x14ac:dyDescent="0.25">
      <c r="A218">
        <f>'Team Info'!$B$3</f>
        <v>0</v>
      </c>
      <c r="B218">
        <f>'DD Speed Relay'!A59</f>
        <v>7</v>
      </c>
      <c r="C218" t="str">
        <f>'DD Speed Relay'!B59</f>
        <v>DDSR</v>
      </c>
      <c r="D218" t="str">
        <f>'DD Speed Relay'!C59</f>
        <v>15-17</v>
      </c>
      <c r="E218">
        <f>'DD Speed Relay'!D59</f>
        <v>0</v>
      </c>
      <c r="F218">
        <f>'DD Speed Relay'!F59</f>
        <v>0</v>
      </c>
      <c r="G218">
        <f>'DD Speed Relay'!H59</f>
        <v>0</v>
      </c>
      <c r="H218">
        <f>'DD Speed Relay'!J59</f>
        <v>0</v>
      </c>
      <c r="I218" t="str">
        <f t="shared" si="6"/>
        <v>DDSR-Double Dutch Speed Relay</v>
      </c>
    </row>
    <row r="219" spans="1:9" x14ac:dyDescent="0.25">
      <c r="A219">
        <f>'Team Info'!$B$3</f>
        <v>0</v>
      </c>
      <c r="B219">
        <f>'DD Speed Relay'!A60</f>
        <v>8</v>
      </c>
      <c r="C219" t="str">
        <f>'DD Speed Relay'!B60</f>
        <v>DDSR</v>
      </c>
      <c r="D219" t="str">
        <f>'DD Speed Relay'!C60</f>
        <v>15-17</v>
      </c>
      <c r="E219">
        <f>'DD Speed Relay'!D60</f>
        <v>0</v>
      </c>
      <c r="F219">
        <f>'DD Speed Relay'!F60</f>
        <v>0</v>
      </c>
      <c r="G219">
        <f>'DD Speed Relay'!H60</f>
        <v>0</v>
      </c>
      <c r="H219">
        <f>'DD Speed Relay'!J60</f>
        <v>0</v>
      </c>
      <c r="I219" t="str">
        <f t="shared" si="6"/>
        <v>DDSR-Double Dutch Speed Relay</v>
      </c>
    </row>
    <row r="220" spans="1:9" x14ac:dyDescent="0.25">
      <c r="A220">
        <f>'Team Info'!$B$3</f>
        <v>0</v>
      </c>
      <c r="B220">
        <f>'DD Speed Relay'!A63</f>
        <v>1</v>
      </c>
      <c r="C220" t="str">
        <f>'DD Speed Relay'!B63</f>
        <v>DDSR</v>
      </c>
      <c r="D220" t="str">
        <f>'DD Speed Relay'!C63</f>
        <v>18-over</v>
      </c>
      <c r="E220">
        <f>'DD Speed Relay'!D63</f>
        <v>0</v>
      </c>
      <c r="F220">
        <f>'DD Speed Relay'!F63</f>
        <v>0</v>
      </c>
      <c r="G220">
        <f>'DD Speed Relay'!H63</f>
        <v>0</v>
      </c>
      <c r="H220">
        <f>'DD Speed Relay'!J63</f>
        <v>0</v>
      </c>
      <c r="I220" t="str">
        <f t="shared" si="6"/>
        <v>DDSR-Double Dutch Speed Relay</v>
      </c>
    </row>
    <row r="221" spans="1:9" x14ac:dyDescent="0.25">
      <c r="A221">
        <f>'Team Info'!$B$3</f>
        <v>0</v>
      </c>
      <c r="B221">
        <f>'DD Speed Relay'!A64</f>
        <v>2</v>
      </c>
      <c r="C221" t="str">
        <f>'DD Speed Relay'!B64</f>
        <v>DDSR</v>
      </c>
      <c r="D221" t="str">
        <f>'DD Speed Relay'!C64</f>
        <v>18-over</v>
      </c>
      <c r="E221">
        <f>'DD Speed Relay'!D64</f>
        <v>0</v>
      </c>
      <c r="F221">
        <f>'DD Speed Relay'!F64</f>
        <v>0</v>
      </c>
      <c r="G221">
        <f>'DD Speed Relay'!H64</f>
        <v>0</v>
      </c>
      <c r="H221">
        <f>'DD Speed Relay'!J64</f>
        <v>0</v>
      </c>
      <c r="I221" t="str">
        <f t="shared" si="6"/>
        <v>DDSR-Double Dutch Speed Relay</v>
      </c>
    </row>
    <row r="222" spans="1:9" x14ac:dyDescent="0.25">
      <c r="A222">
        <f>'Team Info'!$B$3</f>
        <v>0</v>
      </c>
      <c r="B222">
        <f>'DD Speed Relay'!A65</f>
        <v>3</v>
      </c>
      <c r="C222" t="str">
        <f>'DD Speed Relay'!B65</f>
        <v>DDSR</v>
      </c>
      <c r="D222" t="str">
        <f>'DD Speed Relay'!C65</f>
        <v>18-over</v>
      </c>
      <c r="E222">
        <f>'DD Speed Relay'!D65</f>
        <v>0</v>
      </c>
      <c r="F222">
        <f>'DD Speed Relay'!F65</f>
        <v>0</v>
      </c>
      <c r="G222">
        <f>'DD Speed Relay'!H65</f>
        <v>0</v>
      </c>
      <c r="H222">
        <f>'DD Speed Relay'!J65</f>
        <v>0</v>
      </c>
      <c r="I222" t="str">
        <f t="shared" si="6"/>
        <v>DDSR-Double Dutch Speed Relay</v>
      </c>
    </row>
    <row r="223" spans="1:9" x14ac:dyDescent="0.25">
      <c r="A223">
        <f>'Team Info'!$B$3</f>
        <v>0</v>
      </c>
      <c r="B223">
        <f>'DD Speed Relay'!A66</f>
        <v>4</v>
      </c>
      <c r="C223" t="str">
        <f>'DD Speed Relay'!B66</f>
        <v>DDSR</v>
      </c>
      <c r="D223" t="str">
        <f>'DD Speed Relay'!C66</f>
        <v>18-over</v>
      </c>
      <c r="E223">
        <f>'DD Speed Relay'!D66</f>
        <v>0</v>
      </c>
      <c r="F223">
        <f>'DD Speed Relay'!F66</f>
        <v>0</v>
      </c>
      <c r="G223">
        <f>'DD Speed Relay'!H66</f>
        <v>0</v>
      </c>
      <c r="H223">
        <f>'DD Speed Relay'!J66</f>
        <v>0</v>
      </c>
      <c r="I223" t="str">
        <f t="shared" si="6"/>
        <v>DDSR-Double Dutch Speed Relay</v>
      </c>
    </row>
    <row r="224" spans="1:9" x14ac:dyDescent="0.25">
      <c r="A224">
        <f>'Team Info'!$B$3</f>
        <v>0</v>
      </c>
      <c r="B224">
        <f>'DD Speed Relay'!A67</f>
        <v>5</v>
      </c>
      <c r="C224" t="str">
        <f>'DD Speed Relay'!B67</f>
        <v>DDSR</v>
      </c>
      <c r="D224" t="str">
        <f>'DD Speed Relay'!C67</f>
        <v>18-over</v>
      </c>
      <c r="E224">
        <f>'DD Speed Relay'!D67</f>
        <v>0</v>
      </c>
      <c r="F224">
        <f>'DD Speed Relay'!F67</f>
        <v>0</v>
      </c>
      <c r="G224">
        <f>'DD Speed Relay'!H67</f>
        <v>0</v>
      </c>
      <c r="H224">
        <f>'DD Speed Relay'!J67</f>
        <v>0</v>
      </c>
      <c r="I224" t="str">
        <f t="shared" si="6"/>
        <v>DDSR-Double Dutch Speed Relay</v>
      </c>
    </row>
    <row r="225" spans="1:9" x14ac:dyDescent="0.25">
      <c r="A225">
        <f>'Team Info'!$B$3</f>
        <v>0</v>
      </c>
      <c r="B225">
        <f>'DD Speed Relay'!A68</f>
        <v>6</v>
      </c>
      <c r="C225" t="str">
        <f>'DD Speed Relay'!B68</f>
        <v>DDSR</v>
      </c>
      <c r="D225" t="str">
        <f>'DD Speed Relay'!C68</f>
        <v>18-over</v>
      </c>
      <c r="E225">
        <f>'DD Speed Relay'!D68</f>
        <v>0</v>
      </c>
      <c r="F225">
        <f>'DD Speed Relay'!F68</f>
        <v>0</v>
      </c>
      <c r="G225">
        <f>'DD Speed Relay'!H68</f>
        <v>0</v>
      </c>
      <c r="H225">
        <f>'DD Speed Relay'!J68</f>
        <v>0</v>
      </c>
      <c r="I225" t="str">
        <f t="shared" si="6"/>
        <v>DDSR-Double Dutch Speed Relay</v>
      </c>
    </row>
    <row r="226" spans="1:9" x14ac:dyDescent="0.25">
      <c r="A226">
        <f>'Team Info'!$B$3</f>
        <v>0</v>
      </c>
      <c r="B226">
        <f>'DD Speed Relay'!A69</f>
        <v>7</v>
      </c>
      <c r="C226" t="str">
        <f>'DD Speed Relay'!B69</f>
        <v>DDSR</v>
      </c>
      <c r="D226" t="str">
        <f>'DD Speed Relay'!C69</f>
        <v>18-over</v>
      </c>
      <c r="E226">
        <f>'DD Speed Relay'!D69</f>
        <v>0</v>
      </c>
      <c r="F226">
        <f>'DD Speed Relay'!F69</f>
        <v>0</v>
      </c>
      <c r="G226">
        <f>'DD Speed Relay'!H69</f>
        <v>0</v>
      </c>
      <c r="H226">
        <f>'DD Speed Relay'!J69</f>
        <v>0</v>
      </c>
      <c r="I226" t="str">
        <f t="shared" si="6"/>
        <v>DDSR-Double Dutch Speed Relay</v>
      </c>
    </row>
    <row r="227" spans="1:9" x14ac:dyDescent="0.25">
      <c r="A227">
        <f>'Team Info'!$B$3</f>
        <v>0</v>
      </c>
      <c r="B227">
        <f>'DD Speed Relay'!A70</f>
        <v>8</v>
      </c>
      <c r="C227" t="str">
        <f>'DD Speed Relay'!B70</f>
        <v>DDSR</v>
      </c>
      <c r="D227" t="str">
        <f>'DD Speed Relay'!C70</f>
        <v>18-over</v>
      </c>
      <c r="E227">
        <f>'DD Speed Relay'!D70</f>
        <v>0</v>
      </c>
      <c r="F227">
        <f>'DD Speed Relay'!F70</f>
        <v>0</v>
      </c>
      <c r="G227">
        <f>'DD Speed Relay'!H70</f>
        <v>0</v>
      </c>
      <c r="H227">
        <f>'DD Speed Relay'!J70</f>
        <v>0</v>
      </c>
      <c r="I227" t="str">
        <f t="shared" si="6"/>
        <v>DDSR-Double Dutch Speed Relay</v>
      </c>
    </row>
    <row r="228" spans="1:9" x14ac:dyDescent="0.25">
      <c r="A228">
        <f>'Team Info'!$B$3</f>
        <v>0</v>
      </c>
      <c r="B228">
        <f>'DD Speed Relay'!A73</f>
        <v>1</v>
      </c>
      <c r="C228" t="str">
        <f>'DD Speed Relay'!B73</f>
        <v>DDSR</v>
      </c>
      <c r="D228" t="str">
        <f>'DD Speed Relay'!C73</f>
        <v>30-over</v>
      </c>
      <c r="E228">
        <f>'DD Speed Relay'!D73</f>
        <v>0</v>
      </c>
      <c r="F228">
        <f>'DD Speed Relay'!F73</f>
        <v>0</v>
      </c>
      <c r="G228">
        <f>'DD Speed Relay'!H73</f>
        <v>0</v>
      </c>
      <c r="H228">
        <f>'DD Speed Relay'!J73</f>
        <v>0</v>
      </c>
      <c r="I228" t="str">
        <f t="shared" si="6"/>
        <v>DDSR-Double Dutch Speed Relay</v>
      </c>
    </row>
    <row r="229" spans="1:9" x14ac:dyDescent="0.25">
      <c r="A229">
        <f>'Team Info'!$B$3</f>
        <v>0</v>
      </c>
      <c r="B229">
        <f>'DD Speed Relay'!A74</f>
        <v>2</v>
      </c>
      <c r="C229" t="str">
        <f>'DD Speed Relay'!B74</f>
        <v>DDSR</v>
      </c>
      <c r="D229" t="str">
        <f>'DD Speed Relay'!C74</f>
        <v>30-over</v>
      </c>
      <c r="E229">
        <f>'DD Speed Relay'!D74</f>
        <v>0</v>
      </c>
      <c r="F229">
        <f>'DD Speed Relay'!F74</f>
        <v>0</v>
      </c>
      <c r="G229">
        <f>'DD Speed Relay'!H74</f>
        <v>0</v>
      </c>
      <c r="H229">
        <f>'DD Speed Relay'!J74</f>
        <v>0</v>
      </c>
      <c r="I229" t="str">
        <f t="shared" si="6"/>
        <v>DDSR-Double Dutch Speed Relay</v>
      </c>
    </row>
    <row r="230" spans="1:9" x14ac:dyDescent="0.25">
      <c r="A230">
        <f>'Team Info'!$B$3</f>
        <v>0</v>
      </c>
      <c r="B230">
        <f>'DD Speed Relay'!A75</f>
        <v>3</v>
      </c>
      <c r="C230" t="str">
        <f>'DD Speed Relay'!B75</f>
        <v>DDSR</v>
      </c>
      <c r="D230" t="str">
        <f>'DD Speed Relay'!C75</f>
        <v>30-over</v>
      </c>
      <c r="E230">
        <f>'DD Speed Relay'!D75</f>
        <v>0</v>
      </c>
      <c r="F230">
        <f>'DD Speed Relay'!F75</f>
        <v>0</v>
      </c>
      <c r="G230">
        <f>'DD Speed Relay'!H75</f>
        <v>0</v>
      </c>
      <c r="H230">
        <f>'DD Speed Relay'!J75</f>
        <v>0</v>
      </c>
      <c r="I230" t="str">
        <f t="shared" si="6"/>
        <v>DDSR-Double Dutch Speed Relay</v>
      </c>
    </row>
    <row r="231" spans="1:9" x14ac:dyDescent="0.25">
      <c r="A231">
        <f>'Team Info'!$B$3</f>
        <v>0</v>
      </c>
      <c r="B231">
        <f>'DD Speed Relay'!A76</f>
        <v>4</v>
      </c>
      <c r="C231" t="str">
        <f>'DD Speed Relay'!B76</f>
        <v>DDSR</v>
      </c>
      <c r="D231" t="str">
        <f>'DD Speed Relay'!C76</f>
        <v>30-over</v>
      </c>
      <c r="E231">
        <f>'DD Speed Relay'!D76</f>
        <v>0</v>
      </c>
      <c r="F231">
        <f>'DD Speed Relay'!F76</f>
        <v>0</v>
      </c>
      <c r="G231">
        <f>'DD Speed Relay'!H76</f>
        <v>0</v>
      </c>
      <c r="H231">
        <f>'DD Speed Relay'!J76</f>
        <v>0</v>
      </c>
      <c r="I231" t="str">
        <f t="shared" si="6"/>
        <v>DDSR-Double Dutch Speed Relay</v>
      </c>
    </row>
    <row r="232" spans="1:9" x14ac:dyDescent="0.25">
      <c r="A232">
        <f>'Team Info'!$B$3</f>
        <v>0</v>
      </c>
      <c r="B232">
        <f>'DD Speed Relay'!A77</f>
        <v>5</v>
      </c>
      <c r="C232" t="str">
        <f>'DD Speed Relay'!B77</f>
        <v>DDSR</v>
      </c>
      <c r="D232" t="str">
        <f>'DD Speed Relay'!C77</f>
        <v>30-over</v>
      </c>
      <c r="E232">
        <f>'DD Speed Relay'!D77</f>
        <v>0</v>
      </c>
      <c r="F232">
        <f>'DD Speed Relay'!F77</f>
        <v>0</v>
      </c>
      <c r="G232">
        <f>'DD Speed Relay'!H77</f>
        <v>0</v>
      </c>
      <c r="H232">
        <f>'DD Speed Relay'!J77</f>
        <v>0</v>
      </c>
      <c r="I232" t="str">
        <f t="shared" si="6"/>
        <v>DDSR-Double Dutch Speed Relay</v>
      </c>
    </row>
    <row r="233" spans="1:9" x14ac:dyDescent="0.25">
      <c r="A233">
        <f>'Team Info'!$B$3</f>
        <v>0</v>
      </c>
      <c r="B233">
        <f>'Double Dutch Pairs Freestyle'!A48</f>
        <v>1</v>
      </c>
      <c r="C233" t="str">
        <f>'Double Dutch Pairs Freestyle'!B48</f>
        <v>FDDPF</v>
      </c>
      <c r="D233" t="str">
        <f>'Double Dutch Pairs Freestyle'!C48</f>
        <v>15-17</v>
      </c>
      <c r="E233">
        <f>'Double Dutch Pairs Freestyle'!D48</f>
        <v>0</v>
      </c>
      <c r="F233">
        <f>'Double Dutch Pairs Freestyle'!F48</f>
        <v>0</v>
      </c>
      <c r="G233">
        <f>'Double Dutch Pairs Freestyle'!H48</f>
        <v>0</v>
      </c>
      <c r="H233">
        <f>'Double Dutch Pairs Freestyle'!J48</f>
        <v>0</v>
      </c>
      <c r="I233" t="str">
        <f t="shared" si="6"/>
        <v>FDDPF-Female Double Dutch Pairs Freestyle</v>
      </c>
    </row>
    <row r="234" spans="1:9" x14ac:dyDescent="0.25">
      <c r="A234">
        <f>'Team Info'!$B$3</f>
        <v>0</v>
      </c>
      <c r="B234">
        <f>'Double Dutch Pairs Freestyle'!A49</f>
        <v>2</v>
      </c>
      <c r="C234" t="str">
        <f>'Double Dutch Pairs Freestyle'!B49</f>
        <v>FDDPF</v>
      </c>
      <c r="D234" t="str">
        <f>'Double Dutch Pairs Freestyle'!C49</f>
        <v>15-17</v>
      </c>
      <c r="E234">
        <f>'Double Dutch Pairs Freestyle'!D49</f>
        <v>0</v>
      </c>
      <c r="F234">
        <f>'Double Dutch Pairs Freestyle'!F49</f>
        <v>0</v>
      </c>
      <c r="G234">
        <f>'Double Dutch Pairs Freestyle'!H49</f>
        <v>0</v>
      </c>
      <c r="H234">
        <f>'Double Dutch Pairs Freestyle'!J49</f>
        <v>0</v>
      </c>
      <c r="I234" t="str">
        <f t="shared" si="6"/>
        <v>FDDPF-Female Double Dutch Pairs Freestyle</v>
      </c>
    </row>
    <row r="235" spans="1:9" x14ac:dyDescent="0.25">
      <c r="A235">
        <f>'Team Info'!$B$3</f>
        <v>0</v>
      </c>
      <c r="B235">
        <f>'Double Dutch Pairs Freestyle'!A50</f>
        <v>3</v>
      </c>
      <c r="C235" t="str">
        <f>'Double Dutch Pairs Freestyle'!B50</f>
        <v>FDDPF</v>
      </c>
      <c r="D235" t="str">
        <f>'Double Dutch Pairs Freestyle'!C50</f>
        <v>15-17</v>
      </c>
      <c r="E235">
        <f>'Double Dutch Pairs Freestyle'!D50</f>
        <v>0</v>
      </c>
      <c r="F235">
        <f>'Double Dutch Pairs Freestyle'!F50</f>
        <v>0</v>
      </c>
      <c r="G235">
        <f>'Double Dutch Pairs Freestyle'!H50</f>
        <v>0</v>
      </c>
      <c r="H235">
        <f>'Double Dutch Pairs Freestyle'!J50</f>
        <v>0</v>
      </c>
      <c r="I235" t="str">
        <f t="shared" si="6"/>
        <v>FDDPF-Female Double Dutch Pairs Freestyle</v>
      </c>
    </row>
    <row r="236" spans="1:9" x14ac:dyDescent="0.25">
      <c r="A236">
        <f>'Team Info'!$B$3</f>
        <v>0</v>
      </c>
      <c r="B236">
        <f>'Double Dutch Pairs Freestyle'!A51</f>
        <v>4</v>
      </c>
      <c r="C236" t="str">
        <f>'Double Dutch Pairs Freestyle'!B51</f>
        <v>FDDPF</v>
      </c>
      <c r="D236" t="str">
        <f>'Double Dutch Pairs Freestyle'!C51</f>
        <v>15-17</v>
      </c>
      <c r="E236">
        <f>'Double Dutch Pairs Freestyle'!D51</f>
        <v>0</v>
      </c>
      <c r="F236">
        <f>'Double Dutch Pairs Freestyle'!F51</f>
        <v>0</v>
      </c>
      <c r="G236">
        <f>'Double Dutch Pairs Freestyle'!H51</f>
        <v>0</v>
      </c>
      <c r="H236">
        <f>'Double Dutch Pairs Freestyle'!J51</f>
        <v>0</v>
      </c>
      <c r="I236" t="str">
        <f t="shared" si="6"/>
        <v>FDDPF-Female Double Dutch Pairs Freestyle</v>
      </c>
    </row>
    <row r="237" spans="1:9" x14ac:dyDescent="0.25">
      <c r="A237">
        <f>'Team Info'!$B$3</f>
        <v>0</v>
      </c>
      <c r="B237">
        <f>'Double Dutch Pairs Freestyle'!A52</f>
        <v>5</v>
      </c>
      <c r="C237" t="str">
        <f>'Double Dutch Pairs Freestyle'!B52</f>
        <v>FDDPF</v>
      </c>
      <c r="D237" t="str">
        <f>'Double Dutch Pairs Freestyle'!C52</f>
        <v>15-17</v>
      </c>
      <c r="E237">
        <f>'Double Dutch Pairs Freestyle'!D52</f>
        <v>0</v>
      </c>
      <c r="F237">
        <f>'Double Dutch Pairs Freestyle'!F52</f>
        <v>0</v>
      </c>
      <c r="G237">
        <f>'Double Dutch Pairs Freestyle'!H52</f>
        <v>0</v>
      </c>
      <c r="H237">
        <f>'Double Dutch Pairs Freestyle'!J52</f>
        <v>0</v>
      </c>
      <c r="I237" t="str">
        <f t="shared" si="6"/>
        <v>FDDPF-Female Double Dutch Pairs Freestyle</v>
      </c>
    </row>
    <row r="238" spans="1:9" x14ac:dyDescent="0.25">
      <c r="A238">
        <f>'Team Info'!$B$3</f>
        <v>0</v>
      </c>
      <c r="B238">
        <f>'Double Dutch Pairs Freestyle'!A53</f>
        <v>6</v>
      </c>
      <c r="C238" t="str">
        <f>'Double Dutch Pairs Freestyle'!B53</f>
        <v>FDDPF</v>
      </c>
      <c r="D238" t="str">
        <f>'Double Dutch Pairs Freestyle'!C53</f>
        <v>15-17</v>
      </c>
      <c r="E238">
        <f>'Double Dutch Pairs Freestyle'!D53</f>
        <v>0</v>
      </c>
      <c r="F238">
        <f>'Double Dutch Pairs Freestyle'!F53</f>
        <v>0</v>
      </c>
      <c r="G238">
        <f>'Double Dutch Pairs Freestyle'!H53</f>
        <v>0</v>
      </c>
      <c r="H238">
        <f>'Double Dutch Pairs Freestyle'!J53</f>
        <v>0</v>
      </c>
      <c r="I238" t="str">
        <f t="shared" si="6"/>
        <v>FDDPF-Female Double Dutch Pairs Freestyle</v>
      </c>
    </row>
    <row r="239" spans="1:9" x14ac:dyDescent="0.25">
      <c r="A239">
        <f>'Team Info'!$B$3</f>
        <v>0</v>
      </c>
      <c r="B239">
        <f>'Double Dutch Pairs Freestyle'!A54</f>
        <v>7</v>
      </c>
      <c r="C239" t="str">
        <f>'Double Dutch Pairs Freestyle'!B54</f>
        <v>FDDPF</v>
      </c>
      <c r="D239" t="str">
        <f>'Double Dutch Pairs Freestyle'!C54</f>
        <v>15-17</v>
      </c>
      <c r="E239">
        <f>'Double Dutch Pairs Freestyle'!D54</f>
        <v>0</v>
      </c>
      <c r="F239">
        <f>'Double Dutch Pairs Freestyle'!F54</f>
        <v>0</v>
      </c>
      <c r="G239">
        <f>'Double Dutch Pairs Freestyle'!H54</f>
        <v>0</v>
      </c>
      <c r="H239">
        <f>'Double Dutch Pairs Freestyle'!J54</f>
        <v>0</v>
      </c>
      <c r="I239" t="str">
        <f t="shared" si="6"/>
        <v>FDDPF-Female Double Dutch Pairs Freestyle</v>
      </c>
    </row>
    <row r="240" spans="1:9" x14ac:dyDescent="0.25">
      <c r="A240">
        <f>'Team Info'!$B$3</f>
        <v>0</v>
      </c>
      <c r="B240">
        <f>'Double Dutch Pairs Freestyle'!A55</f>
        <v>8</v>
      </c>
      <c r="C240" t="str">
        <f>'Double Dutch Pairs Freestyle'!B55</f>
        <v>FDDPF</v>
      </c>
      <c r="D240" t="str">
        <f>'Double Dutch Pairs Freestyle'!C55</f>
        <v>15-17</v>
      </c>
      <c r="E240">
        <f>'Double Dutch Pairs Freestyle'!D55</f>
        <v>0</v>
      </c>
      <c r="F240">
        <f>'Double Dutch Pairs Freestyle'!F55</f>
        <v>0</v>
      </c>
      <c r="G240">
        <f>'Double Dutch Pairs Freestyle'!H55</f>
        <v>0</v>
      </c>
      <c r="H240">
        <f>'Double Dutch Pairs Freestyle'!J55</f>
        <v>0</v>
      </c>
      <c r="I240" t="str">
        <f t="shared" si="6"/>
        <v>FDDPF-Female Double Dutch Pairs Freestyle</v>
      </c>
    </row>
    <row r="241" spans="1:9" x14ac:dyDescent="0.25">
      <c r="A241">
        <f>'Team Info'!$B$3</f>
        <v>0</v>
      </c>
      <c r="B241">
        <f>'Double Dutch Pairs Freestyle'!A59</f>
        <v>1</v>
      </c>
      <c r="C241" t="str">
        <f>'Double Dutch Pairs Freestyle'!B59</f>
        <v>FDDPF</v>
      </c>
      <c r="D241" t="str">
        <f>'Double Dutch Pairs Freestyle'!C59</f>
        <v>18-over</v>
      </c>
      <c r="E241">
        <f>'Double Dutch Pairs Freestyle'!D59</f>
        <v>0</v>
      </c>
      <c r="F241">
        <f>'Double Dutch Pairs Freestyle'!F59</f>
        <v>0</v>
      </c>
      <c r="G241">
        <f>'Double Dutch Pairs Freestyle'!H59</f>
        <v>0</v>
      </c>
      <c r="H241">
        <f>'Double Dutch Pairs Freestyle'!J59</f>
        <v>0</v>
      </c>
      <c r="I241" t="str">
        <f t="shared" si="6"/>
        <v>FDDPF-Female Double Dutch Pairs Freestyle</v>
      </c>
    </row>
    <row r="242" spans="1:9" x14ac:dyDescent="0.25">
      <c r="A242">
        <f>'Team Info'!$B$3</f>
        <v>0</v>
      </c>
      <c r="B242">
        <f>'Double Dutch Pairs Freestyle'!A60</f>
        <v>2</v>
      </c>
      <c r="C242" t="str">
        <f>'Double Dutch Pairs Freestyle'!B60</f>
        <v>FDDPF</v>
      </c>
      <c r="D242" t="str">
        <f>'Double Dutch Pairs Freestyle'!C60</f>
        <v>18-over</v>
      </c>
      <c r="E242">
        <f>'Double Dutch Pairs Freestyle'!D60</f>
        <v>0</v>
      </c>
      <c r="F242">
        <f>'Double Dutch Pairs Freestyle'!F60</f>
        <v>0</v>
      </c>
      <c r="G242">
        <f>'Double Dutch Pairs Freestyle'!H60</f>
        <v>0</v>
      </c>
      <c r="H242">
        <f>'Double Dutch Pairs Freestyle'!J60</f>
        <v>0</v>
      </c>
      <c r="I242" t="str">
        <f t="shared" si="6"/>
        <v>FDDPF-Female Double Dutch Pairs Freestyle</v>
      </c>
    </row>
    <row r="243" spans="1:9" x14ac:dyDescent="0.25">
      <c r="A243">
        <f>'Team Info'!$B$3</f>
        <v>0</v>
      </c>
      <c r="B243">
        <f>'Double Dutch Pairs Freestyle'!A61</f>
        <v>3</v>
      </c>
      <c r="C243" t="str">
        <f>'Double Dutch Pairs Freestyle'!B61</f>
        <v>FDDPF</v>
      </c>
      <c r="D243" t="str">
        <f>'Double Dutch Pairs Freestyle'!C61</f>
        <v>18-over</v>
      </c>
      <c r="E243">
        <f>'Double Dutch Pairs Freestyle'!D61</f>
        <v>0</v>
      </c>
      <c r="F243">
        <f>'Double Dutch Pairs Freestyle'!F61</f>
        <v>0</v>
      </c>
      <c r="G243">
        <f>'Double Dutch Pairs Freestyle'!H61</f>
        <v>0</v>
      </c>
      <c r="H243">
        <f>'Double Dutch Pairs Freestyle'!J61</f>
        <v>0</v>
      </c>
      <c r="I243" t="str">
        <f t="shared" si="6"/>
        <v>FDDPF-Female Double Dutch Pairs Freestyle</v>
      </c>
    </row>
    <row r="244" spans="1:9" x14ac:dyDescent="0.25">
      <c r="A244">
        <f>'Team Info'!$B$3</f>
        <v>0</v>
      </c>
      <c r="B244">
        <f>'Double Dutch Pairs Freestyle'!A62</f>
        <v>4</v>
      </c>
      <c r="C244" t="str">
        <f>'Double Dutch Pairs Freestyle'!B62</f>
        <v>FDDPF</v>
      </c>
      <c r="D244" t="str">
        <f>'Double Dutch Pairs Freestyle'!C62</f>
        <v>18-over</v>
      </c>
      <c r="E244">
        <f>'Double Dutch Pairs Freestyle'!D62</f>
        <v>0</v>
      </c>
      <c r="F244">
        <f>'Double Dutch Pairs Freestyle'!F62</f>
        <v>0</v>
      </c>
      <c r="G244">
        <f>'Double Dutch Pairs Freestyle'!H62</f>
        <v>0</v>
      </c>
      <c r="H244">
        <f>'Double Dutch Pairs Freestyle'!J62</f>
        <v>0</v>
      </c>
      <c r="I244" t="str">
        <f t="shared" si="6"/>
        <v>FDDPF-Female Double Dutch Pairs Freestyle</v>
      </c>
    </row>
    <row r="245" spans="1:9" x14ac:dyDescent="0.25">
      <c r="A245">
        <f>'Team Info'!$B$3</f>
        <v>0</v>
      </c>
      <c r="B245">
        <f>'Double Dutch Pairs Freestyle'!A63</f>
        <v>5</v>
      </c>
      <c r="C245" t="str">
        <f>'Double Dutch Pairs Freestyle'!B63</f>
        <v>FDDPF</v>
      </c>
      <c r="D245" t="str">
        <f>'Double Dutch Pairs Freestyle'!C63</f>
        <v>18-over</v>
      </c>
      <c r="E245">
        <f>'Double Dutch Pairs Freestyle'!D63</f>
        <v>0</v>
      </c>
      <c r="F245">
        <f>'Double Dutch Pairs Freestyle'!F63</f>
        <v>0</v>
      </c>
      <c r="G245">
        <f>'Double Dutch Pairs Freestyle'!H63</f>
        <v>0</v>
      </c>
      <c r="H245">
        <f>'Double Dutch Pairs Freestyle'!J63</f>
        <v>0</v>
      </c>
      <c r="I245" t="str">
        <f t="shared" si="6"/>
        <v>FDDPF-Female Double Dutch Pairs Freestyle</v>
      </c>
    </row>
    <row r="246" spans="1:9" x14ac:dyDescent="0.25">
      <c r="A246">
        <f>'Team Info'!$B$3</f>
        <v>0</v>
      </c>
      <c r="B246">
        <f>'Double Dutch Pairs Freestyle'!A64</f>
        <v>6</v>
      </c>
      <c r="C246" t="str">
        <f>'Double Dutch Pairs Freestyle'!B64</f>
        <v>FDDPF</v>
      </c>
      <c r="D246" t="str">
        <f>'Double Dutch Pairs Freestyle'!C64</f>
        <v>18-over</v>
      </c>
      <c r="E246">
        <f>'Double Dutch Pairs Freestyle'!D64</f>
        <v>0</v>
      </c>
      <c r="F246">
        <f>'Double Dutch Pairs Freestyle'!F64</f>
        <v>0</v>
      </c>
      <c r="G246">
        <f>'Double Dutch Pairs Freestyle'!H64</f>
        <v>0</v>
      </c>
      <c r="H246">
        <f>'Double Dutch Pairs Freestyle'!J64</f>
        <v>0</v>
      </c>
      <c r="I246" t="str">
        <f t="shared" si="6"/>
        <v>FDDPF-Female Double Dutch Pairs Freestyle</v>
      </c>
    </row>
    <row r="247" spans="1:9" x14ac:dyDescent="0.25">
      <c r="A247">
        <f>'Team Info'!$B$3</f>
        <v>0</v>
      </c>
      <c r="B247">
        <f>'Double Dutch Single Freestyle'!A65</f>
        <v>1</v>
      </c>
      <c r="C247" t="str">
        <f>'Double Dutch Single Freestyle'!B65</f>
        <v>FDDSF</v>
      </c>
      <c r="D247" t="str">
        <f>'Double Dutch Single Freestyle'!C65</f>
        <v>15-17</v>
      </c>
      <c r="E247">
        <f>'Double Dutch Single Freestyle'!D65</f>
        <v>0</v>
      </c>
      <c r="F247">
        <f>'Double Dutch Single Freestyle'!F65</f>
        <v>0</v>
      </c>
      <c r="G247">
        <f>'Double Dutch Single Freestyle'!H65</f>
        <v>0</v>
      </c>
      <c r="I247" t="str">
        <f t="shared" si="6"/>
        <v>FDDSF-Female Double Dutch Single Freestyle</v>
      </c>
    </row>
    <row r="248" spans="1:9" x14ac:dyDescent="0.25">
      <c r="A248">
        <f>'Team Info'!$B$3</f>
        <v>0</v>
      </c>
      <c r="B248">
        <f>'Double Dutch Single Freestyle'!A66</f>
        <v>2</v>
      </c>
      <c r="C248" t="str">
        <f>'Double Dutch Single Freestyle'!B66</f>
        <v>FDDSF</v>
      </c>
      <c r="D248" t="str">
        <f>'Double Dutch Single Freestyle'!C66</f>
        <v>15-17</v>
      </c>
      <c r="E248">
        <f>'Double Dutch Single Freestyle'!D66</f>
        <v>0</v>
      </c>
      <c r="F248">
        <f>'Double Dutch Single Freestyle'!F66</f>
        <v>0</v>
      </c>
      <c r="G248">
        <f>'Double Dutch Single Freestyle'!H66</f>
        <v>0</v>
      </c>
      <c r="I248" t="str">
        <f t="shared" si="6"/>
        <v>FDDSF-Female Double Dutch Single Freestyle</v>
      </c>
    </row>
    <row r="249" spans="1:9" x14ac:dyDescent="0.25">
      <c r="A249">
        <f>'Team Info'!$B$3</f>
        <v>0</v>
      </c>
      <c r="B249">
        <f>'Double Dutch Single Freestyle'!A67</f>
        <v>3</v>
      </c>
      <c r="C249" t="str">
        <f>'Double Dutch Single Freestyle'!B67</f>
        <v>FDDSF</v>
      </c>
      <c r="D249" t="str">
        <f>'Double Dutch Single Freestyle'!C67</f>
        <v>15-17</v>
      </c>
      <c r="E249">
        <f>'Double Dutch Single Freestyle'!D67</f>
        <v>0</v>
      </c>
      <c r="F249">
        <f>'Double Dutch Single Freestyle'!F67</f>
        <v>0</v>
      </c>
      <c r="G249">
        <f>'Double Dutch Single Freestyle'!H67</f>
        <v>0</v>
      </c>
      <c r="I249" t="str">
        <f t="shared" si="6"/>
        <v>FDDSF-Female Double Dutch Single Freestyle</v>
      </c>
    </row>
    <row r="250" spans="1:9" x14ac:dyDescent="0.25">
      <c r="A250">
        <f>'Team Info'!$B$3</f>
        <v>0</v>
      </c>
      <c r="B250">
        <f>'Double Dutch Single Freestyle'!A68</f>
        <v>4</v>
      </c>
      <c r="C250" t="str">
        <f>'Double Dutch Single Freestyle'!B68</f>
        <v>FDDSF</v>
      </c>
      <c r="D250" t="str">
        <f>'Double Dutch Single Freestyle'!C68</f>
        <v>15-17</v>
      </c>
      <c r="E250">
        <f>'Double Dutch Single Freestyle'!D68</f>
        <v>0</v>
      </c>
      <c r="F250">
        <f>'Double Dutch Single Freestyle'!F68</f>
        <v>0</v>
      </c>
      <c r="G250">
        <f>'Double Dutch Single Freestyle'!H68</f>
        <v>0</v>
      </c>
      <c r="I250" t="str">
        <f t="shared" si="6"/>
        <v>FDDSF-Female Double Dutch Single Freestyle</v>
      </c>
    </row>
    <row r="251" spans="1:9" x14ac:dyDescent="0.25">
      <c r="A251">
        <f>'Team Info'!$B$3</f>
        <v>0</v>
      </c>
      <c r="B251">
        <f>'Double Dutch Single Freestyle'!A69</f>
        <v>5</v>
      </c>
      <c r="C251" t="str">
        <f>'Double Dutch Single Freestyle'!B69</f>
        <v>FDDSF</v>
      </c>
      <c r="D251" t="str">
        <f>'Double Dutch Single Freestyle'!C69</f>
        <v>15-17</v>
      </c>
      <c r="E251">
        <f>'Double Dutch Single Freestyle'!D69</f>
        <v>0</v>
      </c>
      <c r="F251">
        <f>'Double Dutch Single Freestyle'!F69</f>
        <v>0</v>
      </c>
      <c r="G251">
        <f>'Double Dutch Single Freestyle'!H69</f>
        <v>0</v>
      </c>
      <c r="I251" t="str">
        <f t="shared" si="6"/>
        <v>FDDSF-Female Double Dutch Single Freestyle</v>
      </c>
    </row>
    <row r="252" spans="1:9" x14ac:dyDescent="0.25">
      <c r="A252">
        <f>'Team Info'!$B$3</f>
        <v>0</v>
      </c>
      <c r="B252">
        <f>'Double Dutch Single Freestyle'!A70</f>
        <v>6</v>
      </c>
      <c r="C252" t="str">
        <f>'Double Dutch Single Freestyle'!B70</f>
        <v>FDDSF</v>
      </c>
      <c r="D252" t="str">
        <f>'Double Dutch Single Freestyle'!C70</f>
        <v>15-17</v>
      </c>
      <c r="E252">
        <f>'Double Dutch Single Freestyle'!D70</f>
        <v>0</v>
      </c>
      <c r="F252">
        <f>'Double Dutch Single Freestyle'!F70</f>
        <v>0</v>
      </c>
      <c r="G252">
        <f>'Double Dutch Single Freestyle'!H70</f>
        <v>0</v>
      </c>
      <c r="I252" t="str">
        <f t="shared" si="6"/>
        <v>FDDSF-Female Double Dutch Single Freestyle</v>
      </c>
    </row>
    <row r="253" spans="1:9" x14ac:dyDescent="0.25">
      <c r="A253">
        <f>'Team Info'!$B$3</f>
        <v>0</v>
      </c>
      <c r="B253">
        <f>'Double Dutch Single Freestyle'!A71</f>
        <v>7</v>
      </c>
      <c r="C253" t="str">
        <f>'Double Dutch Single Freestyle'!B71</f>
        <v>FDDSF</v>
      </c>
      <c r="D253" t="str">
        <f>'Double Dutch Single Freestyle'!C71</f>
        <v>15-17</v>
      </c>
      <c r="E253">
        <f>'Double Dutch Single Freestyle'!D71</f>
        <v>0</v>
      </c>
      <c r="F253">
        <f>'Double Dutch Single Freestyle'!F71</f>
        <v>0</v>
      </c>
      <c r="G253">
        <f>'Double Dutch Single Freestyle'!H71</f>
        <v>0</v>
      </c>
      <c r="I253" t="str">
        <f t="shared" si="6"/>
        <v>FDDSF-Female Double Dutch Single Freestyle</v>
      </c>
    </row>
    <row r="254" spans="1:9" x14ac:dyDescent="0.25">
      <c r="A254">
        <f>'Team Info'!$B$3</f>
        <v>0</v>
      </c>
      <c r="B254">
        <f>'Double Dutch Single Freestyle'!A72</f>
        <v>8</v>
      </c>
      <c r="C254" t="str">
        <f>'Double Dutch Single Freestyle'!B72</f>
        <v>FDDSF</v>
      </c>
      <c r="D254" t="str">
        <f>'Double Dutch Single Freestyle'!C72</f>
        <v>15-17</v>
      </c>
      <c r="E254">
        <f>'Double Dutch Single Freestyle'!D72</f>
        <v>0</v>
      </c>
      <c r="F254">
        <f>'Double Dutch Single Freestyle'!F72</f>
        <v>0</v>
      </c>
      <c r="G254">
        <f>'Double Dutch Single Freestyle'!H72</f>
        <v>0</v>
      </c>
      <c r="I254" t="str">
        <f t="shared" si="6"/>
        <v>FDDSF-Female Double Dutch Single Freestyle</v>
      </c>
    </row>
    <row r="255" spans="1:9" x14ac:dyDescent="0.25">
      <c r="A255">
        <f>'Team Info'!$B$3</f>
        <v>0</v>
      </c>
      <c r="B255">
        <f>'Double Dutch Single Freestyle'!A76</f>
        <v>1</v>
      </c>
      <c r="C255" t="str">
        <f>'Double Dutch Single Freestyle'!B76</f>
        <v>FDDSF</v>
      </c>
      <c r="D255" t="str">
        <f>'Double Dutch Single Freestyle'!C76</f>
        <v>18-over</v>
      </c>
      <c r="E255">
        <f>'Double Dutch Single Freestyle'!D76</f>
        <v>0</v>
      </c>
      <c r="F255">
        <f>'Double Dutch Single Freestyle'!F76</f>
        <v>0</v>
      </c>
      <c r="G255">
        <f>'Double Dutch Single Freestyle'!H76</f>
        <v>0</v>
      </c>
      <c r="I255" t="str">
        <f t="shared" si="6"/>
        <v>FDDSF-Female Double Dutch Single Freestyle</v>
      </c>
    </row>
    <row r="256" spans="1:9" x14ac:dyDescent="0.25">
      <c r="A256">
        <f>'Team Info'!$B$3</f>
        <v>0</v>
      </c>
      <c r="B256">
        <f>'Double Dutch Single Freestyle'!A77</f>
        <v>2</v>
      </c>
      <c r="C256" t="str">
        <f>'Double Dutch Single Freestyle'!B77</f>
        <v>FDDSF</v>
      </c>
      <c r="D256" t="str">
        <f>'Double Dutch Single Freestyle'!C77</f>
        <v>18-over</v>
      </c>
      <c r="E256">
        <f>'Double Dutch Single Freestyle'!D77</f>
        <v>0</v>
      </c>
      <c r="F256">
        <f>'Double Dutch Single Freestyle'!F77</f>
        <v>0</v>
      </c>
      <c r="G256">
        <f>'Double Dutch Single Freestyle'!H77</f>
        <v>0</v>
      </c>
      <c r="I256" t="str">
        <f t="shared" si="6"/>
        <v>FDDSF-Female Double Dutch Single Freestyle</v>
      </c>
    </row>
    <row r="257" spans="1:9" x14ac:dyDescent="0.25">
      <c r="A257">
        <f>'Team Info'!$B$3</f>
        <v>0</v>
      </c>
      <c r="B257">
        <f>'Double Dutch Single Freestyle'!A78</f>
        <v>3</v>
      </c>
      <c r="C257" t="str">
        <f>'Double Dutch Single Freestyle'!B78</f>
        <v>FDDSF</v>
      </c>
      <c r="D257" t="str">
        <f>'Double Dutch Single Freestyle'!C78</f>
        <v>18-over</v>
      </c>
      <c r="E257">
        <f>'Double Dutch Single Freestyle'!D78</f>
        <v>0</v>
      </c>
      <c r="F257">
        <f>'Double Dutch Single Freestyle'!F78</f>
        <v>0</v>
      </c>
      <c r="G257">
        <f>'Double Dutch Single Freestyle'!H78</f>
        <v>0</v>
      </c>
      <c r="I257" t="str">
        <f t="shared" si="6"/>
        <v>FDDSF-Female Double Dutch Single Freestyle</v>
      </c>
    </row>
    <row r="258" spans="1:9" x14ac:dyDescent="0.25">
      <c r="A258">
        <f>'Team Info'!$B$3</f>
        <v>0</v>
      </c>
      <c r="B258">
        <f>'Double Dutch Single Freestyle'!A79</f>
        <v>4</v>
      </c>
      <c r="C258" t="str">
        <f>'Double Dutch Single Freestyle'!B79</f>
        <v>FDDSF</v>
      </c>
      <c r="D258" t="str">
        <f>'Double Dutch Single Freestyle'!C79</f>
        <v>18-over</v>
      </c>
      <c r="E258">
        <f>'Double Dutch Single Freestyle'!D79</f>
        <v>0</v>
      </c>
      <c r="F258">
        <f>'Double Dutch Single Freestyle'!F79</f>
        <v>0</v>
      </c>
      <c r="G258">
        <f>'Double Dutch Single Freestyle'!H79</f>
        <v>0</v>
      </c>
      <c r="I258" t="str">
        <f t="shared" si="6"/>
        <v>FDDSF-Female Double Dutch Single Freestyle</v>
      </c>
    </row>
    <row r="259" spans="1:9" x14ac:dyDescent="0.25">
      <c r="A259">
        <f>'Team Info'!$B$3</f>
        <v>0</v>
      </c>
      <c r="B259">
        <f>'Double Dutch Single Freestyle'!A80</f>
        <v>5</v>
      </c>
      <c r="C259" t="str">
        <f>'Double Dutch Single Freestyle'!B80</f>
        <v>FDDSF</v>
      </c>
      <c r="D259" t="str">
        <f>'Double Dutch Single Freestyle'!C80</f>
        <v>18-over</v>
      </c>
      <c r="E259">
        <f>'Double Dutch Single Freestyle'!D80</f>
        <v>0</v>
      </c>
      <c r="F259">
        <f>'Double Dutch Single Freestyle'!F80</f>
        <v>0</v>
      </c>
      <c r="G259">
        <f>'Double Dutch Single Freestyle'!H80</f>
        <v>0</v>
      </c>
      <c r="I259" t="str">
        <f t="shared" si="6"/>
        <v>FDDSF-Female Double Dutch Single Freestyle</v>
      </c>
    </row>
    <row r="260" spans="1:9" x14ac:dyDescent="0.25">
      <c r="A260">
        <f>'Team Info'!$B$3</f>
        <v>0</v>
      </c>
      <c r="B260">
        <f>'Double Dutch Single Freestyle'!A81</f>
        <v>6</v>
      </c>
      <c r="C260" t="str">
        <f>'Double Dutch Single Freestyle'!B81</f>
        <v>FDDSF</v>
      </c>
      <c r="D260" t="str">
        <f>'Double Dutch Single Freestyle'!C81</f>
        <v>18-over</v>
      </c>
      <c r="E260">
        <f>'Double Dutch Single Freestyle'!D81</f>
        <v>0</v>
      </c>
      <c r="F260">
        <f>'Double Dutch Single Freestyle'!F81</f>
        <v>0</v>
      </c>
      <c r="G260">
        <f>'Double Dutch Single Freestyle'!H81</f>
        <v>0</v>
      </c>
      <c r="I260" t="str">
        <f t="shared" si="6"/>
        <v>FDDSF-Female Double Dutch Single Freestyle</v>
      </c>
    </row>
    <row r="261" spans="1:9" x14ac:dyDescent="0.25">
      <c r="A261">
        <f>'Team Info'!$B$3</f>
        <v>0</v>
      </c>
      <c r="B261">
        <f>'Double Dutch Single Freestyle'!A82</f>
        <v>7</v>
      </c>
      <c r="C261" t="str">
        <f>'Double Dutch Single Freestyle'!B82</f>
        <v>FDDSF</v>
      </c>
      <c r="D261" t="str">
        <f>'Double Dutch Single Freestyle'!C82</f>
        <v>18-over</v>
      </c>
      <c r="E261">
        <f>'Double Dutch Single Freestyle'!D82</f>
        <v>0</v>
      </c>
      <c r="F261">
        <f>'Double Dutch Single Freestyle'!F82</f>
        <v>0</v>
      </c>
      <c r="G261">
        <f>'Double Dutch Single Freestyle'!H82</f>
        <v>0</v>
      </c>
      <c r="I261" t="str">
        <f t="shared" si="6"/>
        <v>FDDSF-Female Double Dutch Single Freestyle</v>
      </c>
    </row>
    <row r="262" spans="1:9" x14ac:dyDescent="0.25">
      <c r="A262">
        <f>'Team Info'!$B$3</f>
        <v>0</v>
      </c>
      <c r="B262">
        <f>'Double Dutch Single Freestyle'!A83</f>
        <v>8</v>
      </c>
      <c r="C262" t="str">
        <f>'Double Dutch Single Freestyle'!B83</f>
        <v>FDDSF</v>
      </c>
      <c r="D262" t="str">
        <f>'Double Dutch Single Freestyle'!C83</f>
        <v>18-over</v>
      </c>
      <c r="E262">
        <f>'Double Dutch Single Freestyle'!D83</f>
        <v>0</v>
      </c>
      <c r="F262">
        <f>'Double Dutch Single Freestyle'!F83</f>
        <v>0</v>
      </c>
      <c r="G262">
        <f>'Double Dutch Single Freestyle'!H83</f>
        <v>0</v>
      </c>
      <c r="I262" t="str">
        <f t="shared" si="6"/>
        <v>FDDSF-Female Double Dutch Single Freestyle</v>
      </c>
    </row>
    <row r="263" spans="1:9" x14ac:dyDescent="0.25">
      <c r="A263">
        <f>'Team Info'!$B$3</f>
        <v>0</v>
      </c>
      <c r="B263">
        <f>'Female SR Individual Freestyle'!A6</f>
        <v>1</v>
      </c>
      <c r="C263" t="str">
        <f>'Female SR Individual Freestyle'!B6</f>
        <v>FSRF</v>
      </c>
      <c r="D263" t="str">
        <f>'Female SR Individual Freestyle'!C6</f>
        <v>8-Under</v>
      </c>
      <c r="E263">
        <f>'Female SR Individual Freestyle'!D6</f>
        <v>0</v>
      </c>
      <c r="I263" t="str">
        <f t="shared" ref="I263:I282" si="7">VLOOKUP(C263,EVENTS,2,FALSE)</f>
        <v>FSRF-Female Single Rope Freestyle</v>
      </c>
    </row>
    <row r="264" spans="1:9" x14ac:dyDescent="0.25">
      <c r="A264">
        <f>'Team Info'!$B$3</f>
        <v>0</v>
      </c>
      <c r="B264">
        <f>'Female SR Individual Freestyle'!A7</f>
        <v>2</v>
      </c>
      <c r="C264" t="str">
        <f>'Female SR Individual Freestyle'!B7</f>
        <v>FSRF</v>
      </c>
      <c r="D264" t="str">
        <f>'Female SR Individual Freestyle'!C7</f>
        <v>8-Under</v>
      </c>
      <c r="E264">
        <f>'Female SR Individual Freestyle'!D7</f>
        <v>0</v>
      </c>
      <c r="I264" t="str">
        <f t="shared" si="7"/>
        <v>FSRF-Female Single Rope Freestyle</v>
      </c>
    </row>
    <row r="265" spans="1:9" x14ac:dyDescent="0.25">
      <c r="A265">
        <f>'Team Info'!$B$3</f>
        <v>0</v>
      </c>
      <c r="B265">
        <f>'Female SR Individual Freestyle'!A8</f>
        <v>3</v>
      </c>
      <c r="C265" t="str">
        <f>'Female SR Individual Freestyle'!B8</f>
        <v>FSRF</v>
      </c>
      <c r="D265" t="str">
        <f>'Female SR Individual Freestyle'!C8</f>
        <v>8-Under</v>
      </c>
      <c r="E265">
        <f>'Female SR Individual Freestyle'!D8</f>
        <v>0</v>
      </c>
      <c r="I265" t="str">
        <f t="shared" si="7"/>
        <v>FSRF-Female Single Rope Freestyle</v>
      </c>
    </row>
    <row r="266" spans="1:9" x14ac:dyDescent="0.25">
      <c r="A266">
        <f>'Team Info'!$B$3</f>
        <v>0</v>
      </c>
      <c r="B266">
        <f>'Female SR Individual Freestyle'!A9</f>
        <v>4</v>
      </c>
      <c r="C266" t="str">
        <f>'Female SR Individual Freestyle'!B9</f>
        <v>FSRF</v>
      </c>
      <c r="D266" t="str">
        <f>'Female SR Individual Freestyle'!C9</f>
        <v>8-Under</v>
      </c>
      <c r="E266">
        <f>'Female SR Individual Freestyle'!D9</f>
        <v>0</v>
      </c>
      <c r="I266" t="str">
        <f t="shared" si="7"/>
        <v>FSRF-Female Single Rope Freestyle</v>
      </c>
    </row>
    <row r="267" spans="1:9" x14ac:dyDescent="0.25">
      <c r="A267">
        <f>'Team Info'!$B$3</f>
        <v>0</v>
      </c>
      <c r="B267">
        <f>'Female SR Individual Freestyle'!A10</f>
        <v>5</v>
      </c>
      <c r="C267" t="str">
        <f>'Female SR Individual Freestyle'!B10</f>
        <v>FSRF</v>
      </c>
      <c r="D267" t="str">
        <f>'Female SR Individual Freestyle'!C10</f>
        <v>8-Under</v>
      </c>
      <c r="E267">
        <f>'Female SR Individual Freestyle'!D10</f>
        <v>0</v>
      </c>
      <c r="I267" t="str">
        <f t="shared" si="7"/>
        <v>FSRF-Female Single Rope Freestyle</v>
      </c>
    </row>
    <row r="268" spans="1:9" x14ac:dyDescent="0.25">
      <c r="A268">
        <f>'Team Info'!$B$3</f>
        <v>0</v>
      </c>
      <c r="B268">
        <f>'Female SR Individual Freestyle'!A11</f>
        <v>6</v>
      </c>
      <c r="C268" t="str">
        <f>'Female SR Individual Freestyle'!B11</f>
        <v>FSRF</v>
      </c>
      <c r="D268" t="str">
        <f>'Female SR Individual Freestyle'!C11</f>
        <v>8-Under</v>
      </c>
      <c r="E268">
        <f>'Female SR Individual Freestyle'!D11</f>
        <v>0</v>
      </c>
      <c r="I268" t="str">
        <f t="shared" si="7"/>
        <v>FSRF-Female Single Rope Freestyle</v>
      </c>
    </row>
    <row r="269" spans="1:9" x14ac:dyDescent="0.25">
      <c r="A269">
        <f>'Team Info'!$B$3</f>
        <v>0</v>
      </c>
      <c r="B269">
        <f>'Female SR Individual Freestyle'!A12</f>
        <v>7</v>
      </c>
      <c r="C269" t="str">
        <f>'Female SR Individual Freestyle'!B12</f>
        <v>FSRF</v>
      </c>
      <c r="D269" t="str">
        <f>'Female SR Individual Freestyle'!C12</f>
        <v>8-Under</v>
      </c>
      <c r="E269">
        <f>'Female SR Individual Freestyle'!D12</f>
        <v>0</v>
      </c>
      <c r="I269" t="str">
        <f t="shared" si="7"/>
        <v>FSRF-Female Single Rope Freestyle</v>
      </c>
    </row>
    <row r="270" spans="1:9" x14ac:dyDescent="0.25">
      <c r="A270">
        <f>'Team Info'!$B$3</f>
        <v>0</v>
      </c>
      <c r="B270">
        <f>'Female SR Individual Freestyle'!A13</f>
        <v>8</v>
      </c>
      <c r="C270" t="str">
        <f>'Female SR Individual Freestyle'!B13</f>
        <v>FSRF</v>
      </c>
      <c r="D270" t="str">
        <f>'Female SR Individual Freestyle'!C13</f>
        <v>8-Under</v>
      </c>
      <c r="E270">
        <f>'Female SR Individual Freestyle'!D13</f>
        <v>0</v>
      </c>
      <c r="I270" t="str">
        <f t="shared" si="7"/>
        <v>FSRF-Female Single Rope Freestyle</v>
      </c>
    </row>
    <row r="271" spans="1:9" x14ac:dyDescent="0.25">
      <c r="A271">
        <f>'Team Info'!$B$3</f>
        <v>0</v>
      </c>
      <c r="B271">
        <f>'Female SR Individual Freestyle'!A14</f>
        <v>9</v>
      </c>
      <c r="C271" t="str">
        <f>'Female SR Individual Freestyle'!B14</f>
        <v>FSRF</v>
      </c>
      <c r="D271" t="str">
        <f>'Female SR Individual Freestyle'!C14</f>
        <v>8-Under</v>
      </c>
      <c r="E271">
        <f>'Female SR Individual Freestyle'!D14</f>
        <v>0</v>
      </c>
      <c r="I271" t="str">
        <f t="shared" si="7"/>
        <v>FSRF-Female Single Rope Freestyle</v>
      </c>
    </row>
    <row r="272" spans="1:9" x14ac:dyDescent="0.25">
      <c r="A272">
        <f>'Team Info'!$B$3</f>
        <v>0</v>
      </c>
      <c r="B272">
        <f>'Female SR Individual Freestyle'!A15</f>
        <v>10</v>
      </c>
      <c r="C272" t="str">
        <f>'Female SR Individual Freestyle'!B15</f>
        <v>FSRF</v>
      </c>
      <c r="D272" t="str">
        <f>'Female SR Individual Freestyle'!C15</f>
        <v>8-Under</v>
      </c>
      <c r="E272">
        <f>'Female SR Individual Freestyle'!D15</f>
        <v>0</v>
      </c>
      <c r="I272" t="str">
        <f t="shared" si="7"/>
        <v>FSRF-Female Single Rope Freestyle</v>
      </c>
    </row>
    <row r="273" spans="1:9" x14ac:dyDescent="0.25">
      <c r="A273">
        <f>'Team Info'!$B$3</f>
        <v>0</v>
      </c>
      <c r="B273">
        <f>'Female SR Individual Freestyle'!A16</f>
        <v>11</v>
      </c>
      <c r="C273" t="str">
        <f>'Female SR Individual Freestyle'!B16</f>
        <v>FSRF</v>
      </c>
      <c r="D273" t="str">
        <f>'Female SR Individual Freestyle'!C16</f>
        <v>8-Under</v>
      </c>
      <c r="E273">
        <f>'Female SR Individual Freestyle'!D16</f>
        <v>0</v>
      </c>
      <c r="I273" t="str">
        <f t="shared" si="7"/>
        <v>FSRF-Female Single Rope Freestyle</v>
      </c>
    </row>
    <row r="274" spans="1:9" x14ac:dyDescent="0.25">
      <c r="A274">
        <f>'Team Info'!$B$3</f>
        <v>0</v>
      </c>
      <c r="B274">
        <f>'Female SR Individual Freestyle'!A17</f>
        <v>12</v>
      </c>
      <c r="C274" t="str">
        <f>'Female SR Individual Freestyle'!B17</f>
        <v>FSRF</v>
      </c>
      <c r="D274" t="str">
        <f>'Female SR Individual Freestyle'!C17</f>
        <v>8-Under</v>
      </c>
      <c r="E274">
        <f>'Female SR Individual Freestyle'!D17</f>
        <v>0</v>
      </c>
      <c r="I274" t="str">
        <f t="shared" si="7"/>
        <v>FSRF-Female Single Rope Freestyle</v>
      </c>
    </row>
    <row r="275" spans="1:9" x14ac:dyDescent="0.25">
      <c r="A275">
        <f>'Team Info'!$B$3</f>
        <v>0</v>
      </c>
      <c r="B275">
        <f>'Female SR Individual Freestyle'!A18</f>
        <v>13</v>
      </c>
      <c r="C275" t="str">
        <f>'Female SR Individual Freestyle'!B18</f>
        <v>FSRF</v>
      </c>
      <c r="D275" t="str">
        <f>'Female SR Individual Freestyle'!C18</f>
        <v>8-Under</v>
      </c>
      <c r="E275">
        <f>'Female SR Individual Freestyle'!D18</f>
        <v>0</v>
      </c>
      <c r="I275" t="str">
        <f t="shared" si="7"/>
        <v>FSRF-Female Single Rope Freestyle</v>
      </c>
    </row>
    <row r="276" spans="1:9" x14ac:dyDescent="0.25">
      <c r="A276">
        <f>'Team Info'!$B$3</f>
        <v>0</v>
      </c>
      <c r="B276">
        <f>'Female SR Individual Freestyle'!A19</f>
        <v>14</v>
      </c>
      <c r="C276" t="str">
        <f>'Female SR Individual Freestyle'!B19</f>
        <v>FSRF</v>
      </c>
      <c r="D276" t="str">
        <f>'Female SR Individual Freestyle'!C19</f>
        <v>8-Under</v>
      </c>
      <c r="E276">
        <f>'Female SR Individual Freestyle'!D19</f>
        <v>0</v>
      </c>
      <c r="I276" t="str">
        <f t="shared" si="7"/>
        <v>FSRF-Female Single Rope Freestyle</v>
      </c>
    </row>
    <row r="277" spans="1:9" x14ac:dyDescent="0.25">
      <c r="A277">
        <f>'Team Info'!$B$3</f>
        <v>0</v>
      </c>
      <c r="B277">
        <f>'Female SR Individual Freestyle'!A20</f>
        <v>15</v>
      </c>
      <c r="C277" t="str">
        <f>'Female SR Individual Freestyle'!B20</f>
        <v>FSRF</v>
      </c>
      <c r="D277" t="str">
        <f>'Female SR Individual Freestyle'!C20</f>
        <v>8-Under</v>
      </c>
      <c r="E277">
        <f>'Female SR Individual Freestyle'!D20</f>
        <v>0</v>
      </c>
      <c r="I277" t="str">
        <f t="shared" si="7"/>
        <v>FSRF-Female Single Rope Freestyle</v>
      </c>
    </row>
    <row r="278" spans="1:9" x14ac:dyDescent="0.25">
      <c r="A278">
        <f>'Team Info'!$B$3</f>
        <v>0</v>
      </c>
      <c r="B278">
        <f>'Female SR Individual Freestyle'!A21</f>
        <v>16</v>
      </c>
      <c r="C278" t="str">
        <f>'Female SR Individual Freestyle'!B21</f>
        <v>FSRF</v>
      </c>
      <c r="D278" t="str">
        <f>'Female SR Individual Freestyle'!C21</f>
        <v>8-Under</v>
      </c>
      <c r="E278">
        <f>'Female SR Individual Freestyle'!D21</f>
        <v>0</v>
      </c>
      <c r="I278" t="str">
        <f t="shared" si="7"/>
        <v>FSRF-Female Single Rope Freestyle</v>
      </c>
    </row>
    <row r="279" spans="1:9" x14ac:dyDescent="0.25">
      <c r="A279">
        <f>'Team Info'!$B$3</f>
        <v>0</v>
      </c>
      <c r="B279">
        <f>'Female SR Individual Freestyle'!A22</f>
        <v>17</v>
      </c>
      <c r="C279" t="str">
        <f>'Female SR Individual Freestyle'!B22</f>
        <v>FSRF</v>
      </c>
      <c r="D279" t="str">
        <f>'Female SR Individual Freestyle'!C22</f>
        <v>8-Under</v>
      </c>
      <c r="E279">
        <f>'Female SR Individual Freestyle'!D22</f>
        <v>0</v>
      </c>
      <c r="I279" t="str">
        <f t="shared" si="7"/>
        <v>FSRF-Female Single Rope Freestyle</v>
      </c>
    </row>
    <row r="280" spans="1:9" x14ac:dyDescent="0.25">
      <c r="A280">
        <f>'Team Info'!$B$3</f>
        <v>0</v>
      </c>
      <c r="B280">
        <f>'Female SR Individual Freestyle'!A23</f>
        <v>18</v>
      </c>
      <c r="C280" t="str">
        <f>'Female SR Individual Freestyle'!B23</f>
        <v>FSRF</v>
      </c>
      <c r="D280" t="str">
        <f>'Female SR Individual Freestyle'!C23</f>
        <v>8-Under</v>
      </c>
      <c r="E280">
        <f>'Female SR Individual Freestyle'!D23</f>
        <v>0</v>
      </c>
      <c r="I280" t="str">
        <f t="shared" si="7"/>
        <v>FSRF-Female Single Rope Freestyle</v>
      </c>
    </row>
    <row r="281" spans="1:9" x14ac:dyDescent="0.25">
      <c r="A281">
        <f>'Team Info'!$B$3</f>
        <v>0</v>
      </c>
      <c r="B281">
        <f>'Female SR Individual Freestyle'!A24</f>
        <v>19</v>
      </c>
      <c r="C281" t="str">
        <f>'Female SR Individual Freestyle'!B24</f>
        <v>FSRF</v>
      </c>
      <c r="D281" t="str">
        <f>'Female SR Individual Freestyle'!C24</f>
        <v>8-Under</v>
      </c>
      <c r="E281">
        <f>'Female SR Individual Freestyle'!D24</f>
        <v>0</v>
      </c>
      <c r="I281" t="str">
        <f t="shared" si="7"/>
        <v>FSRF-Female Single Rope Freestyle</v>
      </c>
    </row>
    <row r="282" spans="1:9" x14ac:dyDescent="0.25">
      <c r="A282">
        <f>'Team Info'!$B$3</f>
        <v>0</v>
      </c>
      <c r="B282">
        <f>'Female SR Individual Freestyle'!A25</f>
        <v>20</v>
      </c>
      <c r="C282" t="str">
        <f>'Female SR Individual Freestyle'!B25</f>
        <v>FSRF</v>
      </c>
      <c r="D282" t="str">
        <f>'Female SR Individual Freestyle'!C25</f>
        <v>8-Under</v>
      </c>
      <c r="E282">
        <f>'Female SR Individual Freestyle'!D25</f>
        <v>0</v>
      </c>
      <c r="I282" t="str">
        <f t="shared" si="7"/>
        <v>FSRF-Female Single Rope Freestyle</v>
      </c>
    </row>
    <row r="283" spans="1:9" x14ac:dyDescent="0.25">
      <c r="A283">
        <f>'Team Info'!$B$3</f>
        <v>0</v>
      </c>
      <c r="B283">
        <f>'Female SR Individual Freestyle'!H6</f>
        <v>1</v>
      </c>
      <c r="C283" t="str">
        <f>'Female SR Individual Freestyle'!I6</f>
        <v>FSRF</v>
      </c>
      <c r="D283">
        <f>'Female SR Individual Freestyle'!J6</f>
        <v>9</v>
      </c>
      <c r="E283">
        <f>'Female SR Individual Freestyle'!K6</f>
        <v>0</v>
      </c>
      <c r="I283" t="str">
        <f t="shared" si="6"/>
        <v>FSRF-Female Single Rope Freestyle</v>
      </c>
    </row>
    <row r="284" spans="1:9" x14ac:dyDescent="0.25">
      <c r="A284">
        <f>'Team Info'!$B$3</f>
        <v>0</v>
      </c>
      <c r="B284">
        <f>'Female SR Individual Freestyle'!H7</f>
        <v>2</v>
      </c>
      <c r="C284" t="str">
        <f>'Female SR Individual Freestyle'!I7</f>
        <v>FSRF</v>
      </c>
      <c r="D284">
        <f>'Female SR Individual Freestyle'!J7</f>
        <v>9</v>
      </c>
      <c r="E284">
        <f>'Female SR Individual Freestyle'!K7</f>
        <v>0</v>
      </c>
      <c r="I284" t="str">
        <f t="shared" si="6"/>
        <v>FSRF-Female Single Rope Freestyle</v>
      </c>
    </row>
    <row r="285" spans="1:9" x14ac:dyDescent="0.25">
      <c r="A285">
        <f>'Team Info'!$B$3</f>
        <v>0</v>
      </c>
      <c r="B285">
        <f>'Female SR Individual Freestyle'!H8</f>
        <v>3</v>
      </c>
      <c r="C285" t="str">
        <f>'Female SR Individual Freestyle'!I8</f>
        <v>FSRF</v>
      </c>
      <c r="D285">
        <f>'Female SR Individual Freestyle'!J8</f>
        <v>9</v>
      </c>
      <c r="E285">
        <f>'Female SR Individual Freestyle'!K8</f>
        <v>0</v>
      </c>
      <c r="I285" t="str">
        <f t="shared" si="6"/>
        <v>FSRF-Female Single Rope Freestyle</v>
      </c>
    </row>
    <row r="286" spans="1:9" x14ac:dyDescent="0.25">
      <c r="A286">
        <f>'Team Info'!$B$3</f>
        <v>0</v>
      </c>
      <c r="B286">
        <f>'Female SR Individual Freestyle'!H9</f>
        <v>4</v>
      </c>
      <c r="C286" t="str">
        <f>'Female SR Individual Freestyle'!I9</f>
        <v>FSRF</v>
      </c>
      <c r="D286">
        <f>'Female SR Individual Freestyle'!J9</f>
        <v>9</v>
      </c>
      <c r="E286">
        <f>'Female SR Individual Freestyle'!K9</f>
        <v>0</v>
      </c>
      <c r="I286" t="str">
        <f t="shared" ref="I286:I349" si="8">VLOOKUP(C286,EVENTS,2,FALSE)</f>
        <v>FSRF-Female Single Rope Freestyle</v>
      </c>
    </row>
    <row r="287" spans="1:9" x14ac:dyDescent="0.25">
      <c r="A287">
        <f>'Team Info'!$B$3</f>
        <v>0</v>
      </c>
      <c r="B287">
        <f>'Female SR Individual Freestyle'!H10</f>
        <v>5</v>
      </c>
      <c r="C287" t="str">
        <f>'Female SR Individual Freestyle'!I10</f>
        <v>FSRF</v>
      </c>
      <c r="D287">
        <f>'Female SR Individual Freestyle'!J10</f>
        <v>9</v>
      </c>
      <c r="E287">
        <f>'Female SR Individual Freestyle'!K10</f>
        <v>0</v>
      </c>
      <c r="I287" t="str">
        <f t="shared" si="8"/>
        <v>FSRF-Female Single Rope Freestyle</v>
      </c>
    </row>
    <row r="288" spans="1:9" x14ac:dyDescent="0.25">
      <c r="A288">
        <f>'Team Info'!$B$3</f>
        <v>0</v>
      </c>
      <c r="B288">
        <f>'Female SR Individual Freestyle'!H11</f>
        <v>6</v>
      </c>
      <c r="C288" t="str">
        <f>'Female SR Individual Freestyle'!I11</f>
        <v>FSRF</v>
      </c>
      <c r="D288">
        <f>'Female SR Individual Freestyle'!J11</f>
        <v>9</v>
      </c>
      <c r="E288">
        <f>'Female SR Individual Freestyle'!K11</f>
        <v>0</v>
      </c>
      <c r="I288" t="str">
        <f t="shared" si="8"/>
        <v>FSRF-Female Single Rope Freestyle</v>
      </c>
    </row>
    <row r="289" spans="1:9" x14ac:dyDescent="0.25">
      <c r="A289">
        <f>'Team Info'!$B$3</f>
        <v>0</v>
      </c>
      <c r="B289">
        <f>'Female SR Individual Freestyle'!H12</f>
        <v>7</v>
      </c>
      <c r="C289" t="str">
        <f>'Female SR Individual Freestyle'!I12</f>
        <v>FSRF</v>
      </c>
      <c r="D289">
        <f>'Female SR Individual Freestyle'!J12</f>
        <v>9</v>
      </c>
      <c r="E289">
        <f>'Female SR Individual Freestyle'!K12</f>
        <v>0</v>
      </c>
      <c r="I289" t="str">
        <f t="shared" si="8"/>
        <v>FSRF-Female Single Rope Freestyle</v>
      </c>
    </row>
    <row r="290" spans="1:9" x14ac:dyDescent="0.25">
      <c r="A290">
        <f>'Team Info'!$B$3</f>
        <v>0</v>
      </c>
      <c r="B290">
        <f>'Female SR Individual Freestyle'!H13</f>
        <v>8</v>
      </c>
      <c r="C290" t="str">
        <f>'Female SR Individual Freestyle'!I13</f>
        <v>FSRF</v>
      </c>
      <c r="D290">
        <f>'Female SR Individual Freestyle'!J13</f>
        <v>9</v>
      </c>
      <c r="E290">
        <f>'Female SR Individual Freestyle'!K13</f>
        <v>0</v>
      </c>
      <c r="I290" t="str">
        <f t="shared" si="8"/>
        <v>FSRF-Female Single Rope Freestyle</v>
      </c>
    </row>
    <row r="291" spans="1:9" x14ac:dyDescent="0.25">
      <c r="A291">
        <f>'Team Info'!$B$3</f>
        <v>0</v>
      </c>
      <c r="B291">
        <f>'Female SR Individual Freestyle'!H14</f>
        <v>9</v>
      </c>
      <c r="C291" t="str">
        <f>'Female SR Individual Freestyle'!I14</f>
        <v>FSRF</v>
      </c>
      <c r="D291">
        <f>'Female SR Individual Freestyle'!J14</f>
        <v>9</v>
      </c>
      <c r="E291">
        <f>'Female SR Individual Freestyle'!K14</f>
        <v>0</v>
      </c>
      <c r="I291" t="str">
        <f t="shared" si="8"/>
        <v>FSRF-Female Single Rope Freestyle</v>
      </c>
    </row>
    <row r="292" spans="1:9" x14ac:dyDescent="0.25">
      <c r="A292">
        <f>'Team Info'!$B$3</f>
        <v>0</v>
      </c>
      <c r="B292">
        <f>'Female SR Individual Freestyle'!H15</f>
        <v>10</v>
      </c>
      <c r="C292" t="str">
        <f>'Female SR Individual Freestyle'!I15</f>
        <v>FSRF</v>
      </c>
      <c r="D292">
        <f>'Female SR Individual Freestyle'!J15</f>
        <v>9</v>
      </c>
      <c r="E292">
        <f>'Female SR Individual Freestyle'!K15</f>
        <v>0</v>
      </c>
      <c r="I292" t="str">
        <f t="shared" si="8"/>
        <v>FSRF-Female Single Rope Freestyle</v>
      </c>
    </row>
    <row r="293" spans="1:9" x14ac:dyDescent="0.25">
      <c r="A293">
        <f>'Team Info'!$B$3</f>
        <v>0</v>
      </c>
      <c r="B293">
        <f>'Female SR Individual Freestyle'!H16</f>
        <v>11</v>
      </c>
      <c r="C293" t="str">
        <f>'Female SR Individual Freestyle'!I16</f>
        <v>FSRF</v>
      </c>
      <c r="D293">
        <f>'Female SR Individual Freestyle'!J16</f>
        <v>9</v>
      </c>
      <c r="E293">
        <f>'Female SR Individual Freestyle'!K16</f>
        <v>0</v>
      </c>
      <c r="I293" t="str">
        <f t="shared" si="8"/>
        <v>FSRF-Female Single Rope Freestyle</v>
      </c>
    </row>
    <row r="294" spans="1:9" x14ac:dyDescent="0.25">
      <c r="A294">
        <f>'Team Info'!$B$3</f>
        <v>0</v>
      </c>
      <c r="B294">
        <f>'Female SR Individual Freestyle'!H17</f>
        <v>12</v>
      </c>
      <c r="C294" t="str">
        <f>'Female SR Individual Freestyle'!I17</f>
        <v>FSRF</v>
      </c>
      <c r="D294">
        <f>'Female SR Individual Freestyle'!J17</f>
        <v>9</v>
      </c>
      <c r="E294">
        <f>'Female SR Individual Freestyle'!K17</f>
        <v>0</v>
      </c>
      <c r="I294" t="str">
        <f t="shared" si="8"/>
        <v>FSRF-Female Single Rope Freestyle</v>
      </c>
    </row>
    <row r="295" spans="1:9" x14ac:dyDescent="0.25">
      <c r="A295">
        <f>'Team Info'!$B$3</f>
        <v>0</v>
      </c>
      <c r="B295">
        <f>'Female SR Individual Freestyle'!H18</f>
        <v>13</v>
      </c>
      <c r="C295" t="str">
        <f>'Female SR Individual Freestyle'!I18</f>
        <v>FSRF</v>
      </c>
      <c r="D295">
        <f>'Female SR Individual Freestyle'!J18</f>
        <v>9</v>
      </c>
      <c r="E295">
        <f>'Female SR Individual Freestyle'!K18</f>
        <v>0</v>
      </c>
      <c r="I295" t="str">
        <f t="shared" si="8"/>
        <v>FSRF-Female Single Rope Freestyle</v>
      </c>
    </row>
    <row r="296" spans="1:9" x14ac:dyDescent="0.25">
      <c r="A296">
        <f>'Team Info'!$B$3</f>
        <v>0</v>
      </c>
      <c r="B296">
        <f>'Female SR Individual Freestyle'!H19</f>
        <v>14</v>
      </c>
      <c r="C296" t="str">
        <f>'Female SR Individual Freestyle'!I19</f>
        <v>FSRF</v>
      </c>
      <c r="D296">
        <f>'Female SR Individual Freestyle'!J19</f>
        <v>9</v>
      </c>
      <c r="E296">
        <f>'Female SR Individual Freestyle'!K19</f>
        <v>0</v>
      </c>
      <c r="I296" t="str">
        <f t="shared" si="8"/>
        <v>FSRF-Female Single Rope Freestyle</v>
      </c>
    </row>
    <row r="297" spans="1:9" x14ac:dyDescent="0.25">
      <c r="A297">
        <f>'Team Info'!$B$3</f>
        <v>0</v>
      </c>
      <c r="B297">
        <f>'Female SR Individual Freestyle'!H20</f>
        <v>15</v>
      </c>
      <c r="C297" t="str">
        <f>'Female SR Individual Freestyle'!I20</f>
        <v>FSRF</v>
      </c>
      <c r="D297">
        <f>'Female SR Individual Freestyle'!J20</f>
        <v>9</v>
      </c>
      <c r="E297">
        <f>'Female SR Individual Freestyle'!K20</f>
        <v>0</v>
      </c>
      <c r="I297" t="str">
        <f t="shared" si="8"/>
        <v>FSRF-Female Single Rope Freestyle</v>
      </c>
    </row>
    <row r="298" spans="1:9" x14ac:dyDescent="0.25">
      <c r="A298">
        <f>'Team Info'!$B$3</f>
        <v>0</v>
      </c>
      <c r="B298">
        <f>'Female SR Individual Freestyle'!H21</f>
        <v>16</v>
      </c>
      <c r="C298" t="str">
        <f>'Female SR Individual Freestyle'!I21</f>
        <v>FSRF</v>
      </c>
      <c r="D298">
        <f>'Female SR Individual Freestyle'!J21</f>
        <v>9</v>
      </c>
      <c r="E298">
        <f>'Female SR Individual Freestyle'!K21</f>
        <v>0</v>
      </c>
      <c r="I298" t="str">
        <f t="shared" si="8"/>
        <v>FSRF-Female Single Rope Freestyle</v>
      </c>
    </row>
    <row r="299" spans="1:9" x14ac:dyDescent="0.25">
      <c r="A299">
        <f>'Team Info'!$B$3</f>
        <v>0</v>
      </c>
      <c r="B299">
        <f>'Female SR Individual Freestyle'!H22</f>
        <v>17</v>
      </c>
      <c r="C299" t="str">
        <f>'Female SR Individual Freestyle'!I22</f>
        <v>FSRF</v>
      </c>
      <c r="D299">
        <f>'Female SR Individual Freestyle'!J22</f>
        <v>9</v>
      </c>
      <c r="E299">
        <f>'Female SR Individual Freestyle'!K22</f>
        <v>0</v>
      </c>
      <c r="I299" t="str">
        <f t="shared" si="8"/>
        <v>FSRF-Female Single Rope Freestyle</v>
      </c>
    </row>
    <row r="300" spans="1:9" x14ac:dyDescent="0.25">
      <c r="A300">
        <f>'Team Info'!$B$3</f>
        <v>0</v>
      </c>
      <c r="B300">
        <f>'Female SR Individual Freestyle'!H23</f>
        <v>18</v>
      </c>
      <c r="C300" t="str">
        <f>'Female SR Individual Freestyle'!I23</f>
        <v>FSRF</v>
      </c>
      <c r="D300">
        <f>'Female SR Individual Freestyle'!J23</f>
        <v>9</v>
      </c>
      <c r="E300">
        <f>'Female SR Individual Freestyle'!K23</f>
        <v>0</v>
      </c>
      <c r="I300" t="str">
        <f t="shared" si="8"/>
        <v>FSRF-Female Single Rope Freestyle</v>
      </c>
    </row>
    <row r="301" spans="1:9" x14ac:dyDescent="0.25">
      <c r="A301">
        <f>'Team Info'!$B$3</f>
        <v>0</v>
      </c>
      <c r="B301">
        <f>'Female SR Individual Freestyle'!H24</f>
        <v>19</v>
      </c>
      <c r="C301" t="str">
        <f>'Female SR Individual Freestyle'!I24</f>
        <v>FSRF</v>
      </c>
      <c r="D301">
        <f>'Female SR Individual Freestyle'!J24</f>
        <v>9</v>
      </c>
      <c r="E301">
        <f>'Female SR Individual Freestyle'!K24</f>
        <v>0</v>
      </c>
      <c r="I301" t="str">
        <f t="shared" si="8"/>
        <v>FSRF-Female Single Rope Freestyle</v>
      </c>
    </row>
    <row r="302" spans="1:9" x14ac:dyDescent="0.25">
      <c r="A302">
        <f>'Team Info'!$B$3</f>
        <v>0</v>
      </c>
      <c r="B302">
        <f>'Female SR Individual Freestyle'!H25</f>
        <v>20</v>
      </c>
      <c r="C302" t="str">
        <f>'Female SR Individual Freestyle'!I25</f>
        <v>FSRF</v>
      </c>
      <c r="D302">
        <f>'Female SR Individual Freestyle'!J25</f>
        <v>9</v>
      </c>
      <c r="E302">
        <f>'Female SR Individual Freestyle'!K25</f>
        <v>0</v>
      </c>
      <c r="I302" t="str">
        <f t="shared" si="8"/>
        <v>FSRF-Female Single Rope Freestyle</v>
      </c>
    </row>
    <row r="303" spans="1:9" x14ac:dyDescent="0.25">
      <c r="A303">
        <f>'Team Info'!$B$3</f>
        <v>0</v>
      </c>
      <c r="B303">
        <f>'Female SR Individual Freestyle'!A28</f>
        <v>1</v>
      </c>
      <c r="C303" t="str">
        <f>'Female SR Individual Freestyle'!B28</f>
        <v>FSRF</v>
      </c>
      <c r="D303">
        <f>'Female SR Individual Freestyle'!C28</f>
        <v>10</v>
      </c>
      <c r="E303">
        <f>'Female SR Individual Freestyle'!D28</f>
        <v>0</v>
      </c>
      <c r="I303" t="str">
        <f t="shared" si="8"/>
        <v>FSRF-Female Single Rope Freestyle</v>
      </c>
    </row>
    <row r="304" spans="1:9" x14ac:dyDescent="0.25">
      <c r="A304">
        <f>'Team Info'!$B$3</f>
        <v>0</v>
      </c>
      <c r="B304">
        <f>'Female SR Individual Freestyle'!A29</f>
        <v>2</v>
      </c>
      <c r="C304" t="str">
        <f>'Female SR Individual Freestyle'!B29</f>
        <v>FSRF</v>
      </c>
      <c r="D304">
        <f>'Female SR Individual Freestyle'!C29</f>
        <v>10</v>
      </c>
      <c r="E304">
        <f>'Female SR Individual Freestyle'!D29</f>
        <v>0</v>
      </c>
      <c r="I304" t="str">
        <f t="shared" si="8"/>
        <v>FSRF-Female Single Rope Freestyle</v>
      </c>
    </row>
    <row r="305" spans="1:9" x14ac:dyDescent="0.25">
      <c r="A305">
        <f>'Team Info'!$B$3</f>
        <v>0</v>
      </c>
      <c r="B305">
        <f>'Female SR Individual Freestyle'!A30</f>
        <v>3</v>
      </c>
      <c r="C305" t="str">
        <f>'Female SR Individual Freestyle'!B30</f>
        <v>FSRF</v>
      </c>
      <c r="D305">
        <f>'Female SR Individual Freestyle'!C30</f>
        <v>10</v>
      </c>
      <c r="E305">
        <f>'Female SR Individual Freestyle'!D30</f>
        <v>0</v>
      </c>
      <c r="I305" t="str">
        <f t="shared" si="8"/>
        <v>FSRF-Female Single Rope Freestyle</v>
      </c>
    </row>
    <row r="306" spans="1:9" x14ac:dyDescent="0.25">
      <c r="A306">
        <f>'Team Info'!$B$3</f>
        <v>0</v>
      </c>
      <c r="B306">
        <f>'Female SR Individual Freestyle'!A31</f>
        <v>4</v>
      </c>
      <c r="C306" t="str">
        <f>'Female SR Individual Freestyle'!B31</f>
        <v>FSRF</v>
      </c>
      <c r="D306">
        <f>'Female SR Individual Freestyle'!C31</f>
        <v>10</v>
      </c>
      <c r="E306">
        <f>'Female SR Individual Freestyle'!D31</f>
        <v>0</v>
      </c>
      <c r="I306" t="str">
        <f t="shared" si="8"/>
        <v>FSRF-Female Single Rope Freestyle</v>
      </c>
    </row>
    <row r="307" spans="1:9" x14ac:dyDescent="0.25">
      <c r="A307">
        <f>'Team Info'!$B$3</f>
        <v>0</v>
      </c>
      <c r="B307">
        <f>'Female SR Individual Freestyle'!A32</f>
        <v>5</v>
      </c>
      <c r="C307" t="str">
        <f>'Female SR Individual Freestyle'!B32</f>
        <v>FSRF</v>
      </c>
      <c r="D307">
        <f>'Female SR Individual Freestyle'!C32</f>
        <v>10</v>
      </c>
      <c r="E307">
        <f>'Female SR Individual Freestyle'!D32</f>
        <v>0</v>
      </c>
      <c r="I307" t="str">
        <f t="shared" si="8"/>
        <v>FSRF-Female Single Rope Freestyle</v>
      </c>
    </row>
    <row r="308" spans="1:9" x14ac:dyDescent="0.25">
      <c r="A308">
        <f>'Team Info'!$B$3</f>
        <v>0</v>
      </c>
      <c r="B308">
        <f>'Female SR Individual Freestyle'!A33</f>
        <v>6</v>
      </c>
      <c r="C308" t="str">
        <f>'Female SR Individual Freestyle'!B33</f>
        <v>FSRF</v>
      </c>
      <c r="D308">
        <f>'Female SR Individual Freestyle'!C33</f>
        <v>10</v>
      </c>
      <c r="E308">
        <f>'Female SR Individual Freestyle'!D33</f>
        <v>0</v>
      </c>
      <c r="I308" t="str">
        <f t="shared" si="8"/>
        <v>FSRF-Female Single Rope Freestyle</v>
      </c>
    </row>
    <row r="309" spans="1:9" x14ac:dyDescent="0.25">
      <c r="A309">
        <f>'Team Info'!$B$3</f>
        <v>0</v>
      </c>
      <c r="B309">
        <f>'Female SR Individual Freestyle'!A34</f>
        <v>7</v>
      </c>
      <c r="C309" t="str">
        <f>'Female SR Individual Freestyle'!B34</f>
        <v>FSRF</v>
      </c>
      <c r="D309">
        <f>'Female SR Individual Freestyle'!C34</f>
        <v>10</v>
      </c>
      <c r="E309">
        <f>'Female SR Individual Freestyle'!D34</f>
        <v>0</v>
      </c>
      <c r="I309" t="str">
        <f t="shared" si="8"/>
        <v>FSRF-Female Single Rope Freestyle</v>
      </c>
    </row>
    <row r="310" spans="1:9" x14ac:dyDescent="0.25">
      <c r="A310">
        <f>'Team Info'!$B$3</f>
        <v>0</v>
      </c>
      <c r="B310">
        <f>'Female SR Individual Freestyle'!A35</f>
        <v>8</v>
      </c>
      <c r="C310" t="str">
        <f>'Female SR Individual Freestyle'!B35</f>
        <v>FSRF</v>
      </c>
      <c r="D310">
        <f>'Female SR Individual Freestyle'!C35</f>
        <v>10</v>
      </c>
      <c r="E310">
        <f>'Female SR Individual Freestyle'!D35</f>
        <v>0</v>
      </c>
      <c r="I310" t="str">
        <f t="shared" si="8"/>
        <v>FSRF-Female Single Rope Freestyle</v>
      </c>
    </row>
    <row r="311" spans="1:9" x14ac:dyDescent="0.25">
      <c r="A311">
        <f>'Team Info'!$B$3</f>
        <v>0</v>
      </c>
      <c r="B311">
        <f>'Female SR Individual Freestyle'!A36</f>
        <v>9</v>
      </c>
      <c r="C311" t="str">
        <f>'Female SR Individual Freestyle'!B36</f>
        <v>FSRF</v>
      </c>
      <c r="D311">
        <f>'Female SR Individual Freestyle'!C36</f>
        <v>10</v>
      </c>
      <c r="E311">
        <f>'Female SR Individual Freestyle'!D36</f>
        <v>0</v>
      </c>
      <c r="I311" t="str">
        <f t="shared" si="8"/>
        <v>FSRF-Female Single Rope Freestyle</v>
      </c>
    </row>
    <row r="312" spans="1:9" x14ac:dyDescent="0.25">
      <c r="A312">
        <f>'Team Info'!$B$3</f>
        <v>0</v>
      </c>
      <c r="B312">
        <f>'Female SR Individual Freestyle'!A37</f>
        <v>10</v>
      </c>
      <c r="C312" t="str">
        <f>'Female SR Individual Freestyle'!B37</f>
        <v>FSRF</v>
      </c>
      <c r="D312">
        <f>'Female SR Individual Freestyle'!C37</f>
        <v>10</v>
      </c>
      <c r="E312">
        <f>'Female SR Individual Freestyle'!D37</f>
        <v>0</v>
      </c>
      <c r="I312" t="str">
        <f t="shared" si="8"/>
        <v>FSRF-Female Single Rope Freestyle</v>
      </c>
    </row>
    <row r="313" spans="1:9" x14ac:dyDescent="0.25">
      <c r="A313">
        <f>'Team Info'!$B$3</f>
        <v>0</v>
      </c>
      <c r="B313">
        <f>'Female SR Individual Freestyle'!A38</f>
        <v>11</v>
      </c>
      <c r="C313" t="str">
        <f>'Female SR Individual Freestyle'!B38</f>
        <v>FSRF</v>
      </c>
      <c r="D313">
        <f>'Female SR Individual Freestyle'!C38</f>
        <v>10</v>
      </c>
      <c r="E313">
        <f>'Female SR Individual Freestyle'!D38</f>
        <v>0</v>
      </c>
      <c r="I313" t="str">
        <f t="shared" si="8"/>
        <v>FSRF-Female Single Rope Freestyle</v>
      </c>
    </row>
    <row r="314" spans="1:9" x14ac:dyDescent="0.25">
      <c r="A314">
        <f>'Team Info'!$B$3</f>
        <v>0</v>
      </c>
      <c r="B314">
        <f>'Female SR Individual Freestyle'!A39</f>
        <v>12</v>
      </c>
      <c r="C314" t="str">
        <f>'Female SR Individual Freestyle'!B39</f>
        <v>FSRF</v>
      </c>
      <c r="D314">
        <f>'Female SR Individual Freestyle'!C39</f>
        <v>10</v>
      </c>
      <c r="E314">
        <f>'Female SR Individual Freestyle'!D39</f>
        <v>0</v>
      </c>
      <c r="I314" t="str">
        <f t="shared" si="8"/>
        <v>FSRF-Female Single Rope Freestyle</v>
      </c>
    </row>
    <row r="315" spans="1:9" x14ac:dyDescent="0.25">
      <c r="A315">
        <f>'Team Info'!$B$3</f>
        <v>0</v>
      </c>
      <c r="B315">
        <f>'Female SR Individual Freestyle'!A40</f>
        <v>13</v>
      </c>
      <c r="C315" t="str">
        <f>'Female SR Individual Freestyle'!B40</f>
        <v>FSRF</v>
      </c>
      <c r="D315">
        <f>'Female SR Individual Freestyle'!C40</f>
        <v>10</v>
      </c>
      <c r="E315">
        <f>'Female SR Individual Freestyle'!D40</f>
        <v>0</v>
      </c>
      <c r="I315" t="str">
        <f t="shared" si="8"/>
        <v>FSRF-Female Single Rope Freestyle</v>
      </c>
    </row>
    <row r="316" spans="1:9" x14ac:dyDescent="0.25">
      <c r="A316">
        <f>'Team Info'!$B$3</f>
        <v>0</v>
      </c>
      <c r="B316">
        <f>'Female SR Individual Freestyle'!A41</f>
        <v>14</v>
      </c>
      <c r="C316" t="str">
        <f>'Female SR Individual Freestyle'!B41</f>
        <v>FSRF</v>
      </c>
      <c r="D316">
        <f>'Female SR Individual Freestyle'!C41</f>
        <v>10</v>
      </c>
      <c r="E316">
        <f>'Female SR Individual Freestyle'!D41</f>
        <v>0</v>
      </c>
      <c r="I316" t="str">
        <f t="shared" si="8"/>
        <v>FSRF-Female Single Rope Freestyle</v>
      </c>
    </row>
    <row r="317" spans="1:9" x14ac:dyDescent="0.25">
      <c r="A317">
        <f>'Team Info'!$B$3</f>
        <v>0</v>
      </c>
      <c r="B317">
        <f>'Female SR Individual Freestyle'!A42</f>
        <v>15</v>
      </c>
      <c r="C317" t="str">
        <f>'Female SR Individual Freestyle'!B42</f>
        <v>FSRF</v>
      </c>
      <c r="D317">
        <f>'Female SR Individual Freestyle'!C42</f>
        <v>10</v>
      </c>
      <c r="E317">
        <f>'Female SR Individual Freestyle'!D42</f>
        <v>0</v>
      </c>
      <c r="I317" t="str">
        <f t="shared" si="8"/>
        <v>FSRF-Female Single Rope Freestyle</v>
      </c>
    </row>
    <row r="318" spans="1:9" x14ac:dyDescent="0.25">
      <c r="A318">
        <f>'Team Info'!$B$3</f>
        <v>0</v>
      </c>
      <c r="B318">
        <f>'Female SR Individual Freestyle'!A43</f>
        <v>16</v>
      </c>
      <c r="C318" t="str">
        <f>'Female SR Individual Freestyle'!B43</f>
        <v>FSRF</v>
      </c>
      <c r="D318">
        <f>'Female SR Individual Freestyle'!C43</f>
        <v>10</v>
      </c>
      <c r="E318">
        <f>'Female SR Individual Freestyle'!D43</f>
        <v>0</v>
      </c>
      <c r="I318" t="str">
        <f t="shared" si="8"/>
        <v>FSRF-Female Single Rope Freestyle</v>
      </c>
    </row>
    <row r="319" spans="1:9" x14ac:dyDescent="0.25">
      <c r="A319">
        <f>'Team Info'!$B$3</f>
        <v>0</v>
      </c>
      <c r="B319">
        <f>'Female SR Individual Freestyle'!A44</f>
        <v>17</v>
      </c>
      <c r="C319" t="str">
        <f>'Female SR Individual Freestyle'!B44</f>
        <v>FSRF</v>
      </c>
      <c r="D319">
        <f>'Female SR Individual Freestyle'!C44</f>
        <v>10</v>
      </c>
      <c r="E319">
        <f>'Female SR Individual Freestyle'!D44</f>
        <v>0</v>
      </c>
      <c r="I319" t="str">
        <f t="shared" si="8"/>
        <v>FSRF-Female Single Rope Freestyle</v>
      </c>
    </row>
    <row r="320" spans="1:9" x14ac:dyDescent="0.25">
      <c r="A320">
        <f>'Team Info'!$B$3</f>
        <v>0</v>
      </c>
      <c r="B320">
        <f>'Female SR Individual Freestyle'!A45</f>
        <v>18</v>
      </c>
      <c r="C320" t="str">
        <f>'Female SR Individual Freestyle'!B45</f>
        <v>FSRF</v>
      </c>
      <c r="D320">
        <f>'Female SR Individual Freestyle'!C45</f>
        <v>10</v>
      </c>
      <c r="E320">
        <f>'Female SR Individual Freestyle'!D45</f>
        <v>0</v>
      </c>
      <c r="I320" t="str">
        <f t="shared" si="8"/>
        <v>FSRF-Female Single Rope Freestyle</v>
      </c>
    </row>
    <row r="321" spans="1:9" x14ac:dyDescent="0.25">
      <c r="A321">
        <f>'Team Info'!$B$3</f>
        <v>0</v>
      </c>
      <c r="B321">
        <f>'Female SR Individual Freestyle'!A46</f>
        <v>19</v>
      </c>
      <c r="C321" t="str">
        <f>'Female SR Individual Freestyle'!B46</f>
        <v>FSRF</v>
      </c>
      <c r="D321">
        <f>'Female SR Individual Freestyle'!C46</f>
        <v>10</v>
      </c>
      <c r="E321">
        <f>'Female SR Individual Freestyle'!D46</f>
        <v>0</v>
      </c>
      <c r="I321" t="str">
        <f t="shared" si="8"/>
        <v>FSRF-Female Single Rope Freestyle</v>
      </c>
    </row>
    <row r="322" spans="1:9" x14ac:dyDescent="0.25">
      <c r="A322">
        <f>'Team Info'!$B$3</f>
        <v>0</v>
      </c>
      <c r="B322">
        <f>'Female SR Individual Freestyle'!A47</f>
        <v>20</v>
      </c>
      <c r="C322" t="str">
        <f>'Female SR Individual Freestyle'!B47</f>
        <v>FSRF</v>
      </c>
      <c r="D322">
        <f>'Female SR Individual Freestyle'!C47</f>
        <v>10</v>
      </c>
      <c r="E322">
        <f>'Female SR Individual Freestyle'!D47</f>
        <v>0</v>
      </c>
      <c r="I322" t="str">
        <f t="shared" si="8"/>
        <v>FSRF-Female Single Rope Freestyle</v>
      </c>
    </row>
    <row r="323" spans="1:9" x14ac:dyDescent="0.25">
      <c r="A323">
        <f>'Team Info'!$B$3</f>
        <v>0</v>
      </c>
      <c r="B323">
        <f>'Female SR Individual Freestyle'!H28</f>
        <v>1</v>
      </c>
      <c r="C323" t="str">
        <f>'Female SR Individual Freestyle'!I28</f>
        <v>FSRF</v>
      </c>
      <c r="D323">
        <f>'Female SR Individual Freestyle'!J28</f>
        <v>11</v>
      </c>
      <c r="E323">
        <f>'Female SR Individual Freestyle'!K28</f>
        <v>0</v>
      </c>
      <c r="I323" t="str">
        <f t="shared" si="8"/>
        <v>FSRF-Female Single Rope Freestyle</v>
      </c>
    </row>
    <row r="324" spans="1:9" x14ac:dyDescent="0.25">
      <c r="A324">
        <f>'Team Info'!$B$3</f>
        <v>0</v>
      </c>
      <c r="B324">
        <f>'Female SR Individual Freestyle'!H29</f>
        <v>2</v>
      </c>
      <c r="C324" t="str">
        <f>'Female SR Individual Freestyle'!I29</f>
        <v>FSRF</v>
      </c>
      <c r="D324">
        <f>'Female SR Individual Freestyle'!J29</f>
        <v>11</v>
      </c>
      <c r="E324">
        <f>'Female SR Individual Freestyle'!K29</f>
        <v>0</v>
      </c>
      <c r="I324" t="str">
        <f t="shared" si="8"/>
        <v>FSRF-Female Single Rope Freestyle</v>
      </c>
    </row>
    <row r="325" spans="1:9" x14ac:dyDescent="0.25">
      <c r="A325">
        <f>'Team Info'!$B$3</f>
        <v>0</v>
      </c>
      <c r="B325">
        <f>'Female SR Individual Freestyle'!H30</f>
        <v>3</v>
      </c>
      <c r="C325" t="str">
        <f>'Female SR Individual Freestyle'!I30</f>
        <v>FSRF</v>
      </c>
      <c r="D325">
        <f>'Female SR Individual Freestyle'!J30</f>
        <v>11</v>
      </c>
      <c r="E325">
        <f>'Female SR Individual Freestyle'!K30</f>
        <v>0</v>
      </c>
      <c r="I325" t="str">
        <f t="shared" si="8"/>
        <v>FSRF-Female Single Rope Freestyle</v>
      </c>
    </row>
    <row r="326" spans="1:9" x14ac:dyDescent="0.25">
      <c r="A326">
        <f>'Team Info'!$B$3</f>
        <v>0</v>
      </c>
      <c r="B326">
        <f>'Female SR Individual Freestyle'!H31</f>
        <v>4</v>
      </c>
      <c r="C326" t="str">
        <f>'Female SR Individual Freestyle'!I31</f>
        <v>FSRF</v>
      </c>
      <c r="D326">
        <f>'Female SR Individual Freestyle'!J31</f>
        <v>11</v>
      </c>
      <c r="E326">
        <f>'Female SR Individual Freestyle'!K31</f>
        <v>0</v>
      </c>
      <c r="I326" t="str">
        <f t="shared" si="8"/>
        <v>FSRF-Female Single Rope Freestyle</v>
      </c>
    </row>
    <row r="327" spans="1:9" x14ac:dyDescent="0.25">
      <c r="A327">
        <f>'Team Info'!$B$3</f>
        <v>0</v>
      </c>
      <c r="B327">
        <f>'Female SR Individual Freestyle'!H32</f>
        <v>5</v>
      </c>
      <c r="C327" t="str">
        <f>'Female SR Individual Freestyle'!I32</f>
        <v>FSRF</v>
      </c>
      <c r="D327">
        <f>'Female SR Individual Freestyle'!J32</f>
        <v>11</v>
      </c>
      <c r="E327">
        <f>'Female SR Individual Freestyle'!K32</f>
        <v>0</v>
      </c>
      <c r="I327" t="str">
        <f t="shared" si="8"/>
        <v>FSRF-Female Single Rope Freestyle</v>
      </c>
    </row>
    <row r="328" spans="1:9" x14ac:dyDescent="0.25">
      <c r="A328">
        <f>'Team Info'!$B$3</f>
        <v>0</v>
      </c>
      <c r="B328">
        <f>'Female SR Individual Freestyle'!H33</f>
        <v>6</v>
      </c>
      <c r="C328" t="str">
        <f>'Female SR Individual Freestyle'!I33</f>
        <v>FSRF</v>
      </c>
      <c r="D328">
        <f>'Female SR Individual Freestyle'!J33</f>
        <v>11</v>
      </c>
      <c r="E328">
        <f>'Female SR Individual Freestyle'!K33</f>
        <v>0</v>
      </c>
      <c r="I328" t="str">
        <f t="shared" si="8"/>
        <v>FSRF-Female Single Rope Freestyle</v>
      </c>
    </row>
    <row r="329" spans="1:9" x14ac:dyDescent="0.25">
      <c r="A329">
        <f>'Team Info'!$B$3</f>
        <v>0</v>
      </c>
      <c r="B329">
        <f>'Female SR Individual Freestyle'!H34</f>
        <v>7</v>
      </c>
      <c r="C329" t="str">
        <f>'Female SR Individual Freestyle'!I34</f>
        <v>FSRF</v>
      </c>
      <c r="D329">
        <f>'Female SR Individual Freestyle'!J34</f>
        <v>11</v>
      </c>
      <c r="E329">
        <f>'Female SR Individual Freestyle'!K34</f>
        <v>0</v>
      </c>
      <c r="I329" t="str">
        <f t="shared" si="8"/>
        <v>FSRF-Female Single Rope Freestyle</v>
      </c>
    </row>
    <row r="330" spans="1:9" x14ac:dyDescent="0.25">
      <c r="A330">
        <f>'Team Info'!$B$3</f>
        <v>0</v>
      </c>
      <c r="B330">
        <f>'Female SR Individual Freestyle'!H35</f>
        <v>8</v>
      </c>
      <c r="C330" t="str">
        <f>'Female SR Individual Freestyle'!I35</f>
        <v>FSRF</v>
      </c>
      <c r="D330">
        <f>'Female SR Individual Freestyle'!J35</f>
        <v>11</v>
      </c>
      <c r="E330">
        <f>'Female SR Individual Freestyle'!K35</f>
        <v>0</v>
      </c>
      <c r="I330" t="str">
        <f t="shared" si="8"/>
        <v>FSRF-Female Single Rope Freestyle</v>
      </c>
    </row>
    <row r="331" spans="1:9" x14ac:dyDescent="0.25">
      <c r="A331">
        <f>'Team Info'!$B$3</f>
        <v>0</v>
      </c>
      <c r="B331">
        <f>'Female SR Individual Freestyle'!H36</f>
        <v>9</v>
      </c>
      <c r="C331" t="str">
        <f>'Female SR Individual Freestyle'!I36</f>
        <v>FSRF</v>
      </c>
      <c r="D331">
        <f>'Female SR Individual Freestyle'!J36</f>
        <v>11</v>
      </c>
      <c r="E331">
        <f>'Female SR Individual Freestyle'!K36</f>
        <v>0</v>
      </c>
      <c r="I331" t="str">
        <f t="shared" si="8"/>
        <v>FSRF-Female Single Rope Freestyle</v>
      </c>
    </row>
    <row r="332" spans="1:9" x14ac:dyDescent="0.25">
      <c r="A332">
        <f>'Team Info'!$B$3</f>
        <v>0</v>
      </c>
      <c r="B332">
        <f>'Female SR Individual Freestyle'!H37</f>
        <v>10</v>
      </c>
      <c r="C332" t="str">
        <f>'Female SR Individual Freestyle'!I37</f>
        <v>FSRF</v>
      </c>
      <c r="D332">
        <f>'Female SR Individual Freestyle'!J37</f>
        <v>11</v>
      </c>
      <c r="E332">
        <f>'Female SR Individual Freestyle'!K37</f>
        <v>0</v>
      </c>
      <c r="I332" t="str">
        <f t="shared" si="8"/>
        <v>FSRF-Female Single Rope Freestyle</v>
      </c>
    </row>
    <row r="333" spans="1:9" x14ac:dyDescent="0.25">
      <c r="A333">
        <f>'Team Info'!$B$3</f>
        <v>0</v>
      </c>
      <c r="B333">
        <f>'Female SR Individual Freestyle'!H38</f>
        <v>11</v>
      </c>
      <c r="C333" t="str">
        <f>'Female SR Individual Freestyle'!I38</f>
        <v>FSRF</v>
      </c>
      <c r="D333">
        <f>'Female SR Individual Freestyle'!J38</f>
        <v>11</v>
      </c>
      <c r="E333">
        <f>'Female SR Individual Freestyle'!K38</f>
        <v>0</v>
      </c>
      <c r="I333" t="str">
        <f t="shared" si="8"/>
        <v>FSRF-Female Single Rope Freestyle</v>
      </c>
    </row>
    <row r="334" spans="1:9" x14ac:dyDescent="0.25">
      <c r="A334">
        <f>'Team Info'!$B$3</f>
        <v>0</v>
      </c>
      <c r="B334">
        <f>'Female SR Individual Freestyle'!H39</f>
        <v>12</v>
      </c>
      <c r="C334" t="str">
        <f>'Female SR Individual Freestyle'!I39</f>
        <v>FSRF</v>
      </c>
      <c r="D334">
        <f>'Female SR Individual Freestyle'!J39</f>
        <v>11</v>
      </c>
      <c r="E334">
        <f>'Female SR Individual Freestyle'!K39</f>
        <v>0</v>
      </c>
      <c r="I334" t="str">
        <f t="shared" si="8"/>
        <v>FSRF-Female Single Rope Freestyle</v>
      </c>
    </row>
    <row r="335" spans="1:9" x14ac:dyDescent="0.25">
      <c r="A335">
        <f>'Team Info'!$B$3</f>
        <v>0</v>
      </c>
      <c r="B335">
        <f>'Female SR Individual Freestyle'!H40</f>
        <v>13</v>
      </c>
      <c r="C335" t="str">
        <f>'Female SR Individual Freestyle'!I40</f>
        <v>FSRF</v>
      </c>
      <c r="D335">
        <f>'Female SR Individual Freestyle'!J40</f>
        <v>11</v>
      </c>
      <c r="E335">
        <f>'Female SR Individual Freestyle'!K40</f>
        <v>0</v>
      </c>
      <c r="I335" t="str">
        <f t="shared" si="8"/>
        <v>FSRF-Female Single Rope Freestyle</v>
      </c>
    </row>
    <row r="336" spans="1:9" x14ac:dyDescent="0.25">
      <c r="A336">
        <f>'Team Info'!$B$3</f>
        <v>0</v>
      </c>
      <c r="B336">
        <f>'Female SR Individual Freestyle'!H41</f>
        <v>14</v>
      </c>
      <c r="C336" t="str">
        <f>'Female SR Individual Freestyle'!I41</f>
        <v>FSRF</v>
      </c>
      <c r="D336">
        <f>'Female SR Individual Freestyle'!J41</f>
        <v>11</v>
      </c>
      <c r="E336">
        <f>'Female SR Individual Freestyle'!K41</f>
        <v>0</v>
      </c>
      <c r="I336" t="str">
        <f t="shared" si="8"/>
        <v>FSRF-Female Single Rope Freestyle</v>
      </c>
    </row>
    <row r="337" spans="1:9" x14ac:dyDescent="0.25">
      <c r="A337">
        <f>'Team Info'!$B$3</f>
        <v>0</v>
      </c>
      <c r="B337">
        <f>'Female SR Individual Freestyle'!H42</f>
        <v>15</v>
      </c>
      <c r="C337" t="str">
        <f>'Female SR Individual Freestyle'!I42</f>
        <v>FSRF</v>
      </c>
      <c r="D337">
        <f>'Female SR Individual Freestyle'!J42</f>
        <v>11</v>
      </c>
      <c r="E337">
        <f>'Female SR Individual Freestyle'!K42</f>
        <v>0</v>
      </c>
      <c r="I337" t="str">
        <f t="shared" si="8"/>
        <v>FSRF-Female Single Rope Freestyle</v>
      </c>
    </row>
    <row r="338" spans="1:9" x14ac:dyDescent="0.25">
      <c r="A338">
        <f>'Team Info'!$B$3</f>
        <v>0</v>
      </c>
      <c r="B338">
        <f>'Female SR Individual Freestyle'!H43</f>
        <v>16</v>
      </c>
      <c r="C338" t="str">
        <f>'Female SR Individual Freestyle'!I43</f>
        <v>FSRF</v>
      </c>
      <c r="D338">
        <f>'Female SR Individual Freestyle'!J43</f>
        <v>11</v>
      </c>
      <c r="E338">
        <f>'Female SR Individual Freestyle'!K43</f>
        <v>0</v>
      </c>
      <c r="I338" t="str">
        <f t="shared" si="8"/>
        <v>FSRF-Female Single Rope Freestyle</v>
      </c>
    </row>
    <row r="339" spans="1:9" x14ac:dyDescent="0.25">
      <c r="A339">
        <f>'Team Info'!$B$3</f>
        <v>0</v>
      </c>
      <c r="B339">
        <f>'Female SR Individual Freestyle'!H44</f>
        <v>17</v>
      </c>
      <c r="C339" t="str">
        <f>'Female SR Individual Freestyle'!I44</f>
        <v>FSRF</v>
      </c>
      <c r="D339">
        <f>'Female SR Individual Freestyle'!J44</f>
        <v>11</v>
      </c>
      <c r="E339">
        <f>'Female SR Individual Freestyle'!K44</f>
        <v>0</v>
      </c>
      <c r="I339" t="str">
        <f t="shared" si="8"/>
        <v>FSRF-Female Single Rope Freestyle</v>
      </c>
    </row>
    <row r="340" spans="1:9" x14ac:dyDescent="0.25">
      <c r="A340">
        <f>'Team Info'!$B$3</f>
        <v>0</v>
      </c>
      <c r="B340">
        <f>'Female SR Individual Freestyle'!H45</f>
        <v>18</v>
      </c>
      <c r="C340" t="str">
        <f>'Female SR Individual Freestyle'!I45</f>
        <v>FSRF</v>
      </c>
      <c r="D340">
        <f>'Female SR Individual Freestyle'!J45</f>
        <v>11</v>
      </c>
      <c r="E340">
        <f>'Female SR Individual Freestyle'!K45</f>
        <v>0</v>
      </c>
      <c r="I340" t="str">
        <f t="shared" si="8"/>
        <v>FSRF-Female Single Rope Freestyle</v>
      </c>
    </row>
    <row r="341" spans="1:9" x14ac:dyDescent="0.25">
      <c r="A341">
        <f>'Team Info'!$B$3</f>
        <v>0</v>
      </c>
      <c r="B341">
        <f>'Female SR Individual Freestyle'!H46</f>
        <v>19</v>
      </c>
      <c r="C341" t="str">
        <f>'Female SR Individual Freestyle'!I46</f>
        <v>FSRF</v>
      </c>
      <c r="D341">
        <f>'Female SR Individual Freestyle'!J46</f>
        <v>11</v>
      </c>
      <c r="E341">
        <f>'Female SR Individual Freestyle'!K46</f>
        <v>0</v>
      </c>
      <c r="I341" t="str">
        <f t="shared" si="8"/>
        <v>FSRF-Female Single Rope Freestyle</v>
      </c>
    </row>
    <row r="342" spans="1:9" x14ac:dyDescent="0.25">
      <c r="A342">
        <f>'Team Info'!$B$3</f>
        <v>0</v>
      </c>
      <c r="B342">
        <f>'Female SR Individual Freestyle'!H47</f>
        <v>20</v>
      </c>
      <c r="C342" t="str">
        <f>'Female SR Individual Freestyle'!I47</f>
        <v>FSRF</v>
      </c>
      <c r="D342">
        <f>'Female SR Individual Freestyle'!J47</f>
        <v>11</v>
      </c>
      <c r="E342">
        <f>'Female SR Individual Freestyle'!K47</f>
        <v>0</v>
      </c>
      <c r="I342" t="str">
        <f t="shared" si="8"/>
        <v>FSRF-Female Single Rope Freestyle</v>
      </c>
    </row>
    <row r="343" spans="1:9" x14ac:dyDescent="0.25">
      <c r="A343">
        <f>'Team Info'!$B$3</f>
        <v>0</v>
      </c>
      <c r="B343">
        <f>'Female SR Individual Freestyle'!A50</f>
        <v>1</v>
      </c>
      <c r="C343" t="str">
        <f>'Female SR Individual Freestyle'!B50</f>
        <v>FSRF</v>
      </c>
      <c r="D343">
        <f>'Female SR Individual Freestyle'!C50</f>
        <v>12</v>
      </c>
      <c r="E343">
        <f>'Female SR Individual Freestyle'!D50</f>
        <v>0</v>
      </c>
      <c r="I343" t="str">
        <f t="shared" si="8"/>
        <v>FSRF-Female Single Rope Freestyle</v>
      </c>
    </row>
    <row r="344" spans="1:9" x14ac:dyDescent="0.25">
      <c r="A344">
        <f>'Team Info'!$B$3</f>
        <v>0</v>
      </c>
      <c r="B344">
        <f>'Female SR Individual Freestyle'!A51</f>
        <v>2</v>
      </c>
      <c r="C344" t="str">
        <f>'Female SR Individual Freestyle'!B51</f>
        <v>FSRF</v>
      </c>
      <c r="D344">
        <f>'Female SR Individual Freestyle'!C51</f>
        <v>12</v>
      </c>
      <c r="E344">
        <f>'Female SR Individual Freestyle'!D51</f>
        <v>0</v>
      </c>
      <c r="I344" t="str">
        <f t="shared" si="8"/>
        <v>FSRF-Female Single Rope Freestyle</v>
      </c>
    </row>
    <row r="345" spans="1:9" x14ac:dyDescent="0.25">
      <c r="A345">
        <f>'Team Info'!$B$3</f>
        <v>0</v>
      </c>
      <c r="B345">
        <f>'Female SR Individual Freestyle'!A52</f>
        <v>3</v>
      </c>
      <c r="C345" t="str">
        <f>'Female SR Individual Freestyle'!B52</f>
        <v>FSRF</v>
      </c>
      <c r="D345">
        <f>'Female SR Individual Freestyle'!C52</f>
        <v>12</v>
      </c>
      <c r="E345">
        <f>'Female SR Individual Freestyle'!D52</f>
        <v>0</v>
      </c>
      <c r="I345" t="str">
        <f t="shared" si="8"/>
        <v>FSRF-Female Single Rope Freestyle</v>
      </c>
    </row>
    <row r="346" spans="1:9" x14ac:dyDescent="0.25">
      <c r="A346">
        <f>'Team Info'!$B$3</f>
        <v>0</v>
      </c>
      <c r="B346">
        <f>'Female SR Individual Freestyle'!A53</f>
        <v>4</v>
      </c>
      <c r="C346" t="str">
        <f>'Female SR Individual Freestyle'!B53</f>
        <v>FSRF</v>
      </c>
      <c r="D346">
        <f>'Female SR Individual Freestyle'!C53</f>
        <v>12</v>
      </c>
      <c r="E346">
        <f>'Female SR Individual Freestyle'!D53</f>
        <v>0</v>
      </c>
      <c r="I346" t="str">
        <f t="shared" si="8"/>
        <v>FSRF-Female Single Rope Freestyle</v>
      </c>
    </row>
    <row r="347" spans="1:9" x14ac:dyDescent="0.25">
      <c r="A347">
        <f>'Team Info'!$B$3</f>
        <v>0</v>
      </c>
      <c r="B347">
        <f>'Female SR Individual Freestyle'!A54</f>
        <v>5</v>
      </c>
      <c r="C347" t="str">
        <f>'Female SR Individual Freestyle'!B54</f>
        <v>FSRF</v>
      </c>
      <c r="D347">
        <f>'Female SR Individual Freestyle'!C54</f>
        <v>12</v>
      </c>
      <c r="E347">
        <f>'Female SR Individual Freestyle'!D54</f>
        <v>0</v>
      </c>
      <c r="I347" t="str">
        <f t="shared" si="8"/>
        <v>FSRF-Female Single Rope Freestyle</v>
      </c>
    </row>
    <row r="348" spans="1:9" x14ac:dyDescent="0.25">
      <c r="A348">
        <f>'Team Info'!$B$3</f>
        <v>0</v>
      </c>
      <c r="B348">
        <f>'Female SR Individual Freestyle'!A55</f>
        <v>6</v>
      </c>
      <c r="C348" t="str">
        <f>'Female SR Individual Freestyle'!B55</f>
        <v>FSRF</v>
      </c>
      <c r="D348">
        <f>'Female SR Individual Freestyle'!C55</f>
        <v>12</v>
      </c>
      <c r="E348">
        <f>'Female SR Individual Freestyle'!D55</f>
        <v>0</v>
      </c>
      <c r="I348" t="str">
        <f t="shared" si="8"/>
        <v>FSRF-Female Single Rope Freestyle</v>
      </c>
    </row>
    <row r="349" spans="1:9" x14ac:dyDescent="0.25">
      <c r="A349">
        <f>'Team Info'!$B$3</f>
        <v>0</v>
      </c>
      <c r="B349">
        <f>'Female SR Individual Freestyle'!A56</f>
        <v>7</v>
      </c>
      <c r="C349" t="str">
        <f>'Female SR Individual Freestyle'!B56</f>
        <v>FSRF</v>
      </c>
      <c r="D349">
        <f>'Female SR Individual Freestyle'!C56</f>
        <v>12</v>
      </c>
      <c r="E349">
        <f>'Female SR Individual Freestyle'!D56</f>
        <v>0</v>
      </c>
      <c r="I349" t="str">
        <f t="shared" si="8"/>
        <v>FSRF-Female Single Rope Freestyle</v>
      </c>
    </row>
    <row r="350" spans="1:9" x14ac:dyDescent="0.25">
      <c r="A350">
        <f>'Team Info'!$B$3</f>
        <v>0</v>
      </c>
      <c r="B350">
        <f>'Female SR Individual Freestyle'!A57</f>
        <v>8</v>
      </c>
      <c r="C350" t="str">
        <f>'Female SR Individual Freestyle'!B57</f>
        <v>FSRF</v>
      </c>
      <c r="D350">
        <f>'Female SR Individual Freestyle'!C57</f>
        <v>12</v>
      </c>
      <c r="E350">
        <f>'Female SR Individual Freestyle'!D57</f>
        <v>0</v>
      </c>
      <c r="I350" t="str">
        <f t="shared" ref="I350:I413" si="9">VLOOKUP(C350,EVENTS,2,FALSE)</f>
        <v>FSRF-Female Single Rope Freestyle</v>
      </c>
    </row>
    <row r="351" spans="1:9" x14ac:dyDescent="0.25">
      <c r="A351">
        <f>'Team Info'!$B$3</f>
        <v>0</v>
      </c>
      <c r="B351">
        <f>'Female SR Individual Freestyle'!A58</f>
        <v>9</v>
      </c>
      <c r="C351" t="str">
        <f>'Female SR Individual Freestyle'!B58</f>
        <v>FSRF</v>
      </c>
      <c r="D351">
        <f>'Female SR Individual Freestyle'!C58</f>
        <v>12</v>
      </c>
      <c r="E351">
        <f>'Female SR Individual Freestyle'!D58</f>
        <v>0</v>
      </c>
      <c r="I351" t="str">
        <f t="shared" si="9"/>
        <v>FSRF-Female Single Rope Freestyle</v>
      </c>
    </row>
    <row r="352" spans="1:9" x14ac:dyDescent="0.25">
      <c r="A352">
        <f>'Team Info'!$B$3</f>
        <v>0</v>
      </c>
      <c r="B352">
        <f>'Female SR Individual Freestyle'!A59</f>
        <v>10</v>
      </c>
      <c r="C352" t="str">
        <f>'Female SR Individual Freestyle'!B59</f>
        <v>FSRF</v>
      </c>
      <c r="D352">
        <f>'Female SR Individual Freestyle'!C59</f>
        <v>12</v>
      </c>
      <c r="E352">
        <f>'Female SR Individual Freestyle'!D59</f>
        <v>0</v>
      </c>
      <c r="I352" t="str">
        <f t="shared" si="9"/>
        <v>FSRF-Female Single Rope Freestyle</v>
      </c>
    </row>
    <row r="353" spans="1:9" x14ac:dyDescent="0.25">
      <c r="A353">
        <f>'Team Info'!$B$3</f>
        <v>0</v>
      </c>
      <c r="B353">
        <f>'Female SR Individual Freestyle'!A60</f>
        <v>11</v>
      </c>
      <c r="C353" t="str">
        <f>'Female SR Individual Freestyle'!B60</f>
        <v>FSRF</v>
      </c>
      <c r="D353">
        <f>'Female SR Individual Freestyle'!C60</f>
        <v>12</v>
      </c>
      <c r="E353">
        <f>'Female SR Individual Freestyle'!D60</f>
        <v>0</v>
      </c>
      <c r="I353" t="str">
        <f t="shared" si="9"/>
        <v>FSRF-Female Single Rope Freestyle</v>
      </c>
    </row>
    <row r="354" spans="1:9" x14ac:dyDescent="0.25">
      <c r="A354">
        <f>'Team Info'!$B$3</f>
        <v>0</v>
      </c>
      <c r="B354">
        <f>'Female SR Individual Freestyle'!A61</f>
        <v>12</v>
      </c>
      <c r="C354" t="str">
        <f>'Female SR Individual Freestyle'!B61</f>
        <v>FSRF</v>
      </c>
      <c r="D354">
        <f>'Female SR Individual Freestyle'!C61</f>
        <v>12</v>
      </c>
      <c r="E354">
        <f>'Female SR Individual Freestyle'!D61</f>
        <v>0</v>
      </c>
      <c r="I354" t="str">
        <f t="shared" si="9"/>
        <v>FSRF-Female Single Rope Freestyle</v>
      </c>
    </row>
    <row r="355" spans="1:9" x14ac:dyDescent="0.25">
      <c r="A355">
        <f>'Team Info'!$B$3</f>
        <v>0</v>
      </c>
      <c r="B355">
        <f>'Female SR Individual Freestyle'!A62</f>
        <v>13</v>
      </c>
      <c r="C355" t="str">
        <f>'Female SR Individual Freestyle'!B62</f>
        <v>FSRF</v>
      </c>
      <c r="D355">
        <f>'Female SR Individual Freestyle'!C62</f>
        <v>12</v>
      </c>
      <c r="E355">
        <f>'Female SR Individual Freestyle'!D62</f>
        <v>0</v>
      </c>
      <c r="I355" t="str">
        <f t="shared" si="9"/>
        <v>FSRF-Female Single Rope Freestyle</v>
      </c>
    </row>
    <row r="356" spans="1:9" x14ac:dyDescent="0.25">
      <c r="A356">
        <f>'Team Info'!$B$3</f>
        <v>0</v>
      </c>
      <c r="B356">
        <f>'Female SR Individual Freestyle'!A63</f>
        <v>14</v>
      </c>
      <c r="C356" t="str">
        <f>'Female SR Individual Freestyle'!B63</f>
        <v>FSRF</v>
      </c>
      <c r="D356">
        <f>'Female SR Individual Freestyle'!C63</f>
        <v>12</v>
      </c>
      <c r="E356">
        <f>'Female SR Individual Freestyle'!D63</f>
        <v>0</v>
      </c>
      <c r="I356" t="str">
        <f t="shared" si="9"/>
        <v>FSRF-Female Single Rope Freestyle</v>
      </c>
    </row>
    <row r="357" spans="1:9" x14ac:dyDescent="0.25">
      <c r="A357">
        <f>'Team Info'!$B$3</f>
        <v>0</v>
      </c>
      <c r="B357">
        <f>'Female SR Individual Freestyle'!A64</f>
        <v>15</v>
      </c>
      <c r="C357" t="str">
        <f>'Female SR Individual Freestyle'!B64</f>
        <v>FSRF</v>
      </c>
      <c r="D357">
        <f>'Female SR Individual Freestyle'!C64</f>
        <v>12</v>
      </c>
      <c r="E357">
        <f>'Female SR Individual Freestyle'!D64</f>
        <v>0</v>
      </c>
      <c r="I357" t="str">
        <f t="shared" si="9"/>
        <v>FSRF-Female Single Rope Freestyle</v>
      </c>
    </row>
    <row r="358" spans="1:9" x14ac:dyDescent="0.25">
      <c r="A358">
        <f>'Team Info'!$B$3</f>
        <v>0</v>
      </c>
      <c r="B358">
        <f>'Female SR Individual Freestyle'!A65</f>
        <v>16</v>
      </c>
      <c r="C358" t="str">
        <f>'Female SR Individual Freestyle'!B65</f>
        <v>FSRF</v>
      </c>
      <c r="D358">
        <f>'Female SR Individual Freestyle'!C65</f>
        <v>12</v>
      </c>
      <c r="E358">
        <f>'Female SR Individual Freestyle'!D65</f>
        <v>0</v>
      </c>
      <c r="I358" t="str">
        <f t="shared" si="9"/>
        <v>FSRF-Female Single Rope Freestyle</v>
      </c>
    </row>
    <row r="359" spans="1:9" x14ac:dyDescent="0.25">
      <c r="A359">
        <f>'Team Info'!$B$3</f>
        <v>0</v>
      </c>
      <c r="B359">
        <f>'Female SR Individual Freestyle'!A66</f>
        <v>17</v>
      </c>
      <c r="C359" t="str">
        <f>'Female SR Individual Freestyle'!B66</f>
        <v>FSRF</v>
      </c>
      <c r="D359">
        <f>'Female SR Individual Freestyle'!C66</f>
        <v>12</v>
      </c>
      <c r="E359">
        <f>'Female SR Individual Freestyle'!D66</f>
        <v>0</v>
      </c>
      <c r="I359" t="str">
        <f t="shared" si="9"/>
        <v>FSRF-Female Single Rope Freestyle</v>
      </c>
    </row>
    <row r="360" spans="1:9" x14ac:dyDescent="0.25">
      <c r="A360">
        <f>'Team Info'!$B$3</f>
        <v>0</v>
      </c>
      <c r="B360">
        <f>'Female SR Individual Freestyle'!A67</f>
        <v>18</v>
      </c>
      <c r="C360" t="str">
        <f>'Female SR Individual Freestyle'!B67</f>
        <v>FSRF</v>
      </c>
      <c r="D360">
        <f>'Female SR Individual Freestyle'!C67</f>
        <v>12</v>
      </c>
      <c r="E360">
        <f>'Female SR Individual Freestyle'!D67</f>
        <v>0</v>
      </c>
      <c r="I360" t="str">
        <f t="shared" si="9"/>
        <v>FSRF-Female Single Rope Freestyle</v>
      </c>
    </row>
    <row r="361" spans="1:9" x14ac:dyDescent="0.25">
      <c r="A361">
        <f>'Team Info'!$B$3</f>
        <v>0</v>
      </c>
      <c r="B361">
        <f>'Female SR Individual Freestyle'!A68</f>
        <v>19</v>
      </c>
      <c r="C361" t="str">
        <f>'Female SR Individual Freestyle'!B68</f>
        <v>FSRF</v>
      </c>
      <c r="D361">
        <f>'Female SR Individual Freestyle'!C68</f>
        <v>12</v>
      </c>
      <c r="E361">
        <f>'Female SR Individual Freestyle'!D68</f>
        <v>0</v>
      </c>
      <c r="I361" t="str">
        <f t="shared" si="9"/>
        <v>FSRF-Female Single Rope Freestyle</v>
      </c>
    </row>
    <row r="362" spans="1:9" x14ac:dyDescent="0.25">
      <c r="A362">
        <f>'Team Info'!$B$3</f>
        <v>0</v>
      </c>
      <c r="B362">
        <f>'Female SR Individual Freestyle'!A69</f>
        <v>20</v>
      </c>
      <c r="C362" t="str">
        <f>'Female SR Individual Freestyle'!B69</f>
        <v>FSRF</v>
      </c>
      <c r="D362">
        <f>'Female SR Individual Freestyle'!C69</f>
        <v>12</v>
      </c>
      <c r="E362">
        <f>'Female SR Individual Freestyle'!D69</f>
        <v>0</v>
      </c>
      <c r="I362" t="str">
        <f t="shared" si="9"/>
        <v>FSRF-Female Single Rope Freestyle</v>
      </c>
    </row>
    <row r="363" spans="1:9" x14ac:dyDescent="0.25">
      <c r="A363">
        <f>'Team Info'!$B$3</f>
        <v>0</v>
      </c>
      <c r="B363">
        <f>'Female SR Individual Freestyle'!H50</f>
        <v>1</v>
      </c>
      <c r="C363" t="str">
        <f>'Female SR Individual Freestyle'!I50</f>
        <v>FSRF</v>
      </c>
      <c r="D363">
        <f>'Female SR Individual Freestyle'!J50</f>
        <v>13</v>
      </c>
      <c r="E363">
        <f>'Female SR Individual Freestyle'!K50</f>
        <v>0</v>
      </c>
      <c r="I363" t="str">
        <f t="shared" si="9"/>
        <v>FSRF-Female Single Rope Freestyle</v>
      </c>
    </row>
    <row r="364" spans="1:9" x14ac:dyDescent="0.25">
      <c r="A364">
        <f>'Team Info'!$B$3</f>
        <v>0</v>
      </c>
      <c r="B364">
        <f>'Female SR Individual Freestyle'!H51</f>
        <v>2</v>
      </c>
      <c r="C364" t="str">
        <f>'Female SR Individual Freestyle'!I51</f>
        <v>FSRF</v>
      </c>
      <c r="D364">
        <f>'Female SR Individual Freestyle'!J51</f>
        <v>13</v>
      </c>
      <c r="E364">
        <f>'Female SR Individual Freestyle'!K51</f>
        <v>0</v>
      </c>
      <c r="I364" t="str">
        <f t="shared" si="9"/>
        <v>FSRF-Female Single Rope Freestyle</v>
      </c>
    </row>
    <row r="365" spans="1:9" x14ac:dyDescent="0.25">
      <c r="A365">
        <f>'Team Info'!$B$3</f>
        <v>0</v>
      </c>
      <c r="B365">
        <f>'Female SR Individual Freestyle'!H52</f>
        <v>3</v>
      </c>
      <c r="C365" t="str">
        <f>'Female SR Individual Freestyle'!I52</f>
        <v>FSRF</v>
      </c>
      <c r="D365">
        <f>'Female SR Individual Freestyle'!J52</f>
        <v>13</v>
      </c>
      <c r="E365">
        <f>'Female SR Individual Freestyle'!K52</f>
        <v>0</v>
      </c>
      <c r="I365" t="str">
        <f t="shared" si="9"/>
        <v>FSRF-Female Single Rope Freestyle</v>
      </c>
    </row>
    <row r="366" spans="1:9" x14ac:dyDescent="0.25">
      <c r="A366">
        <f>'Team Info'!$B$3</f>
        <v>0</v>
      </c>
      <c r="B366">
        <f>'Female SR Individual Freestyle'!H53</f>
        <v>4</v>
      </c>
      <c r="C366" t="str">
        <f>'Female SR Individual Freestyle'!I53</f>
        <v>FSRF</v>
      </c>
      <c r="D366">
        <f>'Female SR Individual Freestyle'!J53</f>
        <v>13</v>
      </c>
      <c r="E366">
        <f>'Female SR Individual Freestyle'!K53</f>
        <v>0</v>
      </c>
      <c r="I366" t="str">
        <f t="shared" si="9"/>
        <v>FSRF-Female Single Rope Freestyle</v>
      </c>
    </row>
    <row r="367" spans="1:9" x14ac:dyDescent="0.25">
      <c r="A367">
        <f>'Team Info'!$B$3</f>
        <v>0</v>
      </c>
      <c r="B367">
        <f>'Female SR Individual Freestyle'!H54</f>
        <v>5</v>
      </c>
      <c r="C367" t="str">
        <f>'Female SR Individual Freestyle'!I54</f>
        <v>FSRF</v>
      </c>
      <c r="D367">
        <f>'Female SR Individual Freestyle'!J54</f>
        <v>13</v>
      </c>
      <c r="E367">
        <f>'Female SR Individual Freestyle'!K54</f>
        <v>0</v>
      </c>
      <c r="I367" t="str">
        <f t="shared" si="9"/>
        <v>FSRF-Female Single Rope Freestyle</v>
      </c>
    </row>
    <row r="368" spans="1:9" x14ac:dyDescent="0.25">
      <c r="A368">
        <f>'Team Info'!$B$3</f>
        <v>0</v>
      </c>
      <c r="B368">
        <f>'Female SR Individual Freestyle'!H55</f>
        <v>6</v>
      </c>
      <c r="C368" t="str">
        <f>'Female SR Individual Freestyle'!I55</f>
        <v>FSRF</v>
      </c>
      <c r="D368">
        <f>'Female SR Individual Freestyle'!J55</f>
        <v>13</v>
      </c>
      <c r="E368">
        <f>'Female SR Individual Freestyle'!K55</f>
        <v>0</v>
      </c>
      <c r="I368" t="str">
        <f t="shared" si="9"/>
        <v>FSRF-Female Single Rope Freestyle</v>
      </c>
    </row>
    <row r="369" spans="1:9" x14ac:dyDescent="0.25">
      <c r="A369">
        <f>'Team Info'!$B$3</f>
        <v>0</v>
      </c>
      <c r="B369">
        <f>'Female SR Individual Freestyle'!H56</f>
        <v>7</v>
      </c>
      <c r="C369" t="str">
        <f>'Female SR Individual Freestyle'!I56</f>
        <v>FSRF</v>
      </c>
      <c r="D369">
        <f>'Female SR Individual Freestyle'!J56</f>
        <v>13</v>
      </c>
      <c r="E369">
        <f>'Female SR Individual Freestyle'!K56</f>
        <v>0</v>
      </c>
      <c r="I369" t="str">
        <f t="shared" si="9"/>
        <v>FSRF-Female Single Rope Freestyle</v>
      </c>
    </row>
    <row r="370" spans="1:9" x14ac:dyDescent="0.25">
      <c r="A370">
        <f>'Team Info'!$B$3</f>
        <v>0</v>
      </c>
      <c r="B370">
        <f>'Female SR Individual Freestyle'!H57</f>
        <v>8</v>
      </c>
      <c r="C370" t="str">
        <f>'Female SR Individual Freestyle'!I57</f>
        <v>FSRF</v>
      </c>
      <c r="D370">
        <f>'Female SR Individual Freestyle'!J57</f>
        <v>13</v>
      </c>
      <c r="E370">
        <f>'Female SR Individual Freestyle'!K57</f>
        <v>0</v>
      </c>
      <c r="I370" t="str">
        <f t="shared" si="9"/>
        <v>FSRF-Female Single Rope Freestyle</v>
      </c>
    </row>
    <row r="371" spans="1:9" x14ac:dyDescent="0.25">
      <c r="A371">
        <f>'Team Info'!$B$3</f>
        <v>0</v>
      </c>
      <c r="B371">
        <f>'Female SR Individual Freestyle'!H58</f>
        <v>9</v>
      </c>
      <c r="C371" t="str">
        <f>'Female SR Individual Freestyle'!I58</f>
        <v>FSRF</v>
      </c>
      <c r="D371">
        <f>'Female SR Individual Freestyle'!J58</f>
        <v>13</v>
      </c>
      <c r="E371">
        <f>'Female SR Individual Freestyle'!K58</f>
        <v>0</v>
      </c>
      <c r="I371" t="str">
        <f t="shared" si="9"/>
        <v>FSRF-Female Single Rope Freestyle</v>
      </c>
    </row>
    <row r="372" spans="1:9" x14ac:dyDescent="0.25">
      <c r="A372">
        <f>'Team Info'!$B$3</f>
        <v>0</v>
      </c>
      <c r="B372">
        <f>'Female SR Individual Freestyle'!H59</f>
        <v>10</v>
      </c>
      <c r="C372" t="str">
        <f>'Female SR Individual Freestyle'!I59</f>
        <v>FSRF</v>
      </c>
      <c r="D372">
        <f>'Female SR Individual Freestyle'!J59</f>
        <v>13</v>
      </c>
      <c r="E372">
        <f>'Female SR Individual Freestyle'!K59</f>
        <v>0</v>
      </c>
      <c r="I372" t="str">
        <f t="shared" si="9"/>
        <v>FSRF-Female Single Rope Freestyle</v>
      </c>
    </row>
    <row r="373" spans="1:9" x14ac:dyDescent="0.25">
      <c r="A373">
        <f>'Team Info'!$B$3</f>
        <v>0</v>
      </c>
      <c r="B373">
        <f>'Female SR Individual Freestyle'!H60</f>
        <v>11</v>
      </c>
      <c r="C373" t="str">
        <f>'Female SR Individual Freestyle'!I60</f>
        <v>FSRF</v>
      </c>
      <c r="D373">
        <f>'Female SR Individual Freestyle'!J60</f>
        <v>13</v>
      </c>
      <c r="E373">
        <f>'Female SR Individual Freestyle'!K60</f>
        <v>0</v>
      </c>
      <c r="I373" t="str">
        <f t="shared" si="9"/>
        <v>FSRF-Female Single Rope Freestyle</v>
      </c>
    </row>
    <row r="374" spans="1:9" x14ac:dyDescent="0.25">
      <c r="A374">
        <f>'Team Info'!$B$3</f>
        <v>0</v>
      </c>
      <c r="B374">
        <f>'Female SR Individual Freestyle'!H61</f>
        <v>12</v>
      </c>
      <c r="C374" t="str">
        <f>'Female SR Individual Freestyle'!I61</f>
        <v>FSRF</v>
      </c>
      <c r="D374">
        <f>'Female SR Individual Freestyle'!J61</f>
        <v>13</v>
      </c>
      <c r="E374">
        <f>'Female SR Individual Freestyle'!K61</f>
        <v>0</v>
      </c>
      <c r="I374" t="str">
        <f t="shared" si="9"/>
        <v>FSRF-Female Single Rope Freestyle</v>
      </c>
    </row>
    <row r="375" spans="1:9" x14ac:dyDescent="0.25">
      <c r="A375">
        <f>'Team Info'!$B$3</f>
        <v>0</v>
      </c>
      <c r="B375">
        <f>'Female SR Individual Freestyle'!H62</f>
        <v>13</v>
      </c>
      <c r="C375" t="str">
        <f>'Female SR Individual Freestyle'!I62</f>
        <v>FSRF</v>
      </c>
      <c r="D375">
        <f>'Female SR Individual Freestyle'!J62</f>
        <v>13</v>
      </c>
      <c r="E375">
        <f>'Female SR Individual Freestyle'!K62</f>
        <v>0</v>
      </c>
      <c r="I375" t="str">
        <f t="shared" si="9"/>
        <v>FSRF-Female Single Rope Freestyle</v>
      </c>
    </row>
    <row r="376" spans="1:9" x14ac:dyDescent="0.25">
      <c r="A376">
        <f>'Team Info'!$B$3</f>
        <v>0</v>
      </c>
      <c r="B376">
        <f>'Female SR Individual Freestyle'!H63</f>
        <v>14</v>
      </c>
      <c r="C376" t="str">
        <f>'Female SR Individual Freestyle'!I63</f>
        <v>FSRF</v>
      </c>
      <c r="D376">
        <f>'Female SR Individual Freestyle'!J63</f>
        <v>13</v>
      </c>
      <c r="E376">
        <f>'Female SR Individual Freestyle'!K63</f>
        <v>0</v>
      </c>
      <c r="I376" t="str">
        <f t="shared" si="9"/>
        <v>FSRF-Female Single Rope Freestyle</v>
      </c>
    </row>
    <row r="377" spans="1:9" x14ac:dyDescent="0.25">
      <c r="A377">
        <f>'Team Info'!$B$3</f>
        <v>0</v>
      </c>
      <c r="B377">
        <f>'Female SR Individual Freestyle'!H64</f>
        <v>15</v>
      </c>
      <c r="C377" t="str">
        <f>'Female SR Individual Freestyle'!I64</f>
        <v>FSRF</v>
      </c>
      <c r="D377">
        <f>'Female SR Individual Freestyle'!J64</f>
        <v>13</v>
      </c>
      <c r="E377">
        <f>'Female SR Individual Freestyle'!K64</f>
        <v>0</v>
      </c>
      <c r="I377" t="str">
        <f t="shared" si="9"/>
        <v>FSRF-Female Single Rope Freestyle</v>
      </c>
    </row>
    <row r="378" spans="1:9" x14ac:dyDescent="0.25">
      <c r="A378">
        <f>'Team Info'!$B$3</f>
        <v>0</v>
      </c>
      <c r="B378">
        <f>'Female SR Individual Freestyle'!H65</f>
        <v>16</v>
      </c>
      <c r="C378" t="str">
        <f>'Female SR Individual Freestyle'!I65</f>
        <v>FSRF</v>
      </c>
      <c r="D378">
        <f>'Female SR Individual Freestyle'!J65</f>
        <v>13</v>
      </c>
      <c r="E378">
        <f>'Female SR Individual Freestyle'!K65</f>
        <v>0</v>
      </c>
      <c r="I378" t="str">
        <f t="shared" si="9"/>
        <v>FSRF-Female Single Rope Freestyle</v>
      </c>
    </row>
    <row r="379" spans="1:9" x14ac:dyDescent="0.25">
      <c r="A379">
        <f>'Team Info'!$B$3</f>
        <v>0</v>
      </c>
      <c r="B379">
        <f>'Female SR Individual Freestyle'!H66</f>
        <v>17</v>
      </c>
      <c r="C379" t="str">
        <f>'Female SR Individual Freestyle'!I66</f>
        <v>FSRF</v>
      </c>
      <c r="D379">
        <f>'Female SR Individual Freestyle'!J66</f>
        <v>13</v>
      </c>
      <c r="E379">
        <f>'Female SR Individual Freestyle'!K66</f>
        <v>0</v>
      </c>
      <c r="I379" t="str">
        <f t="shared" si="9"/>
        <v>FSRF-Female Single Rope Freestyle</v>
      </c>
    </row>
    <row r="380" spans="1:9" x14ac:dyDescent="0.25">
      <c r="A380">
        <f>'Team Info'!$B$3</f>
        <v>0</v>
      </c>
      <c r="B380">
        <f>'Female SR Individual Freestyle'!H67</f>
        <v>18</v>
      </c>
      <c r="C380" t="str">
        <f>'Female SR Individual Freestyle'!I67</f>
        <v>FSRF</v>
      </c>
      <c r="D380">
        <f>'Female SR Individual Freestyle'!J67</f>
        <v>13</v>
      </c>
      <c r="E380">
        <f>'Female SR Individual Freestyle'!K67</f>
        <v>0</v>
      </c>
      <c r="I380" t="str">
        <f t="shared" si="9"/>
        <v>FSRF-Female Single Rope Freestyle</v>
      </c>
    </row>
    <row r="381" spans="1:9" x14ac:dyDescent="0.25">
      <c r="A381">
        <f>'Team Info'!$B$3</f>
        <v>0</v>
      </c>
      <c r="B381">
        <f>'Female SR Individual Freestyle'!H68</f>
        <v>19</v>
      </c>
      <c r="C381" t="str">
        <f>'Female SR Individual Freestyle'!I68</f>
        <v>FSRF</v>
      </c>
      <c r="D381">
        <f>'Female SR Individual Freestyle'!J68</f>
        <v>13</v>
      </c>
      <c r="E381">
        <f>'Female SR Individual Freestyle'!K68</f>
        <v>0</v>
      </c>
      <c r="I381" t="str">
        <f t="shared" si="9"/>
        <v>FSRF-Female Single Rope Freestyle</v>
      </c>
    </row>
    <row r="382" spans="1:9" x14ac:dyDescent="0.25">
      <c r="A382">
        <f>'Team Info'!$B$3</f>
        <v>0</v>
      </c>
      <c r="B382">
        <f>'Female SR Individual Freestyle'!H69</f>
        <v>20</v>
      </c>
      <c r="C382" t="str">
        <f>'Female SR Individual Freestyle'!I69</f>
        <v>FSRF</v>
      </c>
      <c r="D382">
        <f>'Female SR Individual Freestyle'!J69</f>
        <v>13</v>
      </c>
      <c r="E382">
        <f>'Female SR Individual Freestyle'!K69</f>
        <v>0</v>
      </c>
      <c r="I382" t="str">
        <f t="shared" si="9"/>
        <v>FSRF-Female Single Rope Freestyle</v>
      </c>
    </row>
    <row r="383" spans="1:9" x14ac:dyDescent="0.25">
      <c r="A383">
        <f>'Team Info'!$B$3</f>
        <v>0</v>
      </c>
      <c r="B383">
        <f>'Female SR Individual Freestyle'!A72</f>
        <v>1</v>
      </c>
      <c r="C383" t="str">
        <f>'Female SR Individual Freestyle'!B72</f>
        <v>FSRF</v>
      </c>
      <c r="D383">
        <f>'Female SR Individual Freestyle'!C72</f>
        <v>14</v>
      </c>
      <c r="E383">
        <f>'Female SR Individual Freestyle'!D72</f>
        <v>0</v>
      </c>
      <c r="I383" t="str">
        <f t="shared" si="9"/>
        <v>FSRF-Female Single Rope Freestyle</v>
      </c>
    </row>
    <row r="384" spans="1:9" x14ac:dyDescent="0.25">
      <c r="A384">
        <f>'Team Info'!$B$3</f>
        <v>0</v>
      </c>
      <c r="B384">
        <f>'Female SR Individual Freestyle'!A73</f>
        <v>2</v>
      </c>
      <c r="C384" t="str">
        <f>'Female SR Individual Freestyle'!B73</f>
        <v>FSRF</v>
      </c>
      <c r="D384">
        <f>'Female SR Individual Freestyle'!C73</f>
        <v>14</v>
      </c>
      <c r="E384">
        <f>'Female SR Individual Freestyle'!D73</f>
        <v>0</v>
      </c>
      <c r="I384" t="str">
        <f t="shared" si="9"/>
        <v>FSRF-Female Single Rope Freestyle</v>
      </c>
    </row>
    <row r="385" spans="1:9" x14ac:dyDescent="0.25">
      <c r="A385">
        <f>'Team Info'!$B$3</f>
        <v>0</v>
      </c>
      <c r="B385">
        <f>'Female SR Individual Freestyle'!A74</f>
        <v>3</v>
      </c>
      <c r="C385" t="str">
        <f>'Female SR Individual Freestyle'!B74</f>
        <v>FSRF</v>
      </c>
      <c r="D385">
        <f>'Female SR Individual Freestyle'!C74</f>
        <v>14</v>
      </c>
      <c r="E385">
        <f>'Female SR Individual Freestyle'!D74</f>
        <v>0</v>
      </c>
      <c r="I385" t="str">
        <f t="shared" si="9"/>
        <v>FSRF-Female Single Rope Freestyle</v>
      </c>
    </row>
    <row r="386" spans="1:9" x14ac:dyDescent="0.25">
      <c r="A386">
        <f>'Team Info'!$B$3</f>
        <v>0</v>
      </c>
      <c r="B386">
        <f>'Female SR Individual Freestyle'!A75</f>
        <v>4</v>
      </c>
      <c r="C386" t="str">
        <f>'Female SR Individual Freestyle'!B75</f>
        <v>FSRF</v>
      </c>
      <c r="D386">
        <f>'Female SR Individual Freestyle'!C75</f>
        <v>14</v>
      </c>
      <c r="E386">
        <f>'Female SR Individual Freestyle'!D75</f>
        <v>0</v>
      </c>
      <c r="I386" t="str">
        <f t="shared" si="9"/>
        <v>FSRF-Female Single Rope Freestyle</v>
      </c>
    </row>
    <row r="387" spans="1:9" x14ac:dyDescent="0.25">
      <c r="A387">
        <f>'Team Info'!$B$3</f>
        <v>0</v>
      </c>
      <c r="B387">
        <f>'Female SR Individual Freestyle'!A76</f>
        <v>5</v>
      </c>
      <c r="C387" t="str">
        <f>'Female SR Individual Freestyle'!B76</f>
        <v>FSRF</v>
      </c>
      <c r="D387">
        <f>'Female SR Individual Freestyle'!C76</f>
        <v>14</v>
      </c>
      <c r="E387">
        <f>'Female SR Individual Freestyle'!D76</f>
        <v>0</v>
      </c>
      <c r="I387" t="str">
        <f t="shared" si="9"/>
        <v>FSRF-Female Single Rope Freestyle</v>
      </c>
    </row>
    <row r="388" spans="1:9" x14ac:dyDescent="0.25">
      <c r="A388">
        <f>'Team Info'!$B$3</f>
        <v>0</v>
      </c>
      <c r="B388">
        <f>'Female SR Individual Freestyle'!A77</f>
        <v>6</v>
      </c>
      <c r="C388" t="str">
        <f>'Female SR Individual Freestyle'!B77</f>
        <v>FSRF</v>
      </c>
      <c r="D388">
        <f>'Female SR Individual Freestyle'!C77</f>
        <v>14</v>
      </c>
      <c r="E388">
        <f>'Female SR Individual Freestyle'!D77</f>
        <v>0</v>
      </c>
      <c r="I388" t="str">
        <f t="shared" si="9"/>
        <v>FSRF-Female Single Rope Freestyle</v>
      </c>
    </row>
    <row r="389" spans="1:9" x14ac:dyDescent="0.25">
      <c r="A389">
        <f>'Team Info'!$B$3</f>
        <v>0</v>
      </c>
      <c r="B389">
        <f>'Female SR Individual Freestyle'!A78</f>
        <v>7</v>
      </c>
      <c r="C389" t="str">
        <f>'Female SR Individual Freestyle'!B78</f>
        <v>FSRF</v>
      </c>
      <c r="D389">
        <f>'Female SR Individual Freestyle'!C78</f>
        <v>14</v>
      </c>
      <c r="E389">
        <f>'Female SR Individual Freestyle'!D78</f>
        <v>0</v>
      </c>
      <c r="I389" t="str">
        <f t="shared" si="9"/>
        <v>FSRF-Female Single Rope Freestyle</v>
      </c>
    </row>
    <row r="390" spans="1:9" x14ac:dyDescent="0.25">
      <c r="A390">
        <f>'Team Info'!$B$3</f>
        <v>0</v>
      </c>
      <c r="B390">
        <f>'Female SR Individual Freestyle'!A79</f>
        <v>8</v>
      </c>
      <c r="C390" t="str">
        <f>'Female SR Individual Freestyle'!B79</f>
        <v>FSRF</v>
      </c>
      <c r="D390">
        <f>'Female SR Individual Freestyle'!C79</f>
        <v>14</v>
      </c>
      <c r="E390">
        <f>'Female SR Individual Freestyle'!D79</f>
        <v>0</v>
      </c>
      <c r="I390" t="str">
        <f t="shared" si="9"/>
        <v>FSRF-Female Single Rope Freestyle</v>
      </c>
    </row>
    <row r="391" spans="1:9" x14ac:dyDescent="0.25">
      <c r="A391">
        <f>'Team Info'!$B$3</f>
        <v>0</v>
      </c>
      <c r="B391">
        <f>'Female SR Individual Freestyle'!A80</f>
        <v>9</v>
      </c>
      <c r="C391" t="str">
        <f>'Female SR Individual Freestyle'!B80</f>
        <v>FSRF</v>
      </c>
      <c r="D391">
        <f>'Female SR Individual Freestyle'!C80</f>
        <v>14</v>
      </c>
      <c r="E391">
        <f>'Female SR Individual Freestyle'!D80</f>
        <v>0</v>
      </c>
      <c r="I391" t="str">
        <f t="shared" si="9"/>
        <v>FSRF-Female Single Rope Freestyle</v>
      </c>
    </row>
    <row r="392" spans="1:9" x14ac:dyDescent="0.25">
      <c r="A392">
        <f>'Team Info'!$B$3</f>
        <v>0</v>
      </c>
      <c r="B392">
        <f>'Female SR Individual Freestyle'!A81</f>
        <v>10</v>
      </c>
      <c r="C392" t="str">
        <f>'Female SR Individual Freestyle'!B81</f>
        <v>FSRF</v>
      </c>
      <c r="D392">
        <f>'Female SR Individual Freestyle'!C81</f>
        <v>14</v>
      </c>
      <c r="E392">
        <f>'Female SR Individual Freestyle'!D81</f>
        <v>0</v>
      </c>
      <c r="I392" t="str">
        <f t="shared" si="9"/>
        <v>FSRF-Female Single Rope Freestyle</v>
      </c>
    </row>
    <row r="393" spans="1:9" x14ac:dyDescent="0.25">
      <c r="A393">
        <f>'Team Info'!$B$3</f>
        <v>0</v>
      </c>
      <c r="B393">
        <f>'Female SR Individual Freestyle'!A82</f>
        <v>11</v>
      </c>
      <c r="C393" t="str">
        <f>'Female SR Individual Freestyle'!B82</f>
        <v>FSRF</v>
      </c>
      <c r="D393">
        <f>'Female SR Individual Freestyle'!C82</f>
        <v>14</v>
      </c>
      <c r="E393">
        <f>'Female SR Individual Freestyle'!D82</f>
        <v>0</v>
      </c>
      <c r="I393" t="str">
        <f t="shared" si="9"/>
        <v>FSRF-Female Single Rope Freestyle</v>
      </c>
    </row>
    <row r="394" spans="1:9" x14ac:dyDescent="0.25">
      <c r="A394">
        <f>'Team Info'!$B$3</f>
        <v>0</v>
      </c>
      <c r="B394">
        <f>'Female SR Individual Freestyle'!A83</f>
        <v>12</v>
      </c>
      <c r="C394" t="str">
        <f>'Female SR Individual Freestyle'!B83</f>
        <v>FSRF</v>
      </c>
      <c r="D394">
        <f>'Female SR Individual Freestyle'!C83</f>
        <v>14</v>
      </c>
      <c r="E394">
        <f>'Female SR Individual Freestyle'!D83</f>
        <v>0</v>
      </c>
      <c r="I394" t="str">
        <f t="shared" si="9"/>
        <v>FSRF-Female Single Rope Freestyle</v>
      </c>
    </row>
    <row r="395" spans="1:9" x14ac:dyDescent="0.25">
      <c r="A395">
        <f>'Team Info'!$B$3</f>
        <v>0</v>
      </c>
      <c r="B395">
        <f>'Female SR Individual Freestyle'!A84</f>
        <v>13</v>
      </c>
      <c r="C395" t="str">
        <f>'Female SR Individual Freestyle'!B84</f>
        <v>FSRF</v>
      </c>
      <c r="D395">
        <f>'Female SR Individual Freestyle'!C84</f>
        <v>14</v>
      </c>
      <c r="E395">
        <f>'Female SR Individual Freestyle'!D84</f>
        <v>0</v>
      </c>
      <c r="I395" t="str">
        <f t="shared" si="9"/>
        <v>FSRF-Female Single Rope Freestyle</v>
      </c>
    </row>
    <row r="396" spans="1:9" x14ac:dyDescent="0.25">
      <c r="A396">
        <f>'Team Info'!$B$3</f>
        <v>0</v>
      </c>
      <c r="B396">
        <f>'Female SR Individual Freestyle'!A85</f>
        <v>14</v>
      </c>
      <c r="C396" t="str">
        <f>'Female SR Individual Freestyle'!B85</f>
        <v>FSRF</v>
      </c>
      <c r="D396">
        <f>'Female SR Individual Freestyle'!C85</f>
        <v>14</v>
      </c>
      <c r="E396">
        <f>'Female SR Individual Freestyle'!D85</f>
        <v>0</v>
      </c>
      <c r="I396" t="str">
        <f t="shared" si="9"/>
        <v>FSRF-Female Single Rope Freestyle</v>
      </c>
    </row>
    <row r="397" spans="1:9" x14ac:dyDescent="0.25">
      <c r="A397">
        <f>'Team Info'!$B$3</f>
        <v>0</v>
      </c>
      <c r="B397">
        <f>'Female SR Individual Freestyle'!A86</f>
        <v>15</v>
      </c>
      <c r="C397" t="str">
        <f>'Female SR Individual Freestyle'!B86</f>
        <v>FSRF</v>
      </c>
      <c r="D397">
        <f>'Female SR Individual Freestyle'!C86</f>
        <v>14</v>
      </c>
      <c r="E397">
        <f>'Female SR Individual Freestyle'!D86</f>
        <v>0</v>
      </c>
      <c r="I397" t="str">
        <f t="shared" si="9"/>
        <v>FSRF-Female Single Rope Freestyle</v>
      </c>
    </row>
    <row r="398" spans="1:9" x14ac:dyDescent="0.25">
      <c r="A398">
        <f>'Team Info'!$B$3</f>
        <v>0</v>
      </c>
      <c r="B398">
        <f>'Female SR Individual Freestyle'!A87</f>
        <v>16</v>
      </c>
      <c r="C398" t="str">
        <f>'Female SR Individual Freestyle'!B87</f>
        <v>FSRF</v>
      </c>
      <c r="D398">
        <f>'Female SR Individual Freestyle'!C87</f>
        <v>14</v>
      </c>
      <c r="E398">
        <f>'Female SR Individual Freestyle'!D87</f>
        <v>0</v>
      </c>
      <c r="I398" t="str">
        <f t="shared" si="9"/>
        <v>FSRF-Female Single Rope Freestyle</v>
      </c>
    </row>
    <row r="399" spans="1:9" x14ac:dyDescent="0.25">
      <c r="A399">
        <f>'Team Info'!$B$3</f>
        <v>0</v>
      </c>
      <c r="B399">
        <f>'Female SR Individual Freestyle'!A88</f>
        <v>17</v>
      </c>
      <c r="C399" t="str">
        <f>'Female SR Individual Freestyle'!B88</f>
        <v>FSRF</v>
      </c>
      <c r="D399">
        <f>'Female SR Individual Freestyle'!C88</f>
        <v>14</v>
      </c>
      <c r="E399">
        <f>'Female SR Individual Freestyle'!D88</f>
        <v>0</v>
      </c>
      <c r="I399" t="str">
        <f t="shared" si="9"/>
        <v>FSRF-Female Single Rope Freestyle</v>
      </c>
    </row>
    <row r="400" spans="1:9" x14ac:dyDescent="0.25">
      <c r="A400">
        <f>'Team Info'!$B$3</f>
        <v>0</v>
      </c>
      <c r="B400">
        <f>'Female SR Individual Freestyle'!A89</f>
        <v>18</v>
      </c>
      <c r="C400" t="str">
        <f>'Female SR Individual Freestyle'!B89</f>
        <v>FSRF</v>
      </c>
      <c r="D400">
        <f>'Female SR Individual Freestyle'!C89</f>
        <v>14</v>
      </c>
      <c r="E400">
        <f>'Female SR Individual Freestyle'!D89</f>
        <v>0</v>
      </c>
      <c r="I400" t="str">
        <f t="shared" si="9"/>
        <v>FSRF-Female Single Rope Freestyle</v>
      </c>
    </row>
    <row r="401" spans="1:9" x14ac:dyDescent="0.25">
      <c r="A401">
        <f>'Team Info'!$B$3</f>
        <v>0</v>
      </c>
      <c r="B401">
        <f>'Female SR Individual Freestyle'!A90</f>
        <v>19</v>
      </c>
      <c r="C401" t="str">
        <f>'Female SR Individual Freestyle'!B90</f>
        <v>FSRF</v>
      </c>
      <c r="D401">
        <f>'Female SR Individual Freestyle'!C90</f>
        <v>14</v>
      </c>
      <c r="E401">
        <f>'Female SR Individual Freestyle'!D90</f>
        <v>0</v>
      </c>
      <c r="I401" t="str">
        <f t="shared" si="9"/>
        <v>FSRF-Female Single Rope Freestyle</v>
      </c>
    </row>
    <row r="402" spans="1:9" x14ac:dyDescent="0.25">
      <c r="A402">
        <f>'Team Info'!$B$3</f>
        <v>0</v>
      </c>
      <c r="B402">
        <f>'Female SR Individual Freestyle'!A91</f>
        <v>20</v>
      </c>
      <c r="C402" t="str">
        <f>'Female SR Individual Freestyle'!B91</f>
        <v>FSRF</v>
      </c>
      <c r="D402">
        <f>'Female SR Individual Freestyle'!C91</f>
        <v>14</v>
      </c>
      <c r="E402">
        <f>'Female SR Individual Freestyle'!D91</f>
        <v>0</v>
      </c>
      <c r="I402" t="str">
        <f t="shared" si="9"/>
        <v>FSRF-Female Single Rope Freestyle</v>
      </c>
    </row>
    <row r="403" spans="1:9" x14ac:dyDescent="0.25">
      <c r="A403">
        <f>'Team Info'!$B$3</f>
        <v>0</v>
      </c>
      <c r="B403">
        <f>'Female SR Individual Freestyle'!H72</f>
        <v>1</v>
      </c>
      <c r="C403" t="str">
        <f>'Female SR Individual Freestyle'!I72</f>
        <v>FSRF</v>
      </c>
      <c r="D403" t="str">
        <f>'Female SR Individual Freestyle'!J72</f>
        <v>15-16</v>
      </c>
      <c r="E403">
        <f>'Female SR Individual Freestyle'!K72</f>
        <v>0</v>
      </c>
      <c r="I403" t="str">
        <f t="shared" si="9"/>
        <v>FSRF-Female Single Rope Freestyle</v>
      </c>
    </row>
    <row r="404" spans="1:9" x14ac:dyDescent="0.25">
      <c r="A404">
        <f>'Team Info'!$B$3</f>
        <v>0</v>
      </c>
      <c r="B404">
        <f>'Female SR Individual Freestyle'!H73</f>
        <v>2</v>
      </c>
      <c r="C404" t="str">
        <f>'Female SR Individual Freestyle'!I73</f>
        <v>FSRF</v>
      </c>
      <c r="D404" t="str">
        <f>'Female SR Individual Freestyle'!J73</f>
        <v>15-16</v>
      </c>
      <c r="E404">
        <f>'Female SR Individual Freestyle'!K73</f>
        <v>0</v>
      </c>
      <c r="I404" t="str">
        <f t="shared" si="9"/>
        <v>FSRF-Female Single Rope Freestyle</v>
      </c>
    </row>
    <row r="405" spans="1:9" x14ac:dyDescent="0.25">
      <c r="A405">
        <f>'Team Info'!$B$3</f>
        <v>0</v>
      </c>
      <c r="B405">
        <f>'Female SR Individual Freestyle'!H74</f>
        <v>3</v>
      </c>
      <c r="C405" t="str">
        <f>'Female SR Individual Freestyle'!I74</f>
        <v>FSRF</v>
      </c>
      <c r="D405" t="str">
        <f>'Female SR Individual Freestyle'!J74</f>
        <v>15-16</v>
      </c>
      <c r="E405">
        <f>'Female SR Individual Freestyle'!K74</f>
        <v>0</v>
      </c>
      <c r="I405" t="str">
        <f t="shared" si="9"/>
        <v>FSRF-Female Single Rope Freestyle</v>
      </c>
    </row>
    <row r="406" spans="1:9" x14ac:dyDescent="0.25">
      <c r="A406">
        <f>'Team Info'!$B$3</f>
        <v>0</v>
      </c>
      <c r="B406">
        <f>'Female SR Individual Freestyle'!H75</f>
        <v>4</v>
      </c>
      <c r="C406" t="str">
        <f>'Female SR Individual Freestyle'!I75</f>
        <v>FSRF</v>
      </c>
      <c r="D406" t="str">
        <f>'Female SR Individual Freestyle'!J75</f>
        <v>15-16</v>
      </c>
      <c r="E406">
        <f>'Female SR Individual Freestyle'!K75</f>
        <v>0</v>
      </c>
      <c r="I406" t="str">
        <f t="shared" si="9"/>
        <v>FSRF-Female Single Rope Freestyle</v>
      </c>
    </row>
    <row r="407" spans="1:9" x14ac:dyDescent="0.25">
      <c r="A407">
        <f>'Team Info'!$B$3</f>
        <v>0</v>
      </c>
      <c r="B407">
        <f>'Female SR Individual Freestyle'!H76</f>
        <v>5</v>
      </c>
      <c r="C407" t="str">
        <f>'Female SR Individual Freestyle'!I76</f>
        <v>FSRF</v>
      </c>
      <c r="D407" t="str">
        <f>'Female SR Individual Freestyle'!J76</f>
        <v>15-16</v>
      </c>
      <c r="E407">
        <f>'Female SR Individual Freestyle'!K76</f>
        <v>0</v>
      </c>
      <c r="I407" t="str">
        <f t="shared" si="9"/>
        <v>FSRF-Female Single Rope Freestyle</v>
      </c>
    </row>
    <row r="408" spans="1:9" x14ac:dyDescent="0.25">
      <c r="A408">
        <f>'Team Info'!$B$3</f>
        <v>0</v>
      </c>
      <c r="B408">
        <f>'Female SR Individual Freestyle'!H77</f>
        <v>6</v>
      </c>
      <c r="C408" t="str">
        <f>'Female SR Individual Freestyle'!I77</f>
        <v>FSRF</v>
      </c>
      <c r="D408" t="str">
        <f>'Female SR Individual Freestyle'!J77</f>
        <v>15-16</v>
      </c>
      <c r="E408">
        <f>'Female SR Individual Freestyle'!K77</f>
        <v>0</v>
      </c>
      <c r="I408" t="str">
        <f t="shared" si="9"/>
        <v>FSRF-Female Single Rope Freestyle</v>
      </c>
    </row>
    <row r="409" spans="1:9" x14ac:dyDescent="0.25">
      <c r="A409">
        <f>'Team Info'!$B$3</f>
        <v>0</v>
      </c>
      <c r="B409">
        <f>'Female SR Individual Freestyle'!H78</f>
        <v>7</v>
      </c>
      <c r="C409" t="str">
        <f>'Female SR Individual Freestyle'!I78</f>
        <v>FSRF</v>
      </c>
      <c r="D409" t="str">
        <f>'Female SR Individual Freestyle'!J78</f>
        <v>15-16</v>
      </c>
      <c r="E409">
        <f>'Female SR Individual Freestyle'!K78</f>
        <v>0</v>
      </c>
      <c r="I409" t="str">
        <f t="shared" si="9"/>
        <v>FSRF-Female Single Rope Freestyle</v>
      </c>
    </row>
    <row r="410" spans="1:9" x14ac:dyDescent="0.25">
      <c r="A410">
        <f>'Team Info'!$B$3</f>
        <v>0</v>
      </c>
      <c r="B410">
        <f>'Female SR Individual Freestyle'!H79</f>
        <v>8</v>
      </c>
      <c r="C410" t="str">
        <f>'Female SR Individual Freestyle'!I79</f>
        <v>FSRF</v>
      </c>
      <c r="D410" t="str">
        <f>'Female SR Individual Freestyle'!J79</f>
        <v>15-16</v>
      </c>
      <c r="E410">
        <f>'Female SR Individual Freestyle'!K79</f>
        <v>0</v>
      </c>
      <c r="I410" t="str">
        <f t="shared" si="9"/>
        <v>FSRF-Female Single Rope Freestyle</v>
      </c>
    </row>
    <row r="411" spans="1:9" x14ac:dyDescent="0.25">
      <c r="A411">
        <f>'Team Info'!$B$3</f>
        <v>0</v>
      </c>
      <c r="B411">
        <f>'Female SR Individual Freestyle'!H80</f>
        <v>9</v>
      </c>
      <c r="C411" t="str">
        <f>'Female SR Individual Freestyle'!I80</f>
        <v>FSRF</v>
      </c>
      <c r="D411" t="str">
        <f>'Female SR Individual Freestyle'!J80</f>
        <v>15-16</v>
      </c>
      <c r="E411">
        <f>'Female SR Individual Freestyle'!K80</f>
        <v>0</v>
      </c>
      <c r="I411" t="str">
        <f t="shared" si="9"/>
        <v>FSRF-Female Single Rope Freestyle</v>
      </c>
    </row>
    <row r="412" spans="1:9" x14ac:dyDescent="0.25">
      <c r="A412">
        <f>'Team Info'!$B$3</f>
        <v>0</v>
      </c>
      <c r="B412">
        <f>'Female SR Individual Freestyle'!H81</f>
        <v>10</v>
      </c>
      <c r="C412" t="str">
        <f>'Female SR Individual Freestyle'!I81</f>
        <v>FSRF</v>
      </c>
      <c r="D412" t="str">
        <f>'Female SR Individual Freestyle'!J81</f>
        <v>15-16</v>
      </c>
      <c r="E412">
        <f>'Female SR Individual Freestyle'!K81</f>
        <v>0</v>
      </c>
      <c r="I412" t="str">
        <f t="shared" si="9"/>
        <v>FSRF-Female Single Rope Freestyle</v>
      </c>
    </row>
    <row r="413" spans="1:9" x14ac:dyDescent="0.25">
      <c r="A413">
        <f>'Team Info'!$B$3</f>
        <v>0</v>
      </c>
      <c r="B413">
        <f>'Female SR Individual Freestyle'!H82</f>
        <v>11</v>
      </c>
      <c r="C413" t="str">
        <f>'Female SR Individual Freestyle'!I82</f>
        <v>FSRF</v>
      </c>
      <c r="D413" t="str">
        <f>'Female SR Individual Freestyle'!J82</f>
        <v>15-16</v>
      </c>
      <c r="E413">
        <f>'Female SR Individual Freestyle'!K82</f>
        <v>0</v>
      </c>
      <c r="I413" t="str">
        <f t="shared" si="9"/>
        <v>FSRF-Female Single Rope Freestyle</v>
      </c>
    </row>
    <row r="414" spans="1:9" x14ac:dyDescent="0.25">
      <c r="A414">
        <f>'Team Info'!$B$3</f>
        <v>0</v>
      </c>
      <c r="B414">
        <f>'Female SR Individual Freestyle'!H83</f>
        <v>12</v>
      </c>
      <c r="C414" t="str">
        <f>'Female SR Individual Freestyle'!I83</f>
        <v>FSRF</v>
      </c>
      <c r="D414" t="str">
        <f>'Female SR Individual Freestyle'!J83</f>
        <v>15-16</v>
      </c>
      <c r="E414">
        <f>'Female SR Individual Freestyle'!K83</f>
        <v>0</v>
      </c>
      <c r="I414" t="str">
        <f t="shared" ref="I414:I492" si="10">VLOOKUP(C414,EVENTS,2,FALSE)</f>
        <v>FSRF-Female Single Rope Freestyle</v>
      </c>
    </row>
    <row r="415" spans="1:9" x14ac:dyDescent="0.25">
      <c r="A415">
        <f>'Team Info'!$B$3</f>
        <v>0</v>
      </c>
      <c r="B415">
        <f>'Female SR Individual Freestyle'!H84</f>
        <v>13</v>
      </c>
      <c r="C415" t="str">
        <f>'Female SR Individual Freestyle'!I84</f>
        <v>FSRF</v>
      </c>
      <c r="D415" t="str">
        <f>'Female SR Individual Freestyle'!J84</f>
        <v>15-16</v>
      </c>
      <c r="E415">
        <f>'Female SR Individual Freestyle'!K84</f>
        <v>0</v>
      </c>
      <c r="I415" t="str">
        <f t="shared" si="10"/>
        <v>FSRF-Female Single Rope Freestyle</v>
      </c>
    </row>
    <row r="416" spans="1:9" x14ac:dyDescent="0.25">
      <c r="A416">
        <f>'Team Info'!$B$3</f>
        <v>0</v>
      </c>
      <c r="B416">
        <f>'Female SR Individual Freestyle'!H85</f>
        <v>14</v>
      </c>
      <c r="C416" t="str">
        <f>'Female SR Individual Freestyle'!I85</f>
        <v>FSRF</v>
      </c>
      <c r="D416" t="str">
        <f>'Female SR Individual Freestyle'!J85</f>
        <v>15-16</v>
      </c>
      <c r="E416">
        <f>'Female SR Individual Freestyle'!K85</f>
        <v>0</v>
      </c>
      <c r="I416" t="str">
        <f t="shared" si="10"/>
        <v>FSRF-Female Single Rope Freestyle</v>
      </c>
    </row>
    <row r="417" spans="1:9" x14ac:dyDescent="0.25">
      <c r="A417">
        <f>'Team Info'!$B$3</f>
        <v>0</v>
      </c>
      <c r="B417">
        <f>'Female SR Individual Freestyle'!H86</f>
        <v>15</v>
      </c>
      <c r="C417" t="str">
        <f>'Female SR Individual Freestyle'!I86</f>
        <v>FSRF</v>
      </c>
      <c r="D417" t="str">
        <f>'Female SR Individual Freestyle'!J86</f>
        <v>15-16</v>
      </c>
      <c r="E417">
        <f>'Female SR Individual Freestyle'!K86</f>
        <v>0</v>
      </c>
      <c r="I417" t="str">
        <f t="shared" si="10"/>
        <v>FSRF-Female Single Rope Freestyle</v>
      </c>
    </row>
    <row r="418" spans="1:9" x14ac:dyDescent="0.25">
      <c r="A418">
        <f>'Team Info'!$B$3</f>
        <v>0</v>
      </c>
      <c r="B418">
        <f>'Female SR Individual Freestyle'!H87</f>
        <v>16</v>
      </c>
      <c r="C418" t="str">
        <f>'Female SR Individual Freestyle'!I87</f>
        <v>FSRF</v>
      </c>
      <c r="D418" t="str">
        <f>'Female SR Individual Freestyle'!J87</f>
        <v>15-16</v>
      </c>
      <c r="E418">
        <f>'Female SR Individual Freestyle'!K87</f>
        <v>0</v>
      </c>
      <c r="I418" t="str">
        <f t="shared" si="10"/>
        <v>FSRF-Female Single Rope Freestyle</v>
      </c>
    </row>
    <row r="419" spans="1:9" x14ac:dyDescent="0.25">
      <c r="A419">
        <f>'Team Info'!$B$3</f>
        <v>0</v>
      </c>
      <c r="B419">
        <f>'Female SR Individual Freestyle'!H88</f>
        <v>17</v>
      </c>
      <c r="C419" t="str">
        <f>'Female SR Individual Freestyle'!I88</f>
        <v>FSRF</v>
      </c>
      <c r="D419" t="str">
        <f>'Female SR Individual Freestyle'!J88</f>
        <v>15-16</v>
      </c>
      <c r="E419">
        <f>'Female SR Individual Freestyle'!K88</f>
        <v>0</v>
      </c>
      <c r="I419" t="str">
        <f t="shared" si="10"/>
        <v>FSRF-Female Single Rope Freestyle</v>
      </c>
    </row>
    <row r="420" spans="1:9" x14ac:dyDescent="0.25">
      <c r="A420">
        <f>'Team Info'!$B$3</f>
        <v>0</v>
      </c>
      <c r="B420">
        <f>'Female SR Individual Freestyle'!H89</f>
        <v>18</v>
      </c>
      <c r="C420" t="str">
        <f>'Female SR Individual Freestyle'!I89</f>
        <v>FSRF</v>
      </c>
      <c r="D420" t="str">
        <f>'Female SR Individual Freestyle'!J89</f>
        <v>15-16</v>
      </c>
      <c r="E420">
        <f>'Female SR Individual Freestyle'!K89</f>
        <v>0</v>
      </c>
      <c r="I420" t="str">
        <f t="shared" si="10"/>
        <v>FSRF-Female Single Rope Freestyle</v>
      </c>
    </row>
    <row r="421" spans="1:9" x14ac:dyDescent="0.25">
      <c r="A421">
        <f>'Team Info'!$B$3</f>
        <v>0</v>
      </c>
      <c r="B421">
        <f>'Female SR Individual Freestyle'!H90</f>
        <v>19</v>
      </c>
      <c r="C421" t="str">
        <f>'Female SR Individual Freestyle'!I90</f>
        <v>FSRF</v>
      </c>
      <c r="D421" t="str">
        <f>'Female SR Individual Freestyle'!J90</f>
        <v>15-16</v>
      </c>
      <c r="E421">
        <f>'Female SR Individual Freestyle'!K90</f>
        <v>0</v>
      </c>
      <c r="I421" t="str">
        <f t="shared" si="10"/>
        <v>FSRF-Female Single Rope Freestyle</v>
      </c>
    </row>
    <row r="422" spans="1:9" x14ac:dyDescent="0.25">
      <c r="A422">
        <f>'Team Info'!$B$3</f>
        <v>0</v>
      </c>
      <c r="B422">
        <f>'Female SR Individual Freestyle'!H91</f>
        <v>20</v>
      </c>
      <c r="C422" t="str">
        <f>'Female SR Individual Freestyle'!I91</f>
        <v>FSRF</v>
      </c>
      <c r="D422" t="str">
        <f>'Female SR Individual Freestyle'!J91</f>
        <v>15-16</v>
      </c>
      <c r="E422">
        <f>'Female SR Individual Freestyle'!K91</f>
        <v>0</v>
      </c>
      <c r="I422" t="str">
        <f t="shared" si="10"/>
        <v>FSRF-Female Single Rope Freestyle</v>
      </c>
    </row>
    <row r="423" spans="1:9" x14ac:dyDescent="0.25">
      <c r="A423">
        <f>'Team Info'!$B$3</f>
        <v>0</v>
      </c>
      <c r="B423">
        <f>'Female SR Individual Freestyle'!A94</f>
        <v>1</v>
      </c>
      <c r="C423" t="str">
        <f>'Female SR Individual Freestyle'!B94</f>
        <v>FSRF</v>
      </c>
      <c r="D423" t="str">
        <f>'Female SR Individual Freestyle'!C94</f>
        <v>17-18</v>
      </c>
      <c r="E423">
        <f>'Female SR Individual Freestyle'!D94</f>
        <v>0</v>
      </c>
      <c r="I423" t="str">
        <f t="shared" ref="I423:I451" si="11">VLOOKUP(C423,EVENTS,2,FALSE)</f>
        <v>FSRF-Female Single Rope Freestyle</v>
      </c>
    </row>
    <row r="424" spans="1:9" x14ac:dyDescent="0.25">
      <c r="A424">
        <f>'Team Info'!$B$3</f>
        <v>0</v>
      </c>
      <c r="B424">
        <f>'Female SR Individual Freestyle'!A95</f>
        <v>2</v>
      </c>
      <c r="C424" t="str">
        <f>'Female SR Individual Freestyle'!B95</f>
        <v>FSRF</v>
      </c>
      <c r="D424" t="str">
        <f>'Female SR Individual Freestyle'!C95</f>
        <v>17-18</v>
      </c>
      <c r="E424">
        <f>'Female SR Individual Freestyle'!D95</f>
        <v>0</v>
      </c>
      <c r="I424" t="str">
        <f t="shared" si="11"/>
        <v>FSRF-Female Single Rope Freestyle</v>
      </c>
    </row>
    <row r="425" spans="1:9" x14ac:dyDescent="0.25">
      <c r="A425">
        <f>'Team Info'!$B$3</f>
        <v>0</v>
      </c>
      <c r="B425">
        <f>'Female SR Individual Freestyle'!A96</f>
        <v>3</v>
      </c>
      <c r="C425" t="str">
        <f>'Female SR Individual Freestyle'!B96</f>
        <v>FSRF</v>
      </c>
      <c r="D425" t="str">
        <f>'Female SR Individual Freestyle'!C96</f>
        <v>17-18</v>
      </c>
      <c r="E425">
        <f>'Female SR Individual Freestyle'!D96</f>
        <v>0</v>
      </c>
      <c r="I425" t="str">
        <f t="shared" si="11"/>
        <v>FSRF-Female Single Rope Freestyle</v>
      </c>
    </row>
    <row r="426" spans="1:9" x14ac:dyDescent="0.25">
      <c r="A426">
        <f>'Team Info'!$B$3</f>
        <v>0</v>
      </c>
      <c r="B426">
        <f>'Female SR Individual Freestyle'!A97</f>
        <v>4</v>
      </c>
      <c r="C426" t="str">
        <f>'Female SR Individual Freestyle'!B97</f>
        <v>FSRF</v>
      </c>
      <c r="D426" t="str">
        <f>'Female SR Individual Freestyle'!C97</f>
        <v>17-18</v>
      </c>
      <c r="E426">
        <f>'Female SR Individual Freestyle'!D97</f>
        <v>0</v>
      </c>
      <c r="I426" t="str">
        <f t="shared" si="11"/>
        <v>FSRF-Female Single Rope Freestyle</v>
      </c>
    </row>
    <row r="427" spans="1:9" x14ac:dyDescent="0.25">
      <c r="A427">
        <f>'Team Info'!$B$3</f>
        <v>0</v>
      </c>
      <c r="B427">
        <f>'Female SR Individual Freestyle'!A98</f>
        <v>5</v>
      </c>
      <c r="C427" t="str">
        <f>'Female SR Individual Freestyle'!B98</f>
        <v>FSRF</v>
      </c>
      <c r="D427" t="str">
        <f>'Female SR Individual Freestyle'!C98</f>
        <v>17-18</v>
      </c>
      <c r="E427">
        <f>'Female SR Individual Freestyle'!D98</f>
        <v>0</v>
      </c>
      <c r="I427" t="str">
        <f t="shared" si="11"/>
        <v>FSRF-Female Single Rope Freestyle</v>
      </c>
    </row>
    <row r="428" spans="1:9" x14ac:dyDescent="0.25">
      <c r="A428">
        <f>'Team Info'!$B$3</f>
        <v>0</v>
      </c>
      <c r="B428">
        <f>'Female SR Individual Freestyle'!A99</f>
        <v>6</v>
      </c>
      <c r="C428" t="str">
        <f>'Female SR Individual Freestyle'!B99</f>
        <v>FSRF</v>
      </c>
      <c r="D428" t="str">
        <f>'Female SR Individual Freestyle'!C99</f>
        <v>17-18</v>
      </c>
      <c r="E428">
        <f>'Female SR Individual Freestyle'!D99</f>
        <v>0</v>
      </c>
      <c r="I428" t="str">
        <f t="shared" si="11"/>
        <v>FSRF-Female Single Rope Freestyle</v>
      </c>
    </row>
    <row r="429" spans="1:9" x14ac:dyDescent="0.25">
      <c r="A429">
        <f>'Team Info'!$B$3</f>
        <v>0</v>
      </c>
      <c r="B429">
        <f>'Female SR Individual Freestyle'!A100</f>
        <v>7</v>
      </c>
      <c r="C429" t="str">
        <f>'Female SR Individual Freestyle'!B100</f>
        <v>FSRF</v>
      </c>
      <c r="D429" t="str">
        <f>'Female SR Individual Freestyle'!C100</f>
        <v>17-18</v>
      </c>
      <c r="E429">
        <f>'Female SR Individual Freestyle'!D100</f>
        <v>0</v>
      </c>
      <c r="I429" t="str">
        <f t="shared" si="11"/>
        <v>FSRF-Female Single Rope Freestyle</v>
      </c>
    </row>
    <row r="430" spans="1:9" x14ac:dyDescent="0.25">
      <c r="A430">
        <f>'Team Info'!$B$3</f>
        <v>0</v>
      </c>
      <c r="B430">
        <f>'Female SR Individual Freestyle'!A101</f>
        <v>8</v>
      </c>
      <c r="C430" t="str">
        <f>'Female SR Individual Freestyle'!B101</f>
        <v>FSRF</v>
      </c>
      <c r="D430" t="str">
        <f>'Female SR Individual Freestyle'!C101</f>
        <v>17-18</v>
      </c>
      <c r="E430">
        <f>'Female SR Individual Freestyle'!D101</f>
        <v>0</v>
      </c>
      <c r="I430" t="str">
        <f t="shared" si="11"/>
        <v>FSRF-Female Single Rope Freestyle</v>
      </c>
    </row>
    <row r="431" spans="1:9" x14ac:dyDescent="0.25">
      <c r="A431">
        <f>'Team Info'!$B$3</f>
        <v>0</v>
      </c>
      <c r="B431">
        <f>'Female SR Individual Freestyle'!A102</f>
        <v>9</v>
      </c>
      <c r="C431" t="str">
        <f>'Female SR Individual Freestyle'!B102</f>
        <v>FSRF</v>
      </c>
      <c r="D431" t="str">
        <f>'Female SR Individual Freestyle'!C102</f>
        <v>17-18</v>
      </c>
      <c r="E431">
        <f>'Female SR Individual Freestyle'!D102</f>
        <v>0</v>
      </c>
      <c r="I431" t="str">
        <f t="shared" si="11"/>
        <v>FSRF-Female Single Rope Freestyle</v>
      </c>
    </row>
    <row r="432" spans="1:9" x14ac:dyDescent="0.25">
      <c r="A432">
        <f>'Team Info'!$B$3</f>
        <v>0</v>
      </c>
      <c r="B432">
        <f>'Female SR Individual Freestyle'!A103</f>
        <v>10</v>
      </c>
      <c r="C432" t="str">
        <f>'Female SR Individual Freestyle'!B103</f>
        <v>FSRF</v>
      </c>
      <c r="D432" t="str">
        <f>'Female SR Individual Freestyle'!C103</f>
        <v>17-18</v>
      </c>
      <c r="E432">
        <f>'Female SR Individual Freestyle'!D103</f>
        <v>0</v>
      </c>
      <c r="I432" t="str">
        <f t="shared" si="11"/>
        <v>FSRF-Female Single Rope Freestyle</v>
      </c>
    </row>
    <row r="433" spans="1:9" x14ac:dyDescent="0.25">
      <c r="A433">
        <f>'Team Info'!$B$3</f>
        <v>0</v>
      </c>
      <c r="B433">
        <f>'Female SR Individual Freestyle'!A104</f>
        <v>11</v>
      </c>
      <c r="C433" t="str">
        <f>'Female SR Individual Freestyle'!B104</f>
        <v>FSRF</v>
      </c>
      <c r="D433" t="str">
        <f>'Female SR Individual Freestyle'!C104</f>
        <v>17-18</v>
      </c>
      <c r="E433">
        <f>'Female SR Individual Freestyle'!D104</f>
        <v>0</v>
      </c>
      <c r="I433" t="str">
        <f t="shared" si="11"/>
        <v>FSRF-Female Single Rope Freestyle</v>
      </c>
    </row>
    <row r="434" spans="1:9" x14ac:dyDescent="0.25">
      <c r="A434">
        <f>'Team Info'!$B$3</f>
        <v>0</v>
      </c>
      <c r="B434">
        <f>'Female SR Individual Freestyle'!A105</f>
        <v>12</v>
      </c>
      <c r="C434" t="str">
        <f>'Female SR Individual Freestyle'!B105</f>
        <v>FSRF</v>
      </c>
      <c r="D434" t="str">
        <f>'Female SR Individual Freestyle'!C105</f>
        <v>17-18</v>
      </c>
      <c r="E434">
        <f>'Female SR Individual Freestyle'!D105</f>
        <v>0</v>
      </c>
      <c r="I434" t="str">
        <f t="shared" si="11"/>
        <v>FSRF-Female Single Rope Freestyle</v>
      </c>
    </row>
    <row r="435" spans="1:9" x14ac:dyDescent="0.25">
      <c r="A435">
        <f>'Team Info'!$B$3</f>
        <v>0</v>
      </c>
      <c r="B435">
        <f>'Female SR Individual Freestyle'!A106</f>
        <v>13</v>
      </c>
      <c r="C435" t="str">
        <f>'Female SR Individual Freestyle'!B106</f>
        <v>FSRF</v>
      </c>
      <c r="D435" t="str">
        <f>'Female SR Individual Freestyle'!C106</f>
        <v>17-18</v>
      </c>
      <c r="E435">
        <f>'Female SR Individual Freestyle'!D106</f>
        <v>0</v>
      </c>
      <c r="I435" t="str">
        <f t="shared" si="11"/>
        <v>FSRF-Female Single Rope Freestyle</v>
      </c>
    </row>
    <row r="436" spans="1:9" x14ac:dyDescent="0.25">
      <c r="A436">
        <f>'Team Info'!$B$3</f>
        <v>0</v>
      </c>
      <c r="B436">
        <f>'Female SR Individual Freestyle'!A107</f>
        <v>14</v>
      </c>
      <c r="C436" t="str">
        <f>'Female SR Individual Freestyle'!B107</f>
        <v>FSRF</v>
      </c>
      <c r="D436" t="str">
        <f>'Female SR Individual Freestyle'!C107</f>
        <v>17-18</v>
      </c>
      <c r="E436">
        <f>'Female SR Individual Freestyle'!D107</f>
        <v>0</v>
      </c>
      <c r="I436" t="str">
        <f t="shared" si="11"/>
        <v>FSRF-Female Single Rope Freestyle</v>
      </c>
    </row>
    <row r="437" spans="1:9" x14ac:dyDescent="0.25">
      <c r="A437">
        <f>'Team Info'!$B$3</f>
        <v>0</v>
      </c>
      <c r="B437">
        <f>'Female SR Individual Freestyle'!A108</f>
        <v>15</v>
      </c>
      <c r="C437" t="str">
        <f>'Female SR Individual Freestyle'!B108</f>
        <v>FSRF</v>
      </c>
      <c r="D437" t="str">
        <f>'Female SR Individual Freestyle'!C108</f>
        <v>17-18</v>
      </c>
      <c r="E437">
        <f>'Female SR Individual Freestyle'!D108</f>
        <v>0</v>
      </c>
      <c r="I437" t="str">
        <f t="shared" si="11"/>
        <v>FSRF-Female Single Rope Freestyle</v>
      </c>
    </row>
    <row r="438" spans="1:9" x14ac:dyDescent="0.25">
      <c r="A438">
        <f>'Team Info'!$B$3</f>
        <v>0</v>
      </c>
      <c r="B438">
        <f>'Female SR Individual Freestyle'!A109</f>
        <v>16</v>
      </c>
      <c r="C438" t="str">
        <f>'Female SR Individual Freestyle'!B109</f>
        <v>FSRF</v>
      </c>
      <c r="D438" t="str">
        <f>'Female SR Individual Freestyle'!C109</f>
        <v>17-18</v>
      </c>
      <c r="E438">
        <f>'Female SR Individual Freestyle'!D109</f>
        <v>0</v>
      </c>
      <c r="I438" t="str">
        <f t="shared" si="11"/>
        <v>FSRF-Female Single Rope Freestyle</v>
      </c>
    </row>
    <row r="439" spans="1:9" x14ac:dyDescent="0.25">
      <c r="A439">
        <f>'Team Info'!$B$3</f>
        <v>0</v>
      </c>
      <c r="B439">
        <f>'Female SR Individual Freestyle'!A110</f>
        <v>17</v>
      </c>
      <c r="C439" t="str">
        <f>'Female SR Individual Freestyle'!B110</f>
        <v>FSRF</v>
      </c>
      <c r="D439" t="str">
        <f>'Female SR Individual Freestyle'!C110</f>
        <v>17-18</v>
      </c>
      <c r="E439">
        <f>'Female SR Individual Freestyle'!D110</f>
        <v>0</v>
      </c>
      <c r="I439" t="str">
        <f t="shared" si="11"/>
        <v>FSRF-Female Single Rope Freestyle</v>
      </c>
    </row>
    <row r="440" spans="1:9" x14ac:dyDescent="0.25">
      <c r="A440">
        <f>'Team Info'!$B$3</f>
        <v>0</v>
      </c>
      <c r="B440">
        <f>'Female SR Individual Freestyle'!A111</f>
        <v>18</v>
      </c>
      <c r="C440" t="str">
        <f>'Female SR Individual Freestyle'!B111</f>
        <v>FSRF</v>
      </c>
      <c r="D440" t="str">
        <f>'Female SR Individual Freestyle'!C111</f>
        <v>17-18</v>
      </c>
      <c r="E440">
        <f>'Female SR Individual Freestyle'!D111</f>
        <v>0</v>
      </c>
      <c r="I440" t="str">
        <f t="shared" si="11"/>
        <v>FSRF-Female Single Rope Freestyle</v>
      </c>
    </row>
    <row r="441" spans="1:9" x14ac:dyDescent="0.25">
      <c r="A441">
        <f>'Team Info'!$B$3</f>
        <v>0</v>
      </c>
      <c r="B441">
        <f>'Female SR Individual Freestyle'!A112</f>
        <v>19</v>
      </c>
      <c r="C441" t="str">
        <f>'Female SR Individual Freestyle'!B112</f>
        <v>FSRF</v>
      </c>
      <c r="D441" t="str">
        <f>'Female SR Individual Freestyle'!C112</f>
        <v>17-18</v>
      </c>
      <c r="E441">
        <f>'Female SR Individual Freestyle'!D112</f>
        <v>0</v>
      </c>
      <c r="I441" t="str">
        <f t="shared" si="11"/>
        <v>FSRF-Female Single Rope Freestyle</v>
      </c>
    </row>
    <row r="442" spans="1:9" x14ac:dyDescent="0.25">
      <c r="A442">
        <f>'Team Info'!$B$3</f>
        <v>0</v>
      </c>
      <c r="B442">
        <f>'Female SR Individual Freestyle'!A113</f>
        <v>20</v>
      </c>
      <c r="C442" t="str">
        <f>'Female SR Individual Freestyle'!B113</f>
        <v>FSRF</v>
      </c>
      <c r="D442" t="str">
        <f>'Female SR Individual Freestyle'!C113</f>
        <v>17-18</v>
      </c>
      <c r="E442">
        <f>'Female SR Individual Freestyle'!D113</f>
        <v>0</v>
      </c>
      <c r="I442" t="str">
        <f t="shared" si="11"/>
        <v>FSRF-Female Single Rope Freestyle</v>
      </c>
    </row>
    <row r="443" spans="1:9" x14ac:dyDescent="0.25">
      <c r="A443">
        <f>'Team Info'!$B$3</f>
        <v>0</v>
      </c>
      <c r="B443">
        <f>'Female SR Individual Freestyle'!H94</f>
        <v>1</v>
      </c>
      <c r="C443" t="str">
        <f>'Female SR Individual Freestyle'!I94</f>
        <v>FSRF</v>
      </c>
      <c r="D443" t="str">
        <f>'Female SR Individual Freestyle'!J94</f>
        <v>19-22</v>
      </c>
      <c r="E443">
        <f>'Female SR Individual Freestyle'!K94</f>
        <v>0</v>
      </c>
      <c r="I443" t="str">
        <f t="shared" si="11"/>
        <v>FSRF-Female Single Rope Freestyle</v>
      </c>
    </row>
    <row r="444" spans="1:9" x14ac:dyDescent="0.25">
      <c r="A444">
        <f>'Team Info'!$B$3</f>
        <v>0</v>
      </c>
      <c r="B444">
        <f>'Female SR Individual Freestyle'!H95</f>
        <v>2</v>
      </c>
      <c r="C444" t="str">
        <f>'Female SR Individual Freestyle'!I95</f>
        <v>FSRF</v>
      </c>
      <c r="D444" t="str">
        <f>'Female SR Individual Freestyle'!J95</f>
        <v>19-22</v>
      </c>
      <c r="E444">
        <f>'Female SR Individual Freestyle'!K95</f>
        <v>0</v>
      </c>
      <c r="I444" t="str">
        <f t="shared" si="11"/>
        <v>FSRF-Female Single Rope Freestyle</v>
      </c>
    </row>
    <row r="445" spans="1:9" x14ac:dyDescent="0.25">
      <c r="A445">
        <f>'Team Info'!$B$3</f>
        <v>0</v>
      </c>
      <c r="B445">
        <f>'Female SR Individual Freestyle'!H96</f>
        <v>3</v>
      </c>
      <c r="C445" t="str">
        <f>'Female SR Individual Freestyle'!I96</f>
        <v>FSRF</v>
      </c>
      <c r="D445" t="str">
        <f>'Female SR Individual Freestyle'!J96</f>
        <v>19-22</v>
      </c>
      <c r="E445">
        <f>'Female SR Individual Freestyle'!K96</f>
        <v>0</v>
      </c>
      <c r="I445" t="str">
        <f t="shared" si="11"/>
        <v>FSRF-Female Single Rope Freestyle</v>
      </c>
    </row>
    <row r="446" spans="1:9" x14ac:dyDescent="0.25">
      <c r="A446">
        <f>'Team Info'!$B$3</f>
        <v>0</v>
      </c>
      <c r="B446">
        <f>'Female SR Individual Freestyle'!H97</f>
        <v>4</v>
      </c>
      <c r="C446" t="str">
        <f>'Female SR Individual Freestyle'!I97</f>
        <v>FSRF</v>
      </c>
      <c r="D446" t="str">
        <f>'Female SR Individual Freestyle'!J97</f>
        <v>19-22</v>
      </c>
      <c r="E446">
        <f>'Female SR Individual Freestyle'!K97</f>
        <v>0</v>
      </c>
      <c r="I446" t="str">
        <f t="shared" si="11"/>
        <v>FSRF-Female Single Rope Freestyle</v>
      </c>
    </row>
    <row r="447" spans="1:9" x14ac:dyDescent="0.25">
      <c r="A447">
        <f>'Team Info'!$B$3</f>
        <v>0</v>
      </c>
      <c r="B447">
        <f>'Female SR Individual Freestyle'!H98</f>
        <v>5</v>
      </c>
      <c r="C447" t="str">
        <f>'Female SR Individual Freestyle'!I98</f>
        <v>FSRF</v>
      </c>
      <c r="D447" t="str">
        <f>'Female SR Individual Freestyle'!J98</f>
        <v>19-22</v>
      </c>
      <c r="E447">
        <f>'Female SR Individual Freestyle'!K98</f>
        <v>0</v>
      </c>
      <c r="I447" t="str">
        <f t="shared" si="11"/>
        <v>FSRF-Female Single Rope Freestyle</v>
      </c>
    </row>
    <row r="448" spans="1:9" x14ac:dyDescent="0.25">
      <c r="A448">
        <f>'Team Info'!$B$3</f>
        <v>0</v>
      </c>
      <c r="B448">
        <f>'Female SR Individual Freestyle'!H99</f>
        <v>6</v>
      </c>
      <c r="C448" t="str">
        <f>'Female SR Individual Freestyle'!I99</f>
        <v>FSRF</v>
      </c>
      <c r="D448" t="str">
        <f>'Female SR Individual Freestyle'!J99</f>
        <v>19-22</v>
      </c>
      <c r="E448">
        <f>'Female SR Individual Freestyle'!K99</f>
        <v>0</v>
      </c>
      <c r="I448" t="str">
        <f t="shared" si="11"/>
        <v>FSRF-Female Single Rope Freestyle</v>
      </c>
    </row>
    <row r="449" spans="1:9" x14ac:dyDescent="0.25">
      <c r="A449">
        <f>'Team Info'!$B$3</f>
        <v>0</v>
      </c>
      <c r="B449">
        <f>'Female SR Individual Freestyle'!H100</f>
        <v>7</v>
      </c>
      <c r="C449" t="str">
        <f>'Female SR Individual Freestyle'!I100</f>
        <v>FSRF</v>
      </c>
      <c r="D449" t="str">
        <f>'Female SR Individual Freestyle'!J100</f>
        <v>19-22</v>
      </c>
      <c r="E449">
        <f>'Female SR Individual Freestyle'!K100</f>
        <v>0</v>
      </c>
      <c r="I449" t="str">
        <f t="shared" si="11"/>
        <v>FSRF-Female Single Rope Freestyle</v>
      </c>
    </row>
    <row r="450" spans="1:9" x14ac:dyDescent="0.25">
      <c r="A450">
        <f>'Team Info'!$B$3</f>
        <v>0</v>
      </c>
      <c r="B450">
        <f>'Female SR Individual Freestyle'!H101</f>
        <v>8</v>
      </c>
      <c r="C450" t="str">
        <f>'Female SR Individual Freestyle'!I101</f>
        <v>FSRF</v>
      </c>
      <c r="D450" t="str">
        <f>'Female SR Individual Freestyle'!J101</f>
        <v>19-22</v>
      </c>
      <c r="E450">
        <f>'Female SR Individual Freestyle'!K101</f>
        <v>0</v>
      </c>
      <c r="I450" t="str">
        <f t="shared" si="11"/>
        <v>FSRF-Female Single Rope Freestyle</v>
      </c>
    </row>
    <row r="451" spans="1:9" x14ac:dyDescent="0.25">
      <c r="A451">
        <f>'Team Info'!$B$3</f>
        <v>0</v>
      </c>
      <c r="B451">
        <f>'Female SR Individual Freestyle'!H102</f>
        <v>9</v>
      </c>
      <c r="C451" t="str">
        <f>'Female SR Individual Freestyle'!I102</f>
        <v>FSRF</v>
      </c>
      <c r="D451" t="str">
        <f>'Female SR Individual Freestyle'!J102</f>
        <v>19-22</v>
      </c>
      <c r="E451">
        <f>'Female SR Individual Freestyle'!K102</f>
        <v>0</v>
      </c>
      <c r="I451" t="str">
        <f t="shared" si="11"/>
        <v>FSRF-Female Single Rope Freestyle</v>
      </c>
    </row>
    <row r="452" spans="1:9" x14ac:dyDescent="0.25">
      <c r="A452">
        <f>'Team Info'!$B$3</f>
        <v>0</v>
      </c>
      <c r="B452">
        <f>'Female SR Individual Freestyle'!H103</f>
        <v>10</v>
      </c>
      <c r="C452" t="str">
        <f>'Female SR Individual Freestyle'!I103</f>
        <v>FSRF</v>
      </c>
      <c r="D452" t="str">
        <f>'Female SR Individual Freestyle'!J103</f>
        <v>19-22</v>
      </c>
      <c r="E452">
        <f>'Female SR Individual Freestyle'!K103</f>
        <v>0</v>
      </c>
      <c r="I452" t="str">
        <f t="shared" ref="I452:I460" si="12">VLOOKUP(C452,EVENTS,2,FALSE)</f>
        <v>FSRF-Female Single Rope Freestyle</v>
      </c>
    </row>
    <row r="453" spans="1:9" x14ac:dyDescent="0.25">
      <c r="A453">
        <f>'Team Info'!$B$3</f>
        <v>0</v>
      </c>
      <c r="B453">
        <f>'Female SR Individual Freestyle'!H104</f>
        <v>11</v>
      </c>
      <c r="C453" t="str">
        <f>'Female SR Individual Freestyle'!I104</f>
        <v>FSRF</v>
      </c>
      <c r="D453" t="str">
        <f>'Female SR Individual Freestyle'!J104</f>
        <v>19-22</v>
      </c>
      <c r="E453">
        <f>'Female SR Individual Freestyle'!K104</f>
        <v>0</v>
      </c>
      <c r="I453" t="str">
        <f t="shared" si="12"/>
        <v>FSRF-Female Single Rope Freestyle</v>
      </c>
    </row>
    <row r="454" spans="1:9" x14ac:dyDescent="0.25">
      <c r="A454">
        <f>'Team Info'!$B$3</f>
        <v>0</v>
      </c>
      <c r="B454">
        <f>'Female SR Individual Freestyle'!H105</f>
        <v>12</v>
      </c>
      <c r="C454" t="str">
        <f>'Female SR Individual Freestyle'!I105</f>
        <v>FSRF</v>
      </c>
      <c r="D454" t="str">
        <f>'Female SR Individual Freestyle'!J105</f>
        <v>19-22</v>
      </c>
      <c r="E454">
        <f>'Female SR Individual Freestyle'!K105</f>
        <v>0</v>
      </c>
      <c r="I454" t="str">
        <f t="shared" si="12"/>
        <v>FSRF-Female Single Rope Freestyle</v>
      </c>
    </row>
    <row r="455" spans="1:9" x14ac:dyDescent="0.25">
      <c r="A455">
        <f>'Team Info'!$B$3</f>
        <v>0</v>
      </c>
      <c r="B455">
        <f>'Female SR Individual Freestyle'!H106</f>
        <v>13</v>
      </c>
      <c r="C455" t="str">
        <f>'Female SR Individual Freestyle'!I106</f>
        <v>FSRF</v>
      </c>
      <c r="D455" t="str">
        <f>'Female SR Individual Freestyle'!J106</f>
        <v>19-22</v>
      </c>
      <c r="E455">
        <f>'Female SR Individual Freestyle'!K106</f>
        <v>0</v>
      </c>
      <c r="I455" t="str">
        <f t="shared" si="12"/>
        <v>FSRF-Female Single Rope Freestyle</v>
      </c>
    </row>
    <row r="456" spans="1:9" x14ac:dyDescent="0.25">
      <c r="A456">
        <f>'Team Info'!$B$3</f>
        <v>0</v>
      </c>
      <c r="B456">
        <f>'Female SR Individual Freestyle'!H107</f>
        <v>14</v>
      </c>
      <c r="C456" t="str">
        <f>'Female SR Individual Freestyle'!I107</f>
        <v>FSRF</v>
      </c>
      <c r="D456" t="str">
        <f>'Female SR Individual Freestyle'!J107</f>
        <v>19-22</v>
      </c>
      <c r="E456">
        <f>'Female SR Individual Freestyle'!K107</f>
        <v>0</v>
      </c>
      <c r="I456" t="str">
        <f t="shared" si="12"/>
        <v>FSRF-Female Single Rope Freestyle</v>
      </c>
    </row>
    <row r="457" spans="1:9" x14ac:dyDescent="0.25">
      <c r="A457">
        <f>'Team Info'!$B$3</f>
        <v>0</v>
      </c>
      <c r="B457">
        <f>'Female SR Individual Freestyle'!H108</f>
        <v>15</v>
      </c>
      <c r="C457" t="str">
        <f>'Female SR Individual Freestyle'!I108</f>
        <v>FSRF</v>
      </c>
      <c r="D457" t="str">
        <f>'Female SR Individual Freestyle'!J108</f>
        <v>19-22</v>
      </c>
      <c r="E457">
        <f>'Female SR Individual Freestyle'!K108</f>
        <v>0</v>
      </c>
      <c r="I457" t="str">
        <f t="shared" si="12"/>
        <v>FSRF-Female Single Rope Freestyle</v>
      </c>
    </row>
    <row r="458" spans="1:9" x14ac:dyDescent="0.25">
      <c r="A458">
        <f>'Team Info'!$B$3</f>
        <v>0</v>
      </c>
      <c r="B458">
        <f>'Female SR Individual Freestyle'!H109</f>
        <v>16</v>
      </c>
      <c r="C458" t="str">
        <f>'Female SR Individual Freestyle'!I109</f>
        <v>FSRF</v>
      </c>
      <c r="D458" t="str">
        <f>'Female SR Individual Freestyle'!J109</f>
        <v>19-22</v>
      </c>
      <c r="E458">
        <f>'Female SR Individual Freestyle'!K109</f>
        <v>0</v>
      </c>
      <c r="I458" t="str">
        <f t="shared" si="12"/>
        <v>FSRF-Female Single Rope Freestyle</v>
      </c>
    </row>
    <row r="459" spans="1:9" x14ac:dyDescent="0.25">
      <c r="A459">
        <f>'Team Info'!$B$3</f>
        <v>0</v>
      </c>
      <c r="B459">
        <f>'Female SR Individual Freestyle'!H110</f>
        <v>17</v>
      </c>
      <c r="C459" t="str">
        <f>'Female SR Individual Freestyle'!I110</f>
        <v>FSRF</v>
      </c>
      <c r="D459" t="str">
        <f>'Female SR Individual Freestyle'!J110</f>
        <v>19-22</v>
      </c>
      <c r="E459">
        <f>'Female SR Individual Freestyle'!K110</f>
        <v>0</v>
      </c>
      <c r="I459" t="str">
        <f t="shared" si="12"/>
        <v>FSRF-Female Single Rope Freestyle</v>
      </c>
    </row>
    <row r="460" spans="1:9" x14ac:dyDescent="0.25">
      <c r="A460">
        <f>'Team Info'!$B$3</f>
        <v>0</v>
      </c>
      <c r="B460">
        <f>'Female SR Individual Freestyle'!H111</f>
        <v>18</v>
      </c>
      <c r="C460" t="str">
        <f>'Female SR Individual Freestyle'!I111</f>
        <v>FSRF</v>
      </c>
      <c r="D460" t="str">
        <f>'Female SR Individual Freestyle'!J111</f>
        <v>19-22</v>
      </c>
      <c r="E460">
        <f>'Female SR Individual Freestyle'!K111</f>
        <v>0</v>
      </c>
      <c r="I460" t="str">
        <f t="shared" si="12"/>
        <v>FSRF-Female Single Rope Freestyle</v>
      </c>
    </row>
    <row r="461" spans="1:9" x14ac:dyDescent="0.25">
      <c r="A461">
        <f>'Team Info'!$B$3</f>
        <v>0</v>
      </c>
      <c r="B461">
        <f>'Female SR Individual Freestyle'!H112</f>
        <v>19</v>
      </c>
      <c r="C461" t="str">
        <f>'Female SR Individual Freestyle'!I112</f>
        <v>FSRF</v>
      </c>
      <c r="D461" t="str">
        <f>'Female SR Individual Freestyle'!J112</f>
        <v>19-22</v>
      </c>
      <c r="E461">
        <f>'Female SR Individual Freestyle'!K112</f>
        <v>0</v>
      </c>
      <c r="I461" t="str">
        <f t="shared" ref="I461:I462" si="13">VLOOKUP(C461,EVENTS,2,FALSE)</f>
        <v>FSRF-Female Single Rope Freestyle</v>
      </c>
    </row>
    <row r="462" spans="1:9" x14ac:dyDescent="0.25">
      <c r="A462">
        <f>'Team Info'!$B$3</f>
        <v>0</v>
      </c>
      <c r="B462">
        <f>'Female SR Individual Freestyle'!H113</f>
        <v>20</v>
      </c>
      <c r="C462" t="str">
        <f>'Female SR Individual Freestyle'!I113</f>
        <v>FSRF</v>
      </c>
      <c r="D462" t="str">
        <f>'Female SR Individual Freestyle'!J113</f>
        <v>19-22</v>
      </c>
      <c r="E462">
        <f>'Female SR Individual Freestyle'!K113</f>
        <v>0</v>
      </c>
      <c r="I462" t="str">
        <f t="shared" si="13"/>
        <v>FSRF-Female Single Rope Freestyle</v>
      </c>
    </row>
    <row r="463" spans="1:9" x14ac:dyDescent="0.25">
      <c r="A463">
        <f>'Team Info'!$B$3</f>
        <v>0</v>
      </c>
      <c r="B463">
        <f>'Female SR Individual Freestyle'!A116</f>
        <v>1</v>
      </c>
      <c r="C463" t="str">
        <f>'Female SR Individual Freestyle'!B116</f>
        <v>FSRF</v>
      </c>
      <c r="D463" t="str">
        <f>'Female SR Individual Freestyle'!C116</f>
        <v>23-29</v>
      </c>
      <c r="E463">
        <f>'Female SR Individual Freestyle'!D116</f>
        <v>0</v>
      </c>
      <c r="I463" t="str">
        <f t="shared" si="10"/>
        <v>FSRF-Female Single Rope Freestyle</v>
      </c>
    </row>
    <row r="464" spans="1:9" x14ac:dyDescent="0.25">
      <c r="A464">
        <f>'Team Info'!$B$3</f>
        <v>0</v>
      </c>
      <c r="B464">
        <f>'Female SR Individual Freestyle'!A117</f>
        <v>2</v>
      </c>
      <c r="C464" t="str">
        <f>'Female SR Individual Freestyle'!B117</f>
        <v>FSRF</v>
      </c>
      <c r="D464" t="str">
        <f>'Female SR Individual Freestyle'!C117</f>
        <v>23-29</v>
      </c>
      <c r="E464">
        <f>'Female SR Individual Freestyle'!D117</f>
        <v>0</v>
      </c>
      <c r="I464" t="str">
        <f t="shared" si="10"/>
        <v>FSRF-Female Single Rope Freestyle</v>
      </c>
    </row>
    <row r="465" spans="1:9" x14ac:dyDescent="0.25">
      <c r="A465">
        <f>'Team Info'!$B$3</f>
        <v>0</v>
      </c>
      <c r="B465">
        <f>'Female SR Individual Freestyle'!A118</f>
        <v>3</v>
      </c>
      <c r="C465" t="str">
        <f>'Female SR Individual Freestyle'!B118</f>
        <v>FSRF</v>
      </c>
      <c r="D465" t="str">
        <f>'Female SR Individual Freestyle'!C118</f>
        <v>23-29</v>
      </c>
      <c r="E465">
        <f>'Female SR Individual Freestyle'!D118</f>
        <v>0</v>
      </c>
      <c r="I465" t="str">
        <f t="shared" si="10"/>
        <v>FSRF-Female Single Rope Freestyle</v>
      </c>
    </row>
    <row r="466" spans="1:9" x14ac:dyDescent="0.25">
      <c r="A466">
        <f>'Team Info'!$B$3</f>
        <v>0</v>
      </c>
      <c r="B466">
        <f>'Female SR Individual Freestyle'!A119</f>
        <v>4</v>
      </c>
      <c r="C466" t="str">
        <f>'Female SR Individual Freestyle'!B119</f>
        <v>FSRF</v>
      </c>
      <c r="D466" t="str">
        <f>'Female SR Individual Freestyle'!C119</f>
        <v>23-29</v>
      </c>
      <c r="E466">
        <f>'Female SR Individual Freestyle'!D119</f>
        <v>0</v>
      </c>
      <c r="I466" t="str">
        <f t="shared" si="10"/>
        <v>FSRF-Female Single Rope Freestyle</v>
      </c>
    </row>
    <row r="467" spans="1:9" x14ac:dyDescent="0.25">
      <c r="A467">
        <f>'Team Info'!$B$3</f>
        <v>0</v>
      </c>
      <c r="B467">
        <f>'Female SR Individual Freestyle'!A120</f>
        <v>5</v>
      </c>
      <c r="C467" t="str">
        <f>'Female SR Individual Freestyle'!B120</f>
        <v>FSRF</v>
      </c>
      <c r="D467" t="str">
        <f>'Female SR Individual Freestyle'!C120</f>
        <v>23-29</v>
      </c>
      <c r="E467">
        <f>'Female SR Individual Freestyle'!D120</f>
        <v>0</v>
      </c>
      <c r="I467" t="str">
        <f t="shared" si="10"/>
        <v>FSRF-Female Single Rope Freestyle</v>
      </c>
    </row>
    <row r="468" spans="1:9" x14ac:dyDescent="0.25">
      <c r="A468">
        <f>'Team Info'!$B$3</f>
        <v>0</v>
      </c>
      <c r="B468">
        <f>'Female SR Individual Freestyle'!A121</f>
        <v>6</v>
      </c>
      <c r="C468" t="str">
        <f>'Female SR Individual Freestyle'!B121</f>
        <v>FSRF</v>
      </c>
      <c r="D468" t="str">
        <f>'Female SR Individual Freestyle'!C121</f>
        <v>23-29</v>
      </c>
      <c r="E468">
        <f>'Female SR Individual Freestyle'!D121</f>
        <v>0</v>
      </c>
      <c r="I468" t="str">
        <f t="shared" si="10"/>
        <v>FSRF-Female Single Rope Freestyle</v>
      </c>
    </row>
    <row r="469" spans="1:9" x14ac:dyDescent="0.25">
      <c r="A469">
        <f>'Team Info'!$B$3</f>
        <v>0</v>
      </c>
      <c r="B469">
        <f>'Female SR Individual Freestyle'!A122</f>
        <v>7</v>
      </c>
      <c r="C469" t="str">
        <f>'Female SR Individual Freestyle'!B122</f>
        <v>FSRF</v>
      </c>
      <c r="D469" t="str">
        <f>'Female SR Individual Freestyle'!C122</f>
        <v>23-29</v>
      </c>
      <c r="E469">
        <f>'Female SR Individual Freestyle'!D122</f>
        <v>0</v>
      </c>
      <c r="I469" t="str">
        <f t="shared" si="10"/>
        <v>FSRF-Female Single Rope Freestyle</v>
      </c>
    </row>
    <row r="470" spans="1:9" x14ac:dyDescent="0.25">
      <c r="A470">
        <f>'Team Info'!$B$3</f>
        <v>0</v>
      </c>
      <c r="B470">
        <f>'Female SR Individual Freestyle'!A123</f>
        <v>8</v>
      </c>
      <c r="C470" t="str">
        <f>'Female SR Individual Freestyle'!B123</f>
        <v>FSRF</v>
      </c>
      <c r="D470" t="str">
        <f>'Female SR Individual Freestyle'!C123</f>
        <v>23-29</v>
      </c>
      <c r="E470">
        <f>'Female SR Individual Freestyle'!D123</f>
        <v>0</v>
      </c>
      <c r="I470" t="str">
        <f t="shared" si="10"/>
        <v>FSRF-Female Single Rope Freestyle</v>
      </c>
    </row>
    <row r="471" spans="1:9" x14ac:dyDescent="0.25">
      <c r="A471">
        <f>'Team Info'!$B$3</f>
        <v>0</v>
      </c>
      <c r="B471">
        <f>'Female SR Individual Freestyle'!H116</f>
        <v>1</v>
      </c>
      <c r="C471" t="str">
        <f>'Female SR Individual Freestyle'!I116</f>
        <v>FSRF</v>
      </c>
      <c r="D471" t="str">
        <f>'Female SR Individual Freestyle'!J116</f>
        <v>30-49</v>
      </c>
      <c r="E471">
        <f>'Female SR Individual Freestyle'!K116</f>
        <v>0</v>
      </c>
      <c r="I471" t="str">
        <f t="shared" si="10"/>
        <v>FSRF-Female Single Rope Freestyle</v>
      </c>
    </row>
    <row r="472" spans="1:9" x14ac:dyDescent="0.25">
      <c r="A472">
        <f>'Team Info'!$B$3</f>
        <v>0</v>
      </c>
      <c r="B472">
        <f>'Female SR Individual Freestyle'!H117</f>
        <v>2</v>
      </c>
      <c r="C472" t="str">
        <f>'Female SR Individual Freestyle'!I117</f>
        <v>FSRF</v>
      </c>
      <c r="D472" t="str">
        <f>'Female SR Individual Freestyle'!J117</f>
        <v>30-49</v>
      </c>
      <c r="E472">
        <f>'Female SR Individual Freestyle'!K117</f>
        <v>0</v>
      </c>
      <c r="I472" t="str">
        <f t="shared" si="10"/>
        <v>FSRF-Female Single Rope Freestyle</v>
      </c>
    </row>
    <row r="473" spans="1:9" x14ac:dyDescent="0.25">
      <c r="A473">
        <f>'Team Info'!$B$3</f>
        <v>0</v>
      </c>
      <c r="B473">
        <f>'Female SR Individual Freestyle'!H118</f>
        <v>3</v>
      </c>
      <c r="C473" t="str">
        <f>'Female SR Individual Freestyle'!I118</f>
        <v>FSRF</v>
      </c>
      <c r="D473" t="str">
        <f>'Female SR Individual Freestyle'!J118</f>
        <v>30-49</v>
      </c>
      <c r="E473">
        <f>'Female SR Individual Freestyle'!K118</f>
        <v>0</v>
      </c>
      <c r="I473" t="str">
        <f t="shared" si="10"/>
        <v>FSRF-Female Single Rope Freestyle</v>
      </c>
    </row>
    <row r="474" spans="1:9" x14ac:dyDescent="0.25">
      <c r="A474">
        <f>'Team Info'!$B$3</f>
        <v>0</v>
      </c>
      <c r="B474">
        <f>'Female SR Individual Freestyle'!H119</f>
        <v>4</v>
      </c>
      <c r="C474" t="str">
        <f>'Female SR Individual Freestyle'!I119</f>
        <v>FSRF</v>
      </c>
      <c r="D474" t="str">
        <f>'Female SR Individual Freestyle'!J119</f>
        <v>30-49</v>
      </c>
      <c r="E474">
        <f>'Female SR Individual Freestyle'!K119</f>
        <v>0</v>
      </c>
      <c r="I474" t="str">
        <f t="shared" si="10"/>
        <v>FSRF-Female Single Rope Freestyle</v>
      </c>
    </row>
    <row r="475" spans="1:9" x14ac:dyDescent="0.25">
      <c r="A475">
        <f>'Team Info'!$B$3</f>
        <v>0</v>
      </c>
      <c r="B475">
        <f>'Female SR Individual Freestyle'!H120</f>
        <v>5</v>
      </c>
      <c r="C475" t="str">
        <f>'Female SR Individual Freestyle'!I120</f>
        <v>FSRF</v>
      </c>
      <c r="D475" t="str">
        <f>'Female SR Individual Freestyle'!J120</f>
        <v>30-49</v>
      </c>
      <c r="E475">
        <f>'Female SR Individual Freestyle'!K120</f>
        <v>0</v>
      </c>
      <c r="I475" t="str">
        <f t="shared" si="10"/>
        <v>FSRF-Female Single Rope Freestyle</v>
      </c>
    </row>
    <row r="476" spans="1:9" x14ac:dyDescent="0.25">
      <c r="A476">
        <f>'Team Info'!$B$3</f>
        <v>0</v>
      </c>
      <c r="B476">
        <f>'Female SR Individual Freestyle'!H121</f>
        <v>6</v>
      </c>
      <c r="C476" t="str">
        <f>'Female SR Individual Freestyle'!I121</f>
        <v>FSRF</v>
      </c>
      <c r="D476" t="str">
        <f>'Female SR Individual Freestyle'!J121</f>
        <v>30-49</v>
      </c>
      <c r="E476">
        <f>'Female SR Individual Freestyle'!K121</f>
        <v>0</v>
      </c>
      <c r="I476" t="str">
        <f t="shared" ref="I476:I478" si="14">VLOOKUP(C476,EVENTS,2,FALSE)</f>
        <v>FSRF-Female Single Rope Freestyle</v>
      </c>
    </row>
    <row r="477" spans="1:9" x14ac:dyDescent="0.25">
      <c r="A477">
        <f>'Team Info'!$B$3</f>
        <v>0</v>
      </c>
      <c r="B477">
        <f>'Female SR Individual Freestyle'!H122</f>
        <v>7</v>
      </c>
      <c r="C477" t="str">
        <f>'Female SR Individual Freestyle'!I122</f>
        <v>FSRF</v>
      </c>
      <c r="D477" t="str">
        <f>'Female SR Individual Freestyle'!J122</f>
        <v>30-49</v>
      </c>
      <c r="E477">
        <f>'Female SR Individual Freestyle'!K122</f>
        <v>0</v>
      </c>
      <c r="I477" t="str">
        <f t="shared" si="14"/>
        <v>FSRF-Female Single Rope Freestyle</v>
      </c>
    </row>
    <row r="478" spans="1:9" x14ac:dyDescent="0.25">
      <c r="A478">
        <f>'Team Info'!$B$3</f>
        <v>0</v>
      </c>
      <c r="B478">
        <f>'Female SR Individual Freestyle'!H123</f>
        <v>8</v>
      </c>
      <c r="C478" t="str">
        <f>'Female SR Individual Freestyle'!I123</f>
        <v>FSRF</v>
      </c>
      <c r="D478" t="str">
        <f>'Female SR Individual Freestyle'!J123</f>
        <v>30-49</v>
      </c>
      <c r="E478">
        <f>'Female SR Individual Freestyle'!K123</f>
        <v>0</v>
      </c>
      <c r="I478" t="str">
        <f t="shared" si="14"/>
        <v>FSRF-Female Single Rope Freestyle</v>
      </c>
    </row>
    <row r="479" spans="1:9" x14ac:dyDescent="0.25">
      <c r="A479">
        <f>'Team Info'!$B$3</f>
        <v>0</v>
      </c>
      <c r="B479">
        <f>'Female SR Individual Freestyle'!A126</f>
        <v>1</v>
      </c>
      <c r="C479" t="str">
        <f>'Female SR Individual Freestyle'!B126</f>
        <v>FSRF</v>
      </c>
      <c r="D479" t="str">
        <f>'Female SR Individual Freestyle'!C126</f>
        <v>50-Over</v>
      </c>
      <c r="E479">
        <f>'Female SR Individual Freestyle'!D126</f>
        <v>0</v>
      </c>
      <c r="I479" t="str">
        <f t="shared" si="10"/>
        <v>FSRF-Female Single Rope Freestyle</v>
      </c>
    </row>
    <row r="480" spans="1:9" x14ac:dyDescent="0.25">
      <c r="A480">
        <f>'Team Info'!$B$3</f>
        <v>0</v>
      </c>
      <c r="B480">
        <f>'Female SR Individual Freestyle'!A127</f>
        <v>2</v>
      </c>
      <c r="C480" t="str">
        <f>'Female SR Individual Freestyle'!B127</f>
        <v>FSRF</v>
      </c>
      <c r="D480" t="str">
        <f>'Female SR Individual Freestyle'!C127</f>
        <v>50-Over</v>
      </c>
      <c r="E480">
        <f>'Female SR Individual Freestyle'!D127</f>
        <v>0</v>
      </c>
      <c r="I480" t="str">
        <f t="shared" si="10"/>
        <v>FSRF-Female Single Rope Freestyle</v>
      </c>
    </row>
    <row r="481" spans="1:9" x14ac:dyDescent="0.25">
      <c r="A481">
        <f>'Team Info'!$B$3</f>
        <v>0</v>
      </c>
      <c r="B481">
        <f>'Female SR Individual Freestyle'!A128</f>
        <v>3</v>
      </c>
      <c r="C481" t="str">
        <f>'Female SR Individual Freestyle'!B128</f>
        <v>FSRF</v>
      </c>
      <c r="D481" t="str">
        <f>'Female SR Individual Freestyle'!C128</f>
        <v>50-Over</v>
      </c>
      <c r="E481">
        <f>'Female SR Individual Freestyle'!D128</f>
        <v>0</v>
      </c>
      <c r="I481" t="str">
        <f t="shared" si="10"/>
        <v>FSRF-Female Single Rope Freestyle</v>
      </c>
    </row>
    <row r="482" spans="1:9" x14ac:dyDescent="0.25">
      <c r="A482">
        <f>'Team Info'!$B$3</f>
        <v>0</v>
      </c>
      <c r="B482">
        <f>'Female SR Individual Freestyle'!A129</f>
        <v>4</v>
      </c>
      <c r="C482" t="str">
        <f>'Female SR Individual Freestyle'!B129</f>
        <v>FSRF</v>
      </c>
      <c r="D482" t="str">
        <f>'Female SR Individual Freestyle'!C129</f>
        <v>50-Over</v>
      </c>
      <c r="E482">
        <f>'Female SR Individual Freestyle'!D129</f>
        <v>0</v>
      </c>
      <c r="I482" t="str">
        <f t="shared" si="10"/>
        <v>FSRF-Female Single Rope Freestyle</v>
      </c>
    </row>
    <row r="483" spans="1:9" x14ac:dyDescent="0.25">
      <c r="A483">
        <f>'Team Info'!$B$3</f>
        <v>0</v>
      </c>
      <c r="B483">
        <f>'Female SR Individual Freestyle'!A130</f>
        <v>5</v>
      </c>
      <c r="C483" t="str">
        <f>'Female SR Individual Freestyle'!B130</f>
        <v>FSRF</v>
      </c>
      <c r="D483" t="str">
        <f>'Female SR Individual Freestyle'!C130</f>
        <v>50-Over</v>
      </c>
      <c r="E483">
        <f>'Female SR Individual Freestyle'!D130</f>
        <v>0</v>
      </c>
      <c r="I483" t="str">
        <f t="shared" si="10"/>
        <v>FSRF-Female Single Rope Freestyle</v>
      </c>
    </row>
    <row r="484" spans="1:9" x14ac:dyDescent="0.25">
      <c r="A484">
        <f>'Team Info'!$B$3</f>
        <v>0</v>
      </c>
      <c r="B484">
        <f>'Single Rope Pairs Freestyle'!A83</f>
        <v>1</v>
      </c>
      <c r="C484" t="str">
        <f>'Single Rope Pairs Freestyle'!B83</f>
        <v>FSRPF</v>
      </c>
      <c r="D484" t="str">
        <f>'Single Rope Pairs Freestyle'!C83</f>
        <v>15-17</v>
      </c>
      <c r="E484">
        <f>'Single Rope Pairs Freestyle'!D83</f>
        <v>0</v>
      </c>
      <c r="F484">
        <f>'Single Rope Pairs Freestyle'!F83</f>
        <v>0</v>
      </c>
      <c r="I484" t="str">
        <f t="shared" si="10"/>
        <v>FSRPF-Female Single Rope Pairs Freestyle</v>
      </c>
    </row>
    <row r="485" spans="1:9" x14ac:dyDescent="0.25">
      <c r="A485">
        <f>'Team Info'!$B$3</f>
        <v>0</v>
      </c>
      <c r="B485">
        <f>'Single Rope Pairs Freestyle'!A84</f>
        <v>2</v>
      </c>
      <c r="C485" t="str">
        <f>'Single Rope Pairs Freestyle'!B84</f>
        <v>FSRPF</v>
      </c>
      <c r="D485" t="str">
        <f>'Single Rope Pairs Freestyle'!C84</f>
        <v>15-17</v>
      </c>
      <c r="E485">
        <f>'Single Rope Pairs Freestyle'!D84</f>
        <v>0</v>
      </c>
      <c r="F485">
        <f>'Single Rope Pairs Freestyle'!F84</f>
        <v>0</v>
      </c>
      <c r="I485" t="str">
        <f t="shared" si="10"/>
        <v>FSRPF-Female Single Rope Pairs Freestyle</v>
      </c>
    </row>
    <row r="486" spans="1:9" x14ac:dyDescent="0.25">
      <c r="A486">
        <f>'Team Info'!$B$3</f>
        <v>0</v>
      </c>
      <c r="B486">
        <f>'Single Rope Pairs Freestyle'!A85</f>
        <v>3</v>
      </c>
      <c r="C486" t="str">
        <f>'Single Rope Pairs Freestyle'!B85</f>
        <v>FSRPF</v>
      </c>
      <c r="D486" t="str">
        <f>'Single Rope Pairs Freestyle'!C85</f>
        <v>15-17</v>
      </c>
      <c r="E486">
        <f>'Single Rope Pairs Freestyle'!D85</f>
        <v>0</v>
      </c>
      <c r="F486">
        <f>'Single Rope Pairs Freestyle'!F85</f>
        <v>0</v>
      </c>
      <c r="I486" t="str">
        <f t="shared" si="10"/>
        <v>FSRPF-Female Single Rope Pairs Freestyle</v>
      </c>
    </row>
    <row r="487" spans="1:9" x14ac:dyDescent="0.25">
      <c r="A487">
        <f>'Team Info'!$B$3</f>
        <v>0</v>
      </c>
      <c r="B487">
        <f>'Single Rope Pairs Freestyle'!A86</f>
        <v>4</v>
      </c>
      <c r="C487" t="str">
        <f>'Single Rope Pairs Freestyle'!B86</f>
        <v>FSRPF</v>
      </c>
      <c r="D487" t="str">
        <f>'Single Rope Pairs Freestyle'!C86</f>
        <v>15-17</v>
      </c>
      <c r="E487">
        <f>'Single Rope Pairs Freestyle'!D86</f>
        <v>0</v>
      </c>
      <c r="F487">
        <f>'Single Rope Pairs Freestyle'!F86</f>
        <v>0</v>
      </c>
      <c r="I487" t="str">
        <f t="shared" si="10"/>
        <v>FSRPF-Female Single Rope Pairs Freestyle</v>
      </c>
    </row>
    <row r="488" spans="1:9" x14ac:dyDescent="0.25">
      <c r="A488">
        <f>'Team Info'!$B$3</f>
        <v>0</v>
      </c>
      <c r="B488">
        <f>'Single Rope Pairs Freestyle'!A87</f>
        <v>5</v>
      </c>
      <c r="C488" t="str">
        <f>'Single Rope Pairs Freestyle'!B87</f>
        <v>FSRPF</v>
      </c>
      <c r="D488" t="str">
        <f>'Single Rope Pairs Freestyle'!C87</f>
        <v>15-17</v>
      </c>
      <c r="E488">
        <f>'Single Rope Pairs Freestyle'!D87</f>
        <v>0</v>
      </c>
      <c r="F488">
        <f>'Single Rope Pairs Freestyle'!F87</f>
        <v>0</v>
      </c>
      <c r="I488" t="str">
        <f t="shared" si="10"/>
        <v>FSRPF-Female Single Rope Pairs Freestyle</v>
      </c>
    </row>
    <row r="489" spans="1:9" x14ac:dyDescent="0.25">
      <c r="A489">
        <f>'Team Info'!$B$3</f>
        <v>0</v>
      </c>
      <c r="B489">
        <f>'Single Rope Pairs Freestyle'!A88</f>
        <v>6</v>
      </c>
      <c r="C489" t="str">
        <f>'Single Rope Pairs Freestyle'!B88</f>
        <v>FSRPF</v>
      </c>
      <c r="D489" t="str">
        <f>'Single Rope Pairs Freestyle'!C88</f>
        <v>15-17</v>
      </c>
      <c r="E489">
        <f>'Single Rope Pairs Freestyle'!D88</f>
        <v>0</v>
      </c>
      <c r="F489">
        <f>'Single Rope Pairs Freestyle'!F88</f>
        <v>0</v>
      </c>
      <c r="I489" t="str">
        <f t="shared" si="10"/>
        <v>FSRPF-Female Single Rope Pairs Freestyle</v>
      </c>
    </row>
    <row r="490" spans="1:9" x14ac:dyDescent="0.25">
      <c r="A490">
        <f>'Team Info'!$B$3</f>
        <v>0</v>
      </c>
      <c r="B490">
        <f>'Single Rope Pairs Freestyle'!A89</f>
        <v>7</v>
      </c>
      <c r="C490" t="str">
        <f>'Single Rope Pairs Freestyle'!B89</f>
        <v>FSRPF</v>
      </c>
      <c r="D490" t="str">
        <f>'Single Rope Pairs Freestyle'!C89</f>
        <v>15-17</v>
      </c>
      <c r="E490">
        <f>'Single Rope Pairs Freestyle'!D89</f>
        <v>0</v>
      </c>
      <c r="F490">
        <f>'Single Rope Pairs Freestyle'!F89</f>
        <v>0</v>
      </c>
      <c r="I490" t="str">
        <f t="shared" si="10"/>
        <v>FSRPF-Female Single Rope Pairs Freestyle</v>
      </c>
    </row>
    <row r="491" spans="1:9" x14ac:dyDescent="0.25">
      <c r="A491">
        <f>'Team Info'!$B$3</f>
        <v>0</v>
      </c>
      <c r="B491">
        <f>'Single Rope Pairs Freestyle'!A90</f>
        <v>8</v>
      </c>
      <c r="C491" t="str">
        <f>'Single Rope Pairs Freestyle'!B90</f>
        <v>FSRPF</v>
      </c>
      <c r="D491" t="str">
        <f>'Single Rope Pairs Freestyle'!C90</f>
        <v>15-17</v>
      </c>
      <c r="E491">
        <f>'Single Rope Pairs Freestyle'!D90</f>
        <v>0</v>
      </c>
      <c r="F491">
        <f>'Single Rope Pairs Freestyle'!F90</f>
        <v>0</v>
      </c>
      <c r="I491" t="str">
        <f t="shared" si="10"/>
        <v>FSRPF-Female Single Rope Pairs Freestyle</v>
      </c>
    </row>
    <row r="492" spans="1:9" x14ac:dyDescent="0.25">
      <c r="A492">
        <f>'Team Info'!$B$3</f>
        <v>0</v>
      </c>
      <c r="B492">
        <f>'Single Rope Pairs Freestyle'!A106</f>
        <v>1</v>
      </c>
      <c r="C492" t="str">
        <f>'Single Rope Pairs Freestyle'!B106</f>
        <v>FSRPF</v>
      </c>
      <c r="D492" t="str">
        <f>'Single Rope Pairs Freestyle'!C106</f>
        <v>18-over</v>
      </c>
      <c r="E492">
        <f>'Single Rope Pairs Freestyle'!D106</f>
        <v>0</v>
      </c>
      <c r="F492">
        <f>'Single Rope Pairs Freestyle'!F106</f>
        <v>0</v>
      </c>
      <c r="I492" t="str">
        <f t="shared" si="10"/>
        <v>FSRPF-Female Single Rope Pairs Freestyle</v>
      </c>
    </row>
    <row r="493" spans="1:9" x14ac:dyDescent="0.25">
      <c r="A493">
        <f>'Team Info'!$B$3</f>
        <v>0</v>
      </c>
      <c r="B493">
        <f>'Single Rope Pairs Freestyle'!A107</f>
        <v>2</v>
      </c>
      <c r="C493" t="str">
        <f>'Single Rope Pairs Freestyle'!B107</f>
        <v>FSRPF</v>
      </c>
      <c r="D493" t="str">
        <f>'Single Rope Pairs Freestyle'!C107</f>
        <v>18-over</v>
      </c>
      <c r="E493">
        <f>'Single Rope Pairs Freestyle'!D107</f>
        <v>0</v>
      </c>
      <c r="F493">
        <f>'Single Rope Pairs Freestyle'!F107</f>
        <v>0</v>
      </c>
      <c r="I493" t="str">
        <f t="shared" ref="I493:I576" si="15">VLOOKUP(C493,EVENTS,2,FALSE)</f>
        <v>FSRPF-Female Single Rope Pairs Freestyle</v>
      </c>
    </row>
    <row r="494" spans="1:9" x14ac:dyDescent="0.25">
      <c r="A494">
        <f>'Team Info'!$B$3</f>
        <v>0</v>
      </c>
      <c r="B494">
        <f>'Single Rope Pairs Freestyle'!A108</f>
        <v>3</v>
      </c>
      <c r="C494" t="str">
        <f>'Single Rope Pairs Freestyle'!B108</f>
        <v>FSRPF</v>
      </c>
      <c r="D494" t="str">
        <f>'Single Rope Pairs Freestyle'!C108</f>
        <v>18-over</v>
      </c>
      <c r="E494">
        <f>'Single Rope Pairs Freestyle'!D108</f>
        <v>0</v>
      </c>
      <c r="F494">
        <f>'Single Rope Pairs Freestyle'!F108</f>
        <v>0</v>
      </c>
      <c r="I494" t="str">
        <f t="shared" si="15"/>
        <v>FSRPF-Female Single Rope Pairs Freestyle</v>
      </c>
    </row>
    <row r="495" spans="1:9" x14ac:dyDescent="0.25">
      <c r="A495">
        <f>'Team Info'!$B$3</f>
        <v>0</v>
      </c>
      <c r="B495">
        <f>'Single Rope Pairs Freestyle'!A109</f>
        <v>4</v>
      </c>
      <c r="C495" t="str">
        <f>'Single Rope Pairs Freestyle'!B109</f>
        <v>FSRPF</v>
      </c>
      <c r="D495" t="str">
        <f>'Single Rope Pairs Freestyle'!C109</f>
        <v>18-over</v>
      </c>
      <c r="E495">
        <f>'Single Rope Pairs Freestyle'!D109</f>
        <v>0</v>
      </c>
      <c r="F495">
        <f>'Single Rope Pairs Freestyle'!F109</f>
        <v>0</v>
      </c>
      <c r="I495" t="str">
        <f t="shared" si="15"/>
        <v>FSRPF-Female Single Rope Pairs Freestyle</v>
      </c>
    </row>
    <row r="496" spans="1:9" x14ac:dyDescent="0.25">
      <c r="A496">
        <f>'Team Info'!$B$3</f>
        <v>0</v>
      </c>
      <c r="B496">
        <f>'Single Rope Pairs Freestyle'!A110</f>
        <v>5</v>
      </c>
      <c r="C496" t="str">
        <f>'Single Rope Pairs Freestyle'!B110</f>
        <v>FSRPF</v>
      </c>
      <c r="D496" t="str">
        <f>'Single Rope Pairs Freestyle'!C110</f>
        <v>18-over</v>
      </c>
      <c r="E496">
        <f>'Single Rope Pairs Freestyle'!D110</f>
        <v>0</v>
      </c>
      <c r="F496">
        <f>'Single Rope Pairs Freestyle'!F110</f>
        <v>0</v>
      </c>
      <c r="I496" t="str">
        <f t="shared" si="15"/>
        <v>FSRPF-Female Single Rope Pairs Freestyle</v>
      </c>
    </row>
    <row r="497" spans="1:9" x14ac:dyDescent="0.25">
      <c r="A497">
        <f>'Team Info'!$B$3</f>
        <v>0</v>
      </c>
      <c r="B497">
        <f>'Single Rope Pairs Freestyle'!A111</f>
        <v>6</v>
      </c>
      <c r="C497" t="str">
        <f>'Single Rope Pairs Freestyle'!B111</f>
        <v>FSRPF</v>
      </c>
      <c r="D497" t="str">
        <f>'Single Rope Pairs Freestyle'!C111</f>
        <v>18-over</v>
      </c>
      <c r="E497">
        <f>'Single Rope Pairs Freestyle'!D111</f>
        <v>0</v>
      </c>
      <c r="F497">
        <f>'Single Rope Pairs Freestyle'!F111</f>
        <v>0</v>
      </c>
      <c r="I497" t="str">
        <f t="shared" si="15"/>
        <v>FSRPF-Female Single Rope Pairs Freestyle</v>
      </c>
    </row>
    <row r="498" spans="1:9" x14ac:dyDescent="0.25">
      <c r="A498">
        <f>'Team Info'!$B$3</f>
        <v>0</v>
      </c>
      <c r="B498">
        <f>'Single Rope Pairs Freestyle'!A112</f>
        <v>7</v>
      </c>
      <c r="C498" t="str">
        <f>'Single Rope Pairs Freestyle'!B112</f>
        <v>FSRPF</v>
      </c>
      <c r="D498" t="str">
        <f>'Single Rope Pairs Freestyle'!C112</f>
        <v>18-over</v>
      </c>
      <c r="E498">
        <f>'Single Rope Pairs Freestyle'!D112</f>
        <v>0</v>
      </c>
      <c r="F498">
        <f>'Single Rope Pairs Freestyle'!F112</f>
        <v>0</v>
      </c>
      <c r="I498" t="str">
        <f t="shared" si="15"/>
        <v>FSRPF-Female Single Rope Pairs Freestyle</v>
      </c>
    </row>
    <row r="499" spans="1:9" x14ac:dyDescent="0.25">
      <c r="A499">
        <f>'Team Info'!$B$3</f>
        <v>0</v>
      </c>
      <c r="B499">
        <f>'Single Rope Pairs Freestyle'!A113</f>
        <v>8</v>
      </c>
      <c r="C499" t="str">
        <f>'Single Rope Pairs Freestyle'!B113</f>
        <v>FSRPF</v>
      </c>
      <c r="D499" t="str">
        <f>'Single Rope Pairs Freestyle'!C113</f>
        <v>18-over</v>
      </c>
      <c r="E499">
        <f>'Single Rope Pairs Freestyle'!D113</f>
        <v>0</v>
      </c>
      <c r="F499">
        <f>'Single Rope Pairs Freestyle'!F113</f>
        <v>0</v>
      </c>
      <c r="I499" t="str">
        <f t="shared" si="15"/>
        <v>FSRPF-Female Single Rope Pairs Freestyle</v>
      </c>
    </row>
    <row r="500" spans="1:9" x14ac:dyDescent="0.25">
      <c r="A500">
        <f>'Team Info'!$B$3</f>
        <v>0</v>
      </c>
      <c r="B500">
        <f>'Female SR Individual Speed'!A5</f>
        <v>1</v>
      </c>
      <c r="C500" t="str">
        <f>'Female SR Individual Speed'!B5</f>
        <v>FSRS</v>
      </c>
      <c r="D500" t="str">
        <f>'Female SR Individual Speed'!C5</f>
        <v>8-Under</v>
      </c>
      <c r="E500">
        <f>'Female SR Individual Speed'!D5</f>
        <v>0</v>
      </c>
      <c r="I500" t="str">
        <f t="shared" ref="I500:I519" si="16">VLOOKUP(C500,EVENTS,2,FALSE)</f>
        <v>FSRS-Female Single Rope Speed</v>
      </c>
    </row>
    <row r="501" spans="1:9" x14ac:dyDescent="0.25">
      <c r="A501">
        <f>'Team Info'!$B$3</f>
        <v>0</v>
      </c>
      <c r="B501">
        <f>'Female SR Individual Speed'!A6</f>
        <v>2</v>
      </c>
      <c r="C501" t="str">
        <f>'Female SR Individual Speed'!B6</f>
        <v>FSRS</v>
      </c>
      <c r="D501" t="str">
        <f>'Female SR Individual Speed'!C6</f>
        <v>8-Under</v>
      </c>
      <c r="E501">
        <f>'Female SR Individual Speed'!D6</f>
        <v>0</v>
      </c>
      <c r="I501" t="str">
        <f t="shared" si="16"/>
        <v>FSRS-Female Single Rope Speed</v>
      </c>
    </row>
    <row r="502" spans="1:9" x14ac:dyDescent="0.25">
      <c r="A502">
        <f>'Team Info'!$B$3</f>
        <v>0</v>
      </c>
      <c r="B502">
        <f>'Female SR Individual Speed'!A7</f>
        <v>3</v>
      </c>
      <c r="C502" t="str">
        <f>'Female SR Individual Speed'!B7</f>
        <v>FSRS</v>
      </c>
      <c r="D502" t="str">
        <f>'Female SR Individual Speed'!C7</f>
        <v>8-Under</v>
      </c>
      <c r="E502">
        <f>'Female SR Individual Speed'!D7</f>
        <v>0</v>
      </c>
      <c r="I502" t="str">
        <f t="shared" si="16"/>
        <v>FSRS-Female Single Rope Speed</v>
      </c>
    </row>
    <row r="503" spans="1:9" x14ac:dyDescent="0.25">
      <c r="A503">
        <f>'Team Info'!$B$3</f>
        <v>0</v>
      </c>
      <c r="B503">
        <f>'Female SR Individual Speed'!A8</f>
        <v>4</v>
      </c>
      <c r="C503" t="str">
        <f>'Female SR Individual Speed'!B8</f>
        <v>FSRS</v>
      </c>
      <c r="D503" t="str">
        <f>'Female SR Individual Speed'!C8</f>
        <v>8-Under</v>
      </c>
      <c r="E503">
        <f>'Female SR Individual Speed'!D8</f>
        <v>0</v>
      </c>
      <c r="I503" t="str">
        <f t="shared" si="16"/>
        <v>FSRS-Female Single Rope Speed</v>
      </c>
    </row>
    <row r="504" spans="1:9" x14ac:dyDescent="0.25">
      <c r="A504">
        <f>'Team Info'!$B$3</f>
        <v>0</v>
      </c>
      <c r="B504">
        <f>'Female SR Individual Speed'!A9</f>
        <v>5</v>
      </c>
      <c r="C504" t="str">
        <f>'Female SR Individual Speed'!B9</f>
        <v>FSRS</v>
      </c>
      <c r="D504" t="str">
        <f>'Female SR Individual Speed'!C9</f>
        <v>8-Under</v>
      </c>
      <c r="E504">
        <f>'Female SR Individual Speed'!D9</f>
        <v>0</v>
      </c>
      <c r="I504" t="str">
        <f t="shared" si="16"/>
        <v>FSRS-Female Single Rope Speed</v>
      </c>
    </row>
    <row r="505" spans="1:9" x14ac:dyDescent="0.25">
      <c r="A505">
        <f>'Team Info'!$B$3</f>
        <v>0</v>
      </c>
      <c r="B505">
        <f>'Female SR Individual Speed'!A10</f>
        <v>6</v>
      </c>
      <c r="C505" t="str">
        <f>'Female SR Individual Speed'!B10</f>
        <v>FSRS</v>
      </c>
      <c r="D505" t="str">
        <f>'Female SR Individual Speed'!C10</f>
        <v>8-Under</v>
      </c>
      <c r="E505">
        <f>'Female SR Individual Speed'!D10</f>
        <v>0</v>
      </c>
      <c r="I505" t="str">
        <f t="shared" si="16"/>
        <v>FSRS-Female Single Rope Speed</v>
      </c>
    </row>
    <row r="506" spans="1:9" x14ac:dyDescent="0.25">
      <c r="A506">
        <f>'Team Info'!$B$3</f>
        <v>0</v>
      </c>
      <c r="B506">
        <f>'Female SR Individual Speed'!A11</f>
        <v>7</v>
      </c>
      <c r="C506" t="str">
        <f>'Female SR Individual Speed'!B11</f>
        <v>FSRS</v>
      </c>
      <c r="D506" t="str">
        <f>'Female SR Individual Speed'!C11</f>
        <v>8-Under</v>
      </c>
      <c r="E506">
        <f>'Female SR Individual Speed'!D11</f>
        <v>0</v>
      </c>
      <c r="I506" t="str">
        <f t="shared" si="16"/>
        <v>FSRS-Female Single Rope Speed</v>
      </c>
    </row>
    <row r="507" spans="1:9" x14ac:dyDescent="0.25">
      <c r="A507">
        <f>'Team Info'!$B$3</f>
        <v>0</v>
      </c>
      <c r="B507">
        <f>'Female SR Individual Speed'!A12</f>
        <v>8</v>
      </c>
      <c r="C507" t="str">
        <f>'Female SR Individual Speed'!B12</f>
        <v>FSRS</v>
      </c>
      <c r="D507" t="str">
        <f>'Female SR Individual Speed'!C12</f>
        <v>8-Under</v>
      </c>
      <c r="E507">
        <f>'Female SR Individual Speed'!D12</f>
        <v>0</v>
      </c>
      <c r="I507" t="str">
        <f t="shared" si="16"/>
        <v>FSRS-Female Single Rope Speed</v>
      </c>
    </row>
    <row r="508" spans="1:9" x14ac:dyDescent="0.25">
      <c r="A508">
        <f>'Team Info'!$B$3</f>
        <v>0</v>
      </c>
      <c r="B508">
        <f>'Female SR Individual Speed'!A13</f>
        <v>9</v>
      </c>
      <c r="C508" t="str">
        <f>'Female SR Individual Speed'!B13</f>
        <v>FSRS</v>
      </c>
      <c r="D508" t="str">
        <f>'Female SR Individual Speed'!C13</f>
        <v>8-Under</v>
      </c>
      <c r="E508">
        <f>'Female SR Individual Speed'!D13</f>
        <v>0</v>
      </c>
      <c r="I508" t="str">
        <f t="shared" si="16"/>
        <v>FSRS-Female Single Rope Speed</v>
      </c>
    </row>
    <row r="509" spans="1:9" x14ac:dyDescent="0.25">
      <c r="A509">
        <f>'Team Info'!$B$3</f>
        <v>0</v>
      </c>
      <c r="B509">
        <f>'Female SR Individual Speed'!A14</f>
        <v>10</v>
      </c>
      <c r="C509" t="str">
        <f>'Female SR Individual Speed'!B14</f>
        <v>FSRS</v>
      </c>
      <c r="D509" t="str">
        <f>'Female SR Individual Speed'!C14</f>
        <v>8-Under</v>
      </c>
      <c r="E509">
        <f>'Female SR Individual Speed'!D14</f>
        <v>0</v>
      </c>
      <c r="I509" t="str">
        <f t="shared" si="16"/>
        <v>FSRS-Female Single Rope Speed</v>
      </c>
    </row>
    <row r="510" spans="1:9" x14ac:dyDescent="0.25">
      <c r="A510">
        <f>'Team Info'!$B$3</f>
        <v>0</v>
      </c>
      <c r="B510">
        <f>'Female SR Individual Speed'!A15</f>
        <v>11</v>
      </c>
      <c r="C510" t="str">
        <f>'Female SR Individual Speed'!B15</f>
        <v>FSRS</v>
      </c>
      <c r="D510" t="str">
        <f>'Female SR Individual Speed'!C15</f>
        <v>8-Under</v>
      </c>
      <c r="E510">
        <f>'Female SR Individual Speed'!D15</f>
        <v>0</v>
      </c>
      <c r="I510" t="str">
        <f t="shared" si="16"/>
        <v>FSRS-Female Single Rope Speed</v>
      </c>
    </row>
    <row r="511" spans="1:9" x14ac:dyDescent="0.25">
      <c r="A511">
        <f>'Team Info'!$B$3</f>
        <v>0</v>
      </c>
      <c r="B511">
        <f>'Female SR Individual Speed'!A16</f>
        <v>12</v>
      </c>
      <c r="C511" t="str">
        <f>'Female SR Individual Speed'!B16</f>
        <v>FSRS</v>
      </c>
      <c r="D511" t="str">
        <f>'Female SR Individual Speed'!C16</f>
        <v>8-Under</v>
      </c>
      <c r="E511">
        <f>'Female SR Individual Speed'!D16</f>
        <v>0</v>
      </c>
      <c r="I511" t="str">
        <f t="shared" si="16"/>
        <v>FSRS-Female Single Rope Speed</v>
      </c>
    </row>
    <row r="512" spans="1:9" x14ac:dyDescent="0.25">
      <c r="A512">
        <f>'Team Info'!$B$3</f>
        <v>0</v>
      </c>
      <c r="B512">
        <f>'Female SR Individual Speed'!A17</f>
        <v>13</v>
      </c>
      <c r="C512" t="str">
        <f>'Female SR Individual Speed'!B17</f>
        <v>FSRS</v>
      </c>
      <c r="D512" t="str">
        <f>'Female SR Individual Speed'!C17</f>
        <v>8-Under</v>
      </c>
      <c r="E512">
        <f>'Female SR Individual Speed'!D17</f>
        <v>0</v>
      </c>
      <c r="I512" t="str">
        <f t="shared" si="16"/>
        <v>FSRS-Female Single Rope Speed</v>
      </c>
    </row>
    <row r="513" spans="1:9" x14ac:dyDescent="0.25">
      <c r="A513">
        <f>'Team Info'!$B$3</f>
        <v>0</v>
      </c>
      <c r="B513">
        <f>'Female SR Individual Speed'!A18</f>
        <v>14</v>
      </c>
      <c r="C513" t="str">
        <f>'Female SR Individual Speed'!B18</f>
        <v>FSRS</v>
      </c>
      <c r="D513" t="str">
        <f>'Female SR Individual Speed'!C18</f>
        <v>8-Under</v>
      </c>
      <c r="E513">
        <f>'Female SR Individual Speed'!D18</f>
        <v>0</v>
      </c>
      <c r="I513" t="str">
        <f t="shared" si="16"/>
        <v>FSRS-Female Single Rope Speed</v>
      </c>
    </row>
    <row r="514" spans="1:9" x14ac:dyDescent="0.25">
      <c r="A514">
        <f>'Team Info'!$B$3</f>
        <v>0</v>
      </c>
      <c r="B514">
        <f>'Female SR Individual Speed'!A19</f>
        <v>15</v>
      </c>
      <c r="C514" t="str">
        <f>'Female SR Individual Speed'!B19</f>
        <v>FSRS</v>
      </c>
      <c r="D514" t="str">
        <f>'Female SR Individual Speed'!C19</f>
        <v>8-Under</v>
      </c>
      <c r="E514">
        <f>'Female SR Individual Speed'!D19</f>
        <v>0</v>
      </c>
      <c r="I514" t="str">
        <f t="shared" si="16"/>
        <v>FSRS-Female Single Rope Speed</v>
      </c>
    </row>
    <row r="515" spans="1:9" x14ac:dyDescent="0.25">
      <c r="A515">
        <f>'Team Info'!$B$3</f>
        <v>0</v>
      </c>
      <c r="B515">
        <f>'Female SR Individual Speed'!A20</f>
        <v>16</v>
      </c>
      <c r="C515" t="str">
        <f>'Female SR Individual Speed'!B20</f>
        <v>FSRS</v>
      </c>
      <c r="D515" t="str">
        <f>'Female SR Individual Speed'!C20</f>
        <v>8-Under</v>
      </c>
      <c r="E515">
        <f>'Female SR Individual Speed'!D20</f>
        <v>0</v>
      </c>
      <c r="I515" t="str">
        <f t="shared" si="16"/>
        <v>FSRS-Female Single Rope Speed</v>
      </c>
    </row>
    <row r="516" spans="1:9" x14ac:dyDescent="0.25">
      <c r="A516">
        <f>'Team Info'!$B$3</f>
        <v>0</v>
      </c>
      <c r="B516">
        <f>'Female SR Individual Speed'!A21</f>
        <v>17</v>
      </c>
      <c r="C516" t="str">
        <f>'Female SR Individual Speed'!B21</f>
        <v>FSRS</v>
      </c>
      <c r="D516" t="str">
        <f>'Female SR Individual Speed'!C21</f>
        <v>8-Under</v>
      </c>
      <c r="E516">
        <f>'Female SR Individual Speed'!D21</f>
        <v>0</v>
      </c>
      <c r="I516" t="str">
        <f t="shared" si="16"/>
        <v>FSRS-Female Single Rope Speed</v>
      </c>
    </row>
    <row r="517" spans="1:9" x14ac:dyDescent="0.25">
      <c r="A517">
        <f>'Team Info'!$B$3</f>
        <v>0</v>
      </c>
      <c r="B517">
        <f>'Female SR Individual Speed'!A22</f>
        <v>18</v>
      </c>
      <c r="C517" t="str">
        <f>'Female SR Individual Speed'!B22</f>
        <v>FSRS</v>
      </c>
      <c r="D517" t="str">
        <f>'Female SR Individual Speed'!C22</f>
        <v>8-Under</v>
      </c>
      <c r="E517">
        <f>'Female SR Individual Speed'!D22</f>
        <v>0</v>
      </c>
      <c r="I517" t="str">
        <f t="shared" si="16"/>
        <v>FSRS-Female Single Rope Speed</v>
      </c>
    </row>
    <row r="518" spans="1:9" x14ac:dyDescent="0.25">
      <c r="A518">
        <f>'Team Info'!$B$3</f>
        <v>0</v>
      </c>
      <c r="B518">
        <f>'Female SR Individual Speed'!A23</f>
        <v>19</v>
      </c>
      <c r="C518" t="str">
        <f>'Female SR Individual Speed'!B23</f>
        <v>FSRS</v>
      </c>
      <c r="D518" t="str">
        <f>'Female SR Individual Speed'!C23</f>
        <v>8-Under</v>
      </c>
      <c r="E518">
        <f>'Female SR Individual Speed'!D23</f>
        <v>0</v>
      </c>
      <c r="I518" t="str">
        <f t="shared" si="16"/>
        <v>FSRS-Female Single Rope Speed</v>
      </c>
    </row>
    <row r="519" spans="1:9" x14ac:dyDescent="0.25">
      <c r="A519">
        <f>'Team Info'!$B$3</f>
        <v>0</v>
      </c>
      <c r="B519">
        <f>'Female SR Individual Speed'!A24</f>
        <v>20</v>
      </c>
      <c r="C519" t="str">
        <f>'Female SR Individual Speed'!B24</f>
        <v>FSRS</v>
      </c>
      <c r="D519" t="str">
        <f>'Female SR Individual Speed'!C24</f>
        <v>8-Under</v>
      </c>
      <c r="E519">
        <f>'Female SR Individual Speed'!D24</f>
        <v>0</v>
      </c>
      <c r="I519" t="str">
        <f t="shared" si="16"/>
        <v>FSRS-Female Single Rope Speed</v>
      </c>
    </row>
    <row r="520" spans="1:9" x14ac:dyDescent="0.25">
      <c r="A520">
        <f>'Team Info'!$B$3</f>
        <v>0</v>
      </c>
      <c r="B520">
        <f>'Female SR Individual Speed'!H5</f>
        <v>1</v>
      </c>
      <c r="C520" t="str">
        <f>'Female SR Individual Speed'!I5</f>
        <v>FSRS</v>
      </c>
      <c r="D520">
        <f>'Female SR Individual Speed'!J5</f>
        <v>9</v>
      </c>
      <c r="E520">
        <f>'Female SR Individual Speed'!K5</f>
        <v>0</v>
      </c>
      <c r="I520" t="str">
        <f t="shared" si="15"/>
        <v>FSRS-Female Single Rope Speed</v>
      </c>
    </row>
    <row r="521" spans="1:9" x14ac:dyDescent="0.25">
      <c r="A521">
        <f>'Team Info'!$B$3</f>
        <v>0</v>
      </c>
      <c r="B521">
        <f>'Female SR Individual Speed'!H6</f>
        <v>2</v>
      </c>
      <c r="C521" t="str">
        <f>'Female SR Individual Speed'!I6</f>
        <v>FSRS</v>
      </c>
      <c r="D521">
        <f>'Female SR Individual Speed'!J6</f>
        <v>9</v>
      </c>
      <c r="E521">
        <f>'Female SR Individual Speed'!K6</f>
        <v>0</v>
      </c>
      <c r="I521" t="str">
        <f t="shared" si="15"/>
        <v>FSRS-Female Single Rope Speed</v>
      </c>
    </row>
    <row r="522" spans="1:9" x14ac:dyDescent="0.25">
      <c r="A522">
        <f>'Team Info'!$B$3</f>
        <v>0</v>
      </c>
      <c r="B522">
        <f>'Female SR Individual Speed'!H7</f>
        <v>3</v>
      </c>
      <c r="C522" t="str">
        <f>'Female SR Individual Speed'!I7</f>
        <v>FSRS</v>
      </c>
      <c r="D522">
        <f>'Female SR Individual Speed'!J7</f>
        <v>9</v>
      </c>
      <c r="E522">
        <f>'Female SR Individual Speed'!K7</f>
        <v>0</v>
      </c>
      <c r="I522" t="str">
        <f t="shared" si="15"/>
        <v>FSRS-Female Single Rope Speed</v>
      </c>
    </row>
    <row r="523" spans="1:9" x14ac:dyDescent="0.25">
      <c r="A523">
        <f>'Team Info'!$B$3</f>
        <v>0</v>
      </c>
      <c r="B523">
        <f>'Female SR Individual Speed'!H8</f>
        <v>4</v>
      </c>
      <c r="C523" t="str">
        <f>'Female SR Individual Speed'!I8</f>
        <v>FSRS</v>
      </c>
      <c r="D523">
        <f>'Female SR Individual Speed'!J8</f>
        <v>9</v>
      </c>
      <c r="E523">
        <f>'Female SR Individual Speed'!K8</f>
        <v>0</v>
      </c>
      <c r="I523" t="str">
        <f t="shared" si="15"/>
        <v>FSRS-Female Single Rope Speed</v>
      </c>
    </row>
    <row r="524" spans="1:9" x14ac:dyDescent="0.25">
      <c r="A524">
        <f>'Team Info'!$B$3</f>
        <v>0</v>
      </c>
      <c r="B524">
        <f>'Female SR Individual Speed'!H9</f>
        <v>5</v>
      </c>
      <c r="C524" t="str">
        <f>'Female SR Individual Speed'!I9</f>
        <v>FSRS</v>
      </c>
      <c r="D524">
        <f>'Female SR Individual Speed'!J9</f>
        <v>9</v>
      </c>
      <c r="E524">
        <f>'Female SR Individual Speed'!K9</f>
        <v>0</v>
      </c>
      <c r="I524" t="str">
        <f t="shared" si="15"/>
        <v>FSRS-Female Single Rope Speed</v>
      </c>
    </row>
    <row r="525" spans="1:9" x14ac:dyDescent="0.25">
      <c r="A525">
        <f>'Team Info'!$B$3</f>
        <v>0</v>
      </c>
      <c r="B525">
        <f>'Female SR Individual Speed'!H10</f>
        <v>6</v>
      </c>
      <c r="C525" t="str">
        <f>'Female SR Individual Speed'!I10</f>
        <v>FSRS</v>
      </c>
      <c r="D525">
        <f>'Female SR Individual Speed'!J10</f>
        <v>9</v>
      </c>
      <c r="E525">
        <f>'Female SR Individual Speed'!K10</f>
        <v>0</v>
      </c>
      <c r="I525" t="str">
        <f t="shared" si="15"/>
        <v>FSRS-Female Single Rope Speed</v>
      </c>
    </row>
    <row r="526" spans="1:9" x14ac:dyDescent="0.25">
      <c r="A526">
        <f>'Team Info'!$B$3</f>
        <v>0</v>
      </c>
      <c r="B526">
        <f>'Female SR Individual Speed'!H11</f>
        <v>7</v>
      </c>
      <c r="C526" t="str">
        <f>'Female SR Individual Speed'!I11</f>
        <v>FSRS</v>
      </c>
      <c r="D526">
        <f>'Female SR Individual Speed'!J11</f>
        <v>9</v>
      </c>
      <c r="E526">
        <f>'Female SR Individual Speed'!K11</f>
        <v>0</v>
      </c>
      <c r="I526" t="str">
        <f t="shared" si="15"/>
        <v>FSRS-Female Single Rope Speed</v>
      </c>
    </row>
    <row r="527" spans="1:9" x14ac:dyDescent="0.25">
      <c r="A527">
        <f>'Team Info'!$B$3</f>
        <v>0</v>
      </c>
      <c r="B527">
        <f>'Female SR Individual Speed'!H12</f>
        <v>8</v>
      </c>
      <c r="C527" t="str">
        <f>'Female SR Individual Speed'!I12</f>
        <v>FSRS</v>
      </c>
      <c r="D527">
        <f>'Female SR Individual Speed'!J12</f>
        <v>9</v>
      </c>
      <c r="E527">
        <f>'Female SR Individual Speed'!K12</f>
        <v>0</v>
      </c>
      <c r="I527" t="str">
        <f t="shared" si="15"/>
        <v>FSRS-Female Single Rope Speed</v>
      </c>
    </row>
    <row r="528" spans="1:9" x14ac:dyDescent="0.25">
      <c r="A528">
        <f>'Team Info'!$B$3</f>
        <v>0</v>
      </c>
      <c r="B528">
        <f>'Female SR Individual Speed'!H13</f>
        <v>9</v>
      </c>
      <c r="C528" t="str">
        <f>'Female SR Individual Speed'!I13</f>
        <v>FSRS</v>
      </c>
      <c r="D528">
        <f>'Female SR Individual Speed'!J13</f>
        <v>9</v>
      </c>
      <c r="E528">
        <f>'Female SR Individual Speed'!K13</f>
        <v>0</v>
      </c>
      <c r="I528" t="str">
        <f t="shared" si="15"/>
        <v>FSRS-Female Single Rope Speed</v>
      </c>
    </row>
    <row r="529" spans="1:9" x14ac:dyDescent="0.25">
      <c r="A529">
        <f>'Team Info'!$B$3</f>
        <v>0</v>
      </c>
      <c r="B529">
        <f>'Female SR Individual Speed'!H14</f>
        <v>10</v>
      </c>
      <c r="C529" t="str">
        <f>'Female SR Individual Speed'!I14</f>
        <v>FSRS</v>
      </c>
      <c r="D529">
        <f>'Female SR Individual Speed'!J14</f>
        <v>9</v>
      </c>
      <c r="E529">
        <f>'Female SR Individual Speed'!K14</f>
        <v>0</v>
      </c>
      <c r="I529" t="str">
        <f t="shared" si="15"/>
        <v>FSRS-Female Single Rope Speed</v>
      </c>
    </row>
    <row r="530" spans="1:9" x14ac:dyDescent="0.25">
      <c r="A530">
        <f>'Team Info'!$B$3</f>
        <v>0</v>
      </c>
      <c r="B530">
        <f>'Female SR Individual Speed'!H15</f>
        <v>11</v>
      </c>
      <c r="C530" t="str">
        <f>'Female SR Individual Speed'!I15</f>
        <v>FSRS</v>
      </c>
      <c r="D530">
        <f>'Female SR Individual Speed'!J15</f>
        <v>9</v>
      </c>
      <c r="E530">
        <f>'Female SR Individual Speed'!K15</f>
        <v>0</v>
      </c>
      <c r="I530" t="str">
        <f t="shared" si="15"/>
        <v>FSRS-Female Single Rope Speed</v>
      </c>
    </row>
    <row r="531" spans="1:9" x14ac:dyDescent="0.25">
      <c r="A531">
        <f>'Team Info'!$B$3</f>
        <v>0</v>
      </c>
      <c r="B531">
        <f>'Female SR Individual Speed'!H16</f>
        <v>12</v>
      </c>
      <c r="C531" t="str">
        <f>'Female SR Individual Speed'!I16</f>
        <v>FSRS</v>
      </c>
      <c r="D531">
        <f>'Female SR Individual Speed'!J16</f>
        <v>9</v>
      </c>
      <c r="E531">
        <f>'Female SR Individual Speed'!K16</f>
        <v>0</v>
      </c>
      <c r="I531" t="str">
        <f t="shared" si="15"/>
        <v>FSRS-Female Single Rope Speed</v>
      </c>
    </row>
    <row r="532" spans="1:9" x14ac:dyDescent="0.25">
      <c r="A532">
        <f>'Team Info'!$B$3</f>
        <v>0</v>
      </c>
      <c r="B532">
        <f>'Female SR Individual Speed'!H17</f>
        <v>13</v>
      </c>
      <c r="C532" t="str">
        <f>'Female SR Individual Speed'!I17</f>
        <v>FSRS</v>
      </c>
      <c r="D532">
        <f>'Female SR Individual Speed'!J17</f>
        <v>9</v>
      </c>
      <c r="E532">
        <f>'Female SR Individual Speed'!K17</f>
        <v>0</v>
      </c>
      <c r="I532" t="str">
        <f t="shared" si="15"/>
        <v>FSRS-Female Single Rope Speed</v>
      </c>
    </row>
    <row r="533" spans="1:9" x14ac:dyDescent="0.25">
      <c r="A533">
        <f>'Team Info'!$B$3</f>
        <v>0</v>
      </c>
      <c r="B533">
        <f>'Female SR Individual Speed'!H18</f>
        <v>14</v>
      </c>
      <c r="C533" t="str">
        <f>'Female SR Individual Speed'!I18</f>
        <v>FSRS</v>
      </c>
      <c r="D533">
        <f>'Female SR Individual Speed'!J18</f>
        <v>9</v>
      </c>
      <c r="E533">
        <f>'Female SR Individual Speed'!K18</f>
        <v>0</v>
      </c>
      <c r="I533" t="str">
        <f t="shared" si="15"/>
        <v>FSRS-Female Single Rope Speed</v>
      </c>
    </row>
    <row r="534" spans="1:9" x14ac:dyDescent="0.25">
      <c r="A534">
        <f>'Team Info'!$B$3</f>
        <v>0</v>
      </c>
      <c r="B534">
        <f>'Female SR Individual Speed'!H19</f>
        <v>15</v>
      </c>
      <c r="C534" t="str">
        <f>'Female SR Individual Speed'!I19</f>
        <v>FSRS</v>
      </c>
      <c r="D534">
        <f>'Female SR Individual Speed'!J19</f>
        <v>9</v>
      </c>
      <c r="E534">
        <f>'Female SR Individual Speed'!K19</f>
        <v>0</v>
      </c>
      <c r="I534" t="str">
        <f t="shared" si="15"/>
        <v>FSRS-Female Single Rope Speed</v>
      </c>
    </row>
    <row r="535" spans="1:9" x14ac:dyDescent="0.25">
      <c r="A535">
        <f>'Team Info'!$B$3</f>
        <v>0</v>
      </c>
      <c r="B535">
        <f>'Female SR Individual Speed'!H20</f>
        <v>16</v>
      </c>
      <c r="C535" t="str">
        <f>'Female SR Individual Speed'!I20</f>
        <v>FSRS</v>
      </c>
      <c r="D535">
        <f>'Female SR Individual Speed'!J20</f>
        <v>9</v>
      </c>
      <c r="E535">
        <f>'Female SR Individual Speed'!K20</f>
        <v>0</v>
      </c>
      <c r="I535" t="str">
        <f t="shared" si="15"/>
        <v>FSRS-Female Single Rope Speed</v>
      </c>
    </row>
    <row r="536" spans="1:9" x14ac:dyDescent="0.25">
      <c r="A536">
        <f>'Team Info'!$B$3</f>
        <v>0</v>
      </c>
      <c r="B536">
        <f>'Female SR Individual Speed'!H21</f>
        <v>17</v>
      </c>
      <c r="C536" t="str">
        <f>'Female SR Individual Speed'!I21</f>
        <v>FSRS</v>
      </c>
      <c r="D536">
        <f>'Female SR Individual Speed'!J21</f>
        <v>9</v>
      </c>
      <c r="E536">
        <f>'Female SR Individual Speed'!K21</f>
        <v>0</v>
      </c>
      <c r="I536" t="str">
        <f t="shared" si="15"/>
        <v>FSRS-Female Single Rope Speed</v>
      </c>
    </row>
    <row r="537" spans="1:9" x14ac:dyDescent="0.25">
      <c r="A537">
        <f>'Team Info'!$B$3</f>
        <v>0</v>
      </c>
      <c r="B537">
        <f>'Female SR Individual Speed'!H22</f>
        <v>18</v>
      </c>
      <c r="C537" t="str">
        <f>'Female SR Individual Speed'!I22</f>
        <v>FSRS</v>
      </c>
      <c r="D537">
        <f>'Female SR Individual Speed'!J22</f>
        <v>9</v>
      </c>
      <c r="E537">
        <f>'Female SR Individual Speed'!K22</f>
        <v>0</v>
      </c>
      <c r="I537" t="str">
        <f t="shared" si="15"/>
        <v>FSRS-Female Single Rope Speed</v>
      </c>
    </row>
    <row r="538" spans="1:9" x14ac:dyDescent="0.25">
      <c r="A538">
        <f>'Team Info'!$B$3</f>
        <v>0</v>
      </c>
      <c r="B538">
        <f>'Female SR Individual Speed'!H23</f>
        <v>19</v>
      </c>
      <c r="C538" t="str">
        <f>'Female SR Individual Speed'!I23</f>
        <v>FSRS</v>
      </c>
      <c r="D538">
        <f>'Female SR Individual Speed'!J23</f>
        <v>9</v>
      </c>
      <c r="E538">
        <f>'Female SR Individual Speed'!K23</f>
        <v>0</v>
      </c>
      <c r="I538" t="str">
        <f t="shared" si="15"/>
        <v>FSRS-Female Single Rope Speed</v>
      </c>
    </row>
    <row r="539" spans="1:9" x14ac:dyDescent="0.25">
      <c r="A539">
        <f>'Team Info'!$B$3</f>
        <v>0</v>
      </c>
      <c r="B539">
        <f>'Female SR Individual Speed'!H24</f>
        <v>20</v>
      </c>
      <c r="C539" t="str">
        <f>'Female SR Individual Speed'!I24</f>
        <v>FSRS</v>
      </c>
      <c r="D539">
        <f>'Female SR Individual Speed'!J24</f>
        <v>9</v>
      </c>
      <c r="E539">
        <f>'Female SR Individual Speed'!K24</f>
        <v>0</v>
      </c>
      <c r="I539" t="str">
        <f t="shared" si="15"/>
        <v>FSRS-Female Single Rope Speed</v>
      </c>
    </row>
    <row r="540" spans="1:9" x14ac:dyDescent="0.25">
      <c r="A540">
        <f>'Team Info'!$B$3</f>
        <v>0</v>
      </c>
      <c r="B540">
        <f>'Female SR Individual Speed'!A27</f>
        <v>1</v>
      </c>
      <c r="C540" t="str">
        <f>'Female SR Individual Speed'!B27</f>
        <v>FSRS</v>
      </c>
      <c r="D540">
        <f>'Female SR Individual Speed'!C27</f>
        <v>10</v>
      </c>
      <c r="E540">
        <f>'Female SR Individual Speed'!D27</f>
        <v>0</v>
      </c>
      <c r="I540" t="str">
        <f t="shared" si="15"/>
        <v>FSRS-Female Single Rope Speed</v>
      </c>
    </row>
    <row r="541" spans="1:9" x14ac:dyDescent="0.25">
      <c r="A541">
        <f>'Team Info'!$B$3</f>
        <v>0</v>
      </c>
      <c r="B541">
        <f>'Female SR Individual Speed'!A28</f>
        <v>2</v>
      </c>
      <c r="C541" t="str">
        <f>'Female SR Individual Speed'!B28</f>
        <v>FSRS</v>
      </c>
      <c r="D541">
        <f>'Female SR Individual Speed'!C28</f>
        <v>10</v>
      </c>
      <c r="E541">
        <f>'Female SR Individual Speed'!D28</f>
        <v>0</v>
      </c>
      <c r="I541" t="str">
        <f t="shared" si="15"/>
        <v>FSRS-Female Single Rope Speed</v>
      </c>
    </row>
    <row r="542" spans="1:9" x14ac:dyDescent="0.25">
      <c r="A542">
        <f>'Team Info'!$B$3</f>
        <v>0</v>
      </c>
      <c r="B542">
        <f>'Female SR Individual Speed'!A29</f>
        <v>3</v>
      </c>
      <c r="C542" t="str">
        <f>'Female SR Individual Speed'!B29</f>
        <v>FSRS</v>
      </c>
      <c r="D542">
        <f>'Female SR Individual Speed'!C29</f>
        <v>10</v>
      </c>
      <c r="E542">
        <f>'Female SR Individual Speed'!D29</f>
        <v>0</v>
      </c>
      <c r="I542" t="str">
        <f t="shared" si="15"/>
        <v>FSRS-Female Single Rope Speed</v>
      </c>
    </row>
    <row r="543" spans="1:9" x14ac:dyDescent="0.25">
      <c r="A543">
        <f>'Team Info'!$B$3</f>
        <v>0</v>
      </c>
      <c r="B543">
        <f>'Female SR Individual Speed'!A30</f>
        <v>4</v>
      </c>
      <c r="C543" t="str">
        <f>'Female SR Individual Speed'!B30</f>
        <v>FSRS</v>
      </c>
      <c r="D543">
        <f>'Female SR Individual Speed'!C30</f>
        <v>10</v>
      </c>
      <c r="E543">
        <f>'Female SR Individual Speed'!D30</f>
        <v>0</v>
      </c>
      <c r="I543" t="str">
        <f t="shared" si="15"/>
        <v>FSRS-Female Single Rope Speed</v>
      </c>
    </row>
    <row r="544" spans="1:9" x14ac:dyDescent="0.25">
      <c r="A544">
        <f>'Team Info'!$B$3</f>
        <v>0</v>
      </c>
      <c r="B544">
        <f>'Female SR Individual Speed'!A31</f>
        <v>5</v>
      </c>
      <c r="C544" t="str">
        <f>'Female SR Individual Speed'!B31</f>
        <v>FSRS</v>
      </c>
      <c r="D544">
        <f>'Female SR Individual Speed'!C31</f>
        <v>10</v>
      </c>
      <c r="E544">
        <f>'Female SR Individual Speed'!D31</f>
        <v>0</v>
      </c>
      <c r="I544" t="str">
        <f t="shared" si="15"/>
        <v>FSRS-Female Single Rope Speed</v>
      </c>
    </row>
    <row r="545" spans="1:9" x14ac:dyDescent="0.25">
      <c r="A545">
        <f>'Team Info'!$B$3</f>
        <v>0</v>
      </c>
      <c r="B545">
        <f>'Female SR Individual Speed'!A32</f>
        <v>6</v>
      </c>
      <c r="C545" t="str">
        <f>'Female SR Individual Speed'!B32</f>
        <v>FSRS</v>
      </c>
      <c r="D545">
        <f>'Female SR Individual Speed'!C32</f>
        <v>10</v>
      </c>
      <c r="E545">
        <f>'Female SR Individual Speed'!D32</f>
        <v>0</v>
      </c>
      <c r="I545" t="str">
        <f t="shared" si="15"/>
        <v>FSRS-Female Single Rope Speed</v>
      </c>
    </row>
    <row r="546" spans="1:9" x14ac:dyDescent="0.25">
      <c r="A546">
        <f>'Team Info'!$B$3</f>
        <v>0</v>
      </c>
      <c r="B546">
        <f>'Female SR Individual Speed'!A33</f>
        <v>7</v>
      </c>
      <c r="C546" t="str">
        <f>'Female SR Individual Speed'!B33</f>
        <v>FSRS</v>
      </c>
      <c r="D546">
        <f>'Female SR Individual Speed'!C33</f>
        <v>10</v>
      </c>
      <c r="E546">
        <f>'Female SR Individual Speed'!D33</f>
        <v>0</v>
      </c>
      <c r="I546" t="str">
        <f t="shared" si="15"/>
        <v>FSRS-Female Single Rope Speed</v>
      </c>
    </row>
    <row r="547" spans="1:9" x14ac:dyDescent="0.25">
      <c r="A547">
        <f>'Team Info'!$B$3</f>
        <v>0</v>
      </c>
      <c r="B547">
        <f>'Female SR Individual Speed'!A34</f>
        <v>8</v>
      </c>
      <c r="C547" t="str">
        <f>'Female SR Individual Speed'!B34</f>
        <v>FSRS</v>
      </c>
      <c r="D547">
        <f>'Female SR Individual Speed'!C34</f>
        <v>10</v>
      </c>
      <c r="E547">
        <f>'Female SR Individual Speed'!D34</f>
        <v>0</v>
      </c>
      <c r="I547" t="str">
        <f t="shared" si="15"/>
        <v>FSRS-Female Single Rope Speed</v>
      </c>
    </row>
    <row r="548" spans="1:9" x14ac:dyDescent="0.25">
      <c r="A548">
        <f>'Team Info'!$B$3</f>
        <v>0</v>
      </c>
      <c r="B548">
        <f>'Female SR Individual Speed'!A35</f>
        <v>9</v>
      </c>
      <c r="C548" t="str">
        <f>'Female SR Individual Speed'!B35</f>
        <v>FSRS</v>
      </c>
      <c r="D548">
        <f>'Female SR Individual Speed'!C35</f>
        <v>10</v>
      </c>
      <c r="E548">
        <f>'Female SR Individual Speed'!D35</f>
        <v>0</v>
      </c>
      <c r="I548" t="str">
        <f t="shared" si="15"/>
        <v>FSRS-Female Single Rope Speed</v>
      </c>
    </row>
    <row r="549" spans="1:9" x14ac:dyDescent="0.25">
      <c r="A549">
        <f>'Team Info'!$B$3</f>
        <v>0</v>
      </c>
      <c r="B549">
        <f>'Female SR Individual Speed'!A36</f>
        <v>10</v>
      </c>
      <c r="C549" t="str">
        <f>'Female SR Individual Speed'!B36</f>
        <v>FSRS</v>
      </c>
      <c r="D549">
        <f>'Female SR Individual Speed'!C36</f>
        <v>10</v>
      </c>
      <c r="E549">
        <f>'Female SR Individual Speed'!D36</f>
        <v>0</v>
      </c>
      <c r="I549" t="str">
        <f t="shared" si="15"/>
        <v>FSRS-Female Single Rope Speed</v>
      </c>
    </row>
    <row r="550" spans="1:9" x14ac:dyDescent="0.25">
      <c r="A550">
        <f>'Team Info'!$B$3</f>
        <v>0</v>
      </c>
      <c r="B550">
        <f>'Female SR Individual Speed'!A37</f>
        <v>11</v>
      </c>
      <c r="C550" t="str">
        <f>'Female SR Individual Speed'!B37</f>
        <v>FSRS</v>
      </c>
      <c r="D550">
        <f>'Female SR Individual Speed'!C37</f>
        <v>10</v>
      </c>
      <c r="E550">
        <f>'Female SR Individual Speed'!D37</f>
        <v>0</v>
      </c>
      <c r="I550" t="str">
        <f t="shared" si="15"/>
        <v>FSRS-Female Single Rope Speed</v>
      </c>
    </row>
    <row r="551" spans="1:9" x14ac:dyDescent="0.25">
      <c r="A551">
        <f>'Team Info'!$B$3</f>
        <v>0</v>
      </c>
      <c r="B551">
        <f>'Female SR Individual Speed'!A38</f>
        <v>12</v>
      </c>
      <c r="C551" t="str">
        <f>'Female SR Individual Speed'!B38</f>
        <v>FSRS</v>
      </c>
      <c r="D551">
        <f>'Female SR Individual Speed'!C38</f>
        <v>10</v>
      </c>
      <c r="E551">
        <f>'Female SR Individual Speed'!D38</f>
        <v>0</v>
      </c>
      <c r="I551" t="str">
        <f t="shared" si="15"/>
        <v>FSRS-Female Single Rope Speed</v>
      </c>
    </row>
    <row r="552" spans="1:9" x14ac:dyDescent="0.25">
      <c r="A552">
        <f>'Team Info'!$B$3</f>
        <v>0</v>
      </c>
      <c r="B552">
        <f>'Female SR Individual Speed'!A39</f>
        <v>13</v>
      </c>
      <c r="C552" t="str">
        <f>'Female SR Individual Speed'!B39</f>
        <v>FSRS</v>
      </c>
      <c r="D552">
        <f>'Female SR Individual Speed'!C39</f>
        <v>10</v>
      </c>
      <c r="E552">
        <f>'Female SR Individual Speed'!D39</f>
        <v>0</v>
      </c>
      <c r="I552" t="str">
        <f t="shared" si="15"/>
        <v>FSRS-Female Single Rope Speed</v>
      </c>
    </row>
    <row r="553" spans="1:9" x14ac:dyDescent="0.25">
      <c r="A553">
        <f>'Team Info'!$B$3</f>
        <v>0</v>
      </c>
      <c r="B553">
        <f>'Female SR Individual Speed'!A40</f>
        <v>14</v>
      </c>
      <c r="C553" t="str">
        <f>'Female SR Individual Speed'!B40</f>
        <v>FSRS</v>
      </c>
      <c r="D553">
        <f>'Female SR Individual Speed'!C40</f>
        <v>10</v>
      </c>
      <c r="E553">
        <f>'Female SR Individual Speed'!D40</f>
        <v>0</v>
      </c>
      <c r="I553" t="str">
        <f t="shared" si="15"/>
        <v>FSRS-Female Single Rope Speed</v>
      </c>
    </row>
    <row r="554" spans="1:9" x14ac:dyDescent="0.25">
      <c r="A554">
        <f>'Team Info'!$B$3</f>
        <v>0</v>
      </c>
      <c r="B554">
        <f>'Female SR Individual Speed'!A41</f>
        <v>15</v>
      </c>
      <c r="C554" t="str">
        <f>'Female SR Individual Speed'!B41</f>
        <v>FSRS</v>
      </c>
      <c r="D554">
        <f>'Female SR Individual Speed'!C41</f>
        <v>10</v>
      </c>
      <c r="E554">
        <f>'Female SR Individual Speed'!D41</f>
        <v>0</v>
      </c>
      <c r="I554" t="str">
        <f t="shared" si="15"/>
        <v>FSRS-Female Single Rope Speed</v>
      </c>
    </row>
    <row r="555" spans="1:9" x14ac:dyDescent="0.25">
      <c r="A555">
        <f>'Team Info'!$B$3</f>
        <v>0</v>
      </c>
      <c r="B555">
        <f>'Female SR Individual Speed'!A42</f>
        <v>16</v>
      </c>
      <c r="C555" t="str">
        <f>'Female SR Individual Speed'!B42</f>
        <v>FSRS</v>
      </c>
      <c r="D555">
        <f>'Female SR Individual Speed'!C42</f>
        <v>10</v>
      </c>
      <c r="E555">
        <f>'Female SR Individual Speed'!D42</f>
        <v>0</v>
      </c>
      <c r="I555" t="str">
        <f t="shared" si="15"/>
        <v>FSRS-Female Single Rope Speed</v>
      </c>
    </row>
    <row r="556" spans="1:9" x14ac:dyDescent="0.25">
      <c r="A556">
        <f>'Team Info'!$B$3</f>
        <v>0</v>
      </c>
      <c r="B556">
        <f>'Female SR Individual Speed'!A43</f>
        <v>17</v>
      </c>
      <c r="C556" t="str">
        <f>'Female SR Individual Speed'!B43</f>
        <v>FSRS</v>
      </c>
      <c r="D556">
        <f>'Female SR Individual Speed'!C43</f>
        <v>10</v>
      </c>
      <c r="E556">
        <f>'Female SR Individual Speed'!D43</f>
        <v>0</v>
      </c>
      <c r="I556" t="str">
        <f t="shared" si="15"/>
        <v>FSRS-Female Single Rope Speed</v>
      </c>
    </row>
    <row r="557" spans="1:9" x14ac:dyDescent="0.25">
      <c r="A557">
        <f>'Team Info'!$B$3</f>
        <v>0</v>
      </c>
      <c r="B557">
        <f>'Female SR Individual Speed'!A44</f>
        <v>18</v>
      </c>
      <c r="C557" t="str">
        <f>'Female SR Individual Speed'!B44</f>
        <v>FSRS</v>
      </c>
      <c r="D557">
        <f>'Female SR Individual Speed'!C44</f>
        <v>10</v>
      </c>
      <c r="E557">
        <f>'Female SR Individual Speed'!D44</f>
        <v>0</v>
      </c>
      <c r="I557" t="str">
        <f t="shared" si="15"/>
        <v>FSRS-Female Single Rope Speed</v>
      </c>
    </row>
    <row r="558" spans="1:9" x14ac:dyDescent="0.25">
      <c r="A558">
        <f>'Team Info'!$B$3</f>
        <v>0</v>
      </c>
      <c r="B558">
        <f>'Female SR Individual Speed'!A45</f>
        <v>19</v>
      </c>
      <c r="C558" t="str">
        <f>'Female SR Individual Speed'!B45</f>
        <v>FSRS</v>
      </c>
      <c r="D558">
        <f>'Female SR Individual Speed'!C45</f>
        <v>10</v>
      </c>
      <c r="E558">
        <f>'Female SR Individual Speed'!D45</f>
        <v>0</v>
      </c>
      <c r="I558" t="str">
        <f t="shared" si="15"/>
        <v>FSRS-Female Single Rope Speed</v>
      </c>
    </row>
    <row r="559" spans="1:9" x14ac:dyDescent="0.25">
      <c r="A559">
        <f>'Team Info'!$B$3</f>
        <v>0</v>
      </c>
      <c r="B559">
        <f>'Female SR Individual Speed'!A46</f>
        <v>20</v>
      </c>
      <c r="C559" t="str">
        <f>'Female SR Individual Speed'!B46</f>
        <v>FSRS</v>
      </c>
      <c r="D559">
        <f>'Female SR Individual Speed'!C46</f>
        <v>10</v>
      </c>
      <c r="E559">
        <f>'Female SR Individual Speed'!D46</f>
        <v>0</v>
      </c>
      <c r="I559" t="str">
        <f t="shared" si="15"/>
        <v>FSRS-Female Single Rope Speed</v>
      </c>
    </row>
    <row r="560" spans="1:9" x14ac:dyDescent="0.25">
      <c r="A560">
        <f>'Team Info'!$B$3</f>
        <v>0</v>
      </c>
      <c r="B560">
        <f>'Female SR Individual Speed'!H27</f>
        <v>1</v>
      </c>
      <c r="C560" t="str">
        <f>'Female SR Individual Speed'!I27</f>
        <v>FSRS</v>
      </c>
      <c r="D560">
        <f>'Female SR Individual Speed'!J27</f>
        <v>11</v>
      </c>
      <c r="E560">
        <f>'Female SR Individual Speed'!K27</f>
        <v>0</v>
      </c>
      <c r="I560" t="str">
        <f t="shared" si="15"/>
        <v>FSRS-Female Single Rope Speed</v>
      </c>
    </row>
    <row r="561" spans="1:9" x14ac:dyDescent="0.25">
      <c r="A561">
        <f>'Team Info'!$B$3</f>
        <v>0</v>
      </c>
      <c r="B561">
        <f>'Female SR Individual Speed'!H28</f>
        <v>2</v>
      </c>
      <c r="C561" t="str">
        <f>'Female SR Individual Speed'!I28</f>
        <v>FSRS</v>
      </c>
      <c r="D561">
        <f>'Female SR Individual Speed'!J28</f>
        <v>11</v>
      </c>
      <c r="E561">
        <f>'Female SR Individual Speed'!K28</f>
        <v>0</v>
      </c>
      <c r="I561" t="str">
        <f t="shared" si="15"/>
        <v>FSRS-Female Single Rope Speed</v>
      </c>
    </row>
    <row r="562" spans="1:9" x14ac:dyDescent="0.25">
      <c r="A562">
        <f>'Team Info'!$B$3</f>
        <v>0</v>
      </c>
      <c r="B562">
        <f>'Female SR Individual Speed'!H29</f>
        <v>3</v>
      </c>
      <c r="C562" t="str">
        <f>'Female SR Individual Speed'!I29</f>
        <v>FSRS</v>
      </c>
      <c r="D562">
        <f>'Female SR Individual Speed'!J29</f>
        <v>11</v>
      </c>
      <c r="E562">
        <f>'Female SR Individual Speed'!K29</f>
        <v>0</v>
      </c>
      <c r="I562" t="str">
        <f t="shared" si="15"/>
        <v>FSRS-Female Single Rope Speed</v>
      </c>
    </row>
    <row r="563" spans="1:9" x14ac:dyDescent="0.25">
      <c r="A563">
        <f>'Team Info'!$B$3</f>
        <v>0</v>
      </c>
      <c r="B563">
        <f>'Female SR Individual Speed'!H30</f>
        <v>4</v>
      </c>
      <c r="C563" t="str">
        <f>'Female SR Individual Speed'!I30</f>
        <v>FSRS</v>
      </c>
      <c r="D563">
        <f>'Female SR Individual Speed'!J30</f>
        <v>11</v>
      </c>
      <c r="E563">
        <f>'Female SR Individual Speed'!K30</f>
        <v>0</v>
      </c>
      <c r="I563" t="str">
        <f t="shared" si="15"/>
        <v>FSRS-Female Single Rope Speed</v>
      </c>
    </row>
    <row r="564" spans="1:9" x14ac:dyDescent="0.25">
      <c r="A564">
        <f>'Team Info'!$B$3</f>
        <v>0</v>
      </c>
      <c r="B564">
        <f>'Female SR Individual Speed'!H31</f>
        <v>5</v>
      </c>
      <c r="C564" t="str">
        <f>'Female SR Individual Speed'!I31</f>
        <v>FSRS</v>
      </c>
      <c r="D564">
        <f>'Female SR Individual Speed'!J31</f>
        <v>11</v>
      </c>
      <c r="E564">
        <f>'Female SR Individual Speed'!K31</f>
        <v>0</v>
      </c>
      <c r="I564" t="str">
        <f t="shared" si="15"/>
        <v>FSRS-Female Single Rope Speed</v>
      </c>
    </row>
    <row r="565" spans="1:9" x14ac:dyDescent="0.25">
      <c r="A565">
        <f>'Team Info'!$B$3</f>
        <v>0</v>
      </c>
      <c r="B565">
        <f>'Female SR Individual Speed'!H32</f>
        <v>6</v>
      </c>
      <c r="C565" t="str">
        <f>'Female SR Individual Speed'!I32</f>
        <v>FSRS</v>
      </c>
      <c r="D565">
        <f>'Female SR Individual Speed'!J32</f>
        <v>11</v>
      </c>
      <c r="E565">
        <f>'Female SR Individual Speed'!K32</f>
        <v>0</v>
      </c>
      <c r="I565" t="str">
        <f t="shared" si="15"/>
        <v>FSRS-Female Single Rope Speed</v>
      </c>
    </row>
    <row r="566" spans="1:9" x14ac:dyDescent="0.25">
      <c r="A566">
        <f>'Team Info'!$B$3</f>
        <v>0</v>
      </c>
      <c r="B566">
        <f>'Female SR Individual Speed'!H33</f>
        <v>7</v>
      </c>
      <c r="C566" t="str">
        <f>'Female SR Individual Speed'!I33</f>
        <v>FSRS</v>
      </c>
      <c r="D566">
        <f>'Female SR Individual Speed'!J33</f>
        <v>11</v>
      </c>
      <c r="E566">
        <f>'Female SR Individual Speed'!K33</f>
        <v>0</v>
      </c>
      <c r="I566" t="str">
        <f t="shared" si="15"/>
        <v>FSRS-Female Single Rope Speed</v>
      </c>
    </row>
    <row r="567" spans="1:9" x14ac:dyDescent="0.25">
      <c r="A567">
        <f>'Team Info'!$B$3</f>
        <v>0</v>
      </c>
      <c r="B567">
        <f>'Female SR Individual Speed'!H34</f>
        <v>8</v>
      </c>
      <c r="C567" t="str">
        <f>'Female SR Individual Speed'!I34</f>
        <v>FSRS</v>
      </c>
      <c r="D567">
        <f>'Female SR Individual Speed'!J34</f>
        <v>11</v>
      </c>
      <c r="E567">
        <f>'Female SR Individual Speed'!K34</f>
        <v>0</v>
      </c>
      <c r="I567" t="str">
        <f t="shared" si="15"/>
        <v>FSRS-Female Single Rope Speed</v>
      </c>
    </row>
    <row r="568" spans="1:9" x14ac:dyDescent="0.25">
      <c r="A568">
        <f>'Team Info'!$B$3</f>
        <v>0</v>
      </c>
      <c r="B568">
        <f>'Female SR Individual Speed'!H35</f>
        <v>9</v>
      </c>
      <c r="C568" t="str">
        <f>'Female SR Individual Speed'!I35</f>
        <v>FSRS</v>
      </c>
      <c r="D568">
        <f>'Female SR Individual Speed'!J35</f>
        <v>11</v>
      </c>
      <c r="E568">
        <f>'Female SR Individual Speed'!K35</f>
        <v>0</v>
      </c>
      <c r="I568" t="str">
        <f t="shared" si="15"/>
        <v>FSRS-Female Single Rope Speed</v>
      </c>
    </row>
    <row r="569" spans="1:9" x14ac:dyDescent="0.25">
      <c r="A569">
        <f>'Team Info'!$B$3</f>
        <v>0</v>
      </c>
      <c r="B569">
        <f>'Female SR Individual Speed'!H36</f>
        <v>10</v>
      </c>
      <c r="C569" t="str">
        <f>'Female SR Individual Speed'!I36</f>
        <v>FSRS</v>
      </c>
      <c r="D569">
        <f>'Female SR Individual Speed'!J36</f>
        <v>11</v>
      </c>
      <c r="E569">
        <f>'Female SR Individual Speed'!K36</f>
        <v>0</v>
      </c>
      <c r="I569" t="str">
        <f t="shared" si="15"/>
        <v>FSRS-Female Single Rope Speed</v>
      </c>
    </row>
    <row r="570" spans="1:9" x14ac:dyDescent="0.25">
      <c r="A570">
        <f>'Team Info'!$B$3</f>
        <v>0</v>
      </c>
      <c r="B570">
        <f>'Female SR Individual Speed'!H37</f>
        <v>11</v>
      </c>
      <c r="C570" t="str">
        <f>'Female SR Individual Speed'!I37</f>
        <v>FSRS</v>
      </c>
      <c r="D570">
        <f>'Female SR Individual Speed'!J37</f>
        <v>11</v>
      </c>
      <c r="E570">
        <f>'Female SR Individual Speed'!K37</f>
        <v>0</v>
      </c>
      <c r="I570" t="str">
        <f t="shared" si="15"/>
        <v>FSRS-Female Single Rope Speed</v>
      </c>
    </row>
    <row r="571" spans="1:9" x14ac:dyDescent="0.25">
      <c r="A571">
        <f>'Team Info'!$B$3</f>
        <v>0</v>
      </c>
      <c r="B571">
        <f>'Female SR Individual Speed'!H38</f>
        <v>12</v>
      </c>
      <c r="C571" t="str">
        <f>'Female SR Individual Speed'!I38</f>
        <v>FSRS</v>
      </c>
      <c r="D571">
        <f>'Female SR Individual Speed'!J38</f>
        <v>11</v>
      </c>
      <c r="E571">
        <f>'Female SR Individual Speed'!K38</f>
        <v>0</v>
      </c>
      <c r="I571" t="str">
        <f t="shared" si="15"/>
        <v>FSRS-Female Single Rope Speed</v>
      </c>
    </row>
    <row r="572" spans="1:9" x14ac:dyDescent="0.25">
      <c r="A572">
        <f>'Team Info'!$B$3</f>
        <v>0</v>
      </c>
      <c r="B572">
        <f>'Female SR Individual Speed'!H39</f>
        <v>13</v>
      </c>
      <c r="C572" t="str">
        <f>'Female SR Individual Speed'!I39</f>
        <v>FSRS</v>
      </c>
      <c r="D572">
        <f>'Female SR Individual Speed'!J39</f>
        <v>11</v>
      </c>
      <c r="E572">
        <f>'Female SR Individual Speed'!K39</f>
        <v>0</v>
      </c>
      <c r="I572" t="str">
        <f t="shared" si="15"/>
        <v>FSRS-Female Single Rope Speed</v>
      </c>
    </row>
    <row r="573" spans="1:9" x14ac:dyDescent="0.25">
      <c r="A573">
        <f>'Team Info'!$B$3</f>
        <v>0</v>
      </c>
      <c r="B573">
        <f>'Female SR Individual Speed'!H40</f>
        <v>14</v>
      </c>
      <c r="C573" t="str">
        <f>'Female SR Individual Speed'!I40</f>
        <v>FSRS</v>
      </c>
      <c r="D573">
        <f>'Female SR Individual Speed'!J40</f>
        <v>11</v>
      </c>
      <c r="E573">
        <f>'Female SR Individual Speed'!K40</f>
        <v>0</v>
      </c>
      <c r="I573" t="str">
        <f t="shared" si="15"/>
        <v>FSRS-Female Single Rope Speed</v>
      </c>
    </row>
    <row r="574" spans="1:9" x14ac:dyDescent="0.25">
      <c r="A574">
        <f>'Team Info'!$B$3</f>
        <v>0</v>
      </c>
      <c r="B574">
        <f>'Female SR Individual Speed'!H41</f>
        <v>15</v>
      </c>
      <c r="C574" t="str">
        <f>'Female SR Individual Speed'!I41</f>
        <v>FSRS</v>
      </c>
      <c r="D574">
        <f>'Female SR Individual Speed'!J41</f>
        <v>11</v>
      </c>
      <c r="E574">
        <f>'Female SR Individual Speed'!K41</f>
        <v>0</v>
      </c>
      <c r="I574" t="str">
        <f t="shared" si="15"/>
        <v>FSRS-Female Single Rope Speed</v>
      </c>
    </row>
    <row r="575" spans="1:9" x14ac:dyDescent="0.25">
      <c r="A575">
        <f>'Team Info'!$B$3</f>
        <v>0</v>
      </c>
      <c r="B575">
        <f>'Female SR Individual Speed'!H42</f>
        <v>16</v>
      </c>
      <c r="C575" t="str">
        <f>'Female SR Individual Speed'!I42</f>
        <v>FSRS</v>
      </c>
      <c r="D575">
        <f>'Female SR Individual Speed'!J42</f>
        <v>11</v>
      </c>
      <c r="E575">
        <f>'Female SR Individual Speed'!K42</f>
        <v>0</v>
      </c>
      <c r="I575" t="str">
        <f t="shared" si="15"/>
        <v>FSRS-Female Single Rope Speed</v>
      </c>
    </row>
    <row r="576" spans="1:9" x14ac:dyDescent="0.25">
      <c r="A576">
        <f>'Team Info'!$B$3</f>
        <v>0</v>
      </c>
      <c r="B576">
        <f>'Female SR Individual Speed'!H43</f>
        <v>17</v>
      </c>
      <c r="C576" t="str">
        <f>'Female SR Individual Speed'!I43</f>
        <v>FSRS</v>
      </c>
      <c r="D576">
        <f>'Female SR Individual Speed'!J43</f>
        <v>11</v>
      </c>
      <c r="E576">
        <f>'Female SR Individual Speed'!K43</f>
        <v>0</v>
      </c>
      <c r="I576" t="str">
        <f t="shared" si="15"/>
        <v>FSRS-Female Single Rope Speed</v>
      </c>
    </row>
    <row r="577" spans="1:9" x14ac:dyDescent="0.25">
      <c r="A577">
        <f>'Team Info'!$B$3</f>
        <v>0</v>
      </c>
      <c r="B577">
        <f>'Female SR Individual Speed'!H44</f>
        <v>18</v>
      </c>
      <c r="C577" t="str">
        <f>'Female SR Individual Speed'!I44</f>
        <v>FSRS</v>
      </c>
      <c r="D577">
        <f>'Female SR Individual Speed'!J44</f>
        <v>11</v>
      </c>
      <c r="E577">
        <f>'Female SR Individual Speed'!K44</f>
        <v>0</v>
      </c>
      <c r="I577" t="str">
        <f t="shared" ref="I577:I640" si="17">VLOOKUP(C577,EVENTS,2,FALSE)</f>
        <v>FSRS-Female Single Rope Speed</v>
      </c>
    </row>
    <row r="578" spans="1:9" x14ac:dyDescent="0.25">
      <c r="A578">
        <f>'Team Info'!$B$3</f>
        <v>0</v>
      </c>
      <c r="B578">
        <f>'Female SR Individual Speed'!H45</f>
        <v>19</v>
      </c>
      <c r="C578" t="str">
        <f>'Female SR Individual Speed'!I45</f>
        <v>FSRS</v>
      </c>
      <c r="D578">
        <f>'Female SR Individual Speed'!J45</f>
        <v>11</v>
      </c>
      <c r="E578">
        <f>'Female SR Individual Speed'!K45</f>
        <v>0</v>
      </c>
      <c r="I578" t="str">
        <f t="shared" si="17"/>
        <v>FSRS-Female Single Rope Speed</v>
      </c>
    </row>
    <row r="579" spans="1:9" x14ac:dyDescent="0.25">
      <c r="A579">
        <f>'Team Info'!$B$3</f>
        <v>0</v>
      </c>
      <c r="B579">
        <f>'Female SR Individual Speed'!H46</f>
        <v>20</v>
      </c>
      <c r="C579" t="str">
        <f>'Female SR Individual Speed'!I46</f>
        <v>FSRS</v>
      </c>
      <c r="D579">
        <f>'Female SR Individual Speed'!J46</f>
        <v>11</v>
      </c>
      <c r="E579">
        <f>'Female SR Individual Speed'!K46</f>
        <v>0</v>
      </c>
      <c r="I579" t="str">
        <f t="shared" si="17"/>
        <v>FSRS-Female Single Rope Speed</v>
      </c>
    </row>
    <row r="580" spans="1:9" x14ac:dyDescent="0.25">
      <c r="A580">
        <f>'Team Info'!$B$3</f>
        <v>0</v>
      </c>
      <c r="B580">
        <f>'Female SR Individual Speed'!A49</f>
        <v>1</v>
      </c>
      <c r="C580" t="str">
        <f>'Female SR Individual Speed'!B49</f>
        <v>FSRS</v>
      </c>
      <c r="D580">
        <f>'Female SR Individual Speed'!C49</f>
        <v>12</v>
      </c>
      <c r="E580">
        <f>'Female SR Individual Speed'!D49</f>
        <v>0</v>
      </c>
      <c r="I580" t="str">
        <f t="shared" si="17"/>
        <v>FSRS-Female Single Rope Speed</v>
      </c>
    </row>
    <row r="581" spans="1:9" x14ac:dyDescent="0.25">
      <c r="A581">
        <f>'Team Info'!$B$3</f>
        <v>0</v>
      </c>
      <c r="B581">
        <f>'Female SR Individual Speed'!A50</f>
        <v>2</v>
      </c>
      <c r="C581" t="str">
        <f>'Female SR Individual Speed'!B50</f>
        <v>FSRS</v>
      </c>
      <c r="D581">
        <f>'Female SR Individual Speed'!C50</f>
        <v>12</v>
      </c>
      <c r="E581">
        <f>'Female SR Individual Speed'!D50</f>
        <v>0</v>
      </c>
      <c r="I581" t="str">
        <f t="shared" si="17"/>
        <v>FSRS-Female Single Rope Speed</v>
      </c>
    </row>
    <row r="582" spans="1:9" x14ac:dyDescent="0.25">
      <c r="A582">
        <f>'Team Info'!$B$3</f>
        <v>0</v>
      </c>
      <c r="B582">
        <f>'Female SR Individual Speed'!A51</f>
        <v>3</v>
      </c>
      <c r="C582" t="str">
        <f>'Female SR Individual Speed'!B51</f>
        <v>FSRS</v>
      </c>
      <c r="D582">
        <f>'Female SR Individual Speed'!C51</f>
        <v>12</v>
      </c>
      <c r="E582">
        <f>'Female SR Individual Speed'!D51</f>
        <v>0</v>
      </c>
      <c r="I582" t="str">
        <f t="shared" si="17"/>
        <v>FSRS-Female Single Rope Speed</v>
      </c>
    </row>
    <row r="583" spans="1:9" x14ac:dyDescent="0.25">
      <c r="A583">
        <f>'Team Info'!$B$3</f>
        <v>0</v>
      </c>
      <c r="B583">
        <f>'Female SR Individual Speed'!A52</f>
        <v>4</v>
      </c>
      <c r="C583" t="str">
        <f>'Female SR Individual Speed'!B52</f>
        <v>FSRS</v>
      </c>
      <c r="D583">
        <f>'Female SR Individual Speed'!C52</f>
        <v>12</v>
      </c>
      <c r="E583">
        <f>'Female SR Individual Speed'!D52</f>
        <v>0</v>
      </c>
      <c r="I583" t="str">
        <f t="shared" si="17"/>
        <v>FSRS-Female Single Rope Speed</v>
      </c>
    </row>
    <row r="584" spans="1:9" x14ac:dyDescent="0.25">
      <c r="A584">
        <f>'Team Info'!$B$3</f>
        <v>0</v>
      </c>
      <c r="B584">
        <f>'Female SR Individual Speed'!A53</f>
        <v>5</v>
      </c>
      <c r="C584" t="str">
        <f>'Female SR Individual Speed'!B53</f>
        <v>FSRS</v>
      </c>
      <c r="D584">
        <f>'Female SR Individual Speed'!C53</f>
        <v>12</v>
      </c>
      <c r="E584">
        <f>'Female SR Individual Speed'!D53</f>
        <v>0</v>
      </c>
      <c r="I584" t="str">
        <f t="shared" si="17"/>
        <v>FSRS-Female Single Rope Speed</v>
      </c>
    </row>
    <row r="585" spans="1:9" x14ac:dyDescent="0.25">
      <c r="A585">
        <f>'Team Info'!$B$3</f>
        <v>0</v>
      </c>
      <c r="B585">
        <f>'Female SR Individual Speed'!A54</f>
        <v>6</v>
      </c>
      <c r="C585" t="str">
        <f>'Female SR Individual Speed'!B54</f>
        <v>FSRS</v>
      </c>
      <c r="D585">
        <f>'Female SR Individual Speed'!C54</f>
        <v>12</v>
      </c>
      <c r="E585">
        <f>'Female SR Individual Speed'!D54</f>
        <v>0</v>
      </c>
      <c r="I585" t="str">
        <f t="shared" si="17"/>
        <v>FSRS-Female Single Rope Speed</v>
      </c>
    </row>
    <row r="586" spans="1:9" x14ac:dyDescent="0.25">
      <c r="A586">
        <f>'Team Info'!$B$3</f>
        <v>0</v>
      </c>
      <c r="B586">
        <f>'Female SR Individual Speed'!A55</f>
        <v>7</v>
      </c>
      <c r="C586" t="str">
        <f>'Female SR Individual Speed'!B55</f>
        <v>FSRS</v>
      </c>
      <c r="D586">
        <f>'Female SR Individual Speed'!C55</f>
        <v>12</v>
      </c>
      <c r="E586">
        <f>'Female SR Individual Speed'!D55</f>
        <v>0</v>
      </c>
      <c r="I586" t="str">
        <f t="shared" si="17"/>
        <v>FSRS-Female Single Rope Speed</v>
      </c>
    </row>
    <row r="587" spans="1:9" x14ac:dyDescent="0.25">
      <c r="A587">
        <f>'Team Info'!$B$3</f>
        <v>0</v>
      </c>
      <c r="B587">
        <f>'Female SR Individual Speed'!A56</f>
        <v>8</v>
      </c>
      <c r="C587" t="str">
        <f>'Female SR Individual Speed'!B56</f>
        <v>FSRS</v>
      </c>
      <c r="D587">
        <f>'Female SR Individual Speed'!C56</f>
        <v>12</v>
      </c>
      <c r="E587">
        <f>'Female SR Individual Speed'!D56</f>
        <v>0</v>
      </c>
      <c r="I587" t="str">
        <f t="shared" si="17"/>
        <v>FSRS-Female Single Rope Speed</v>
      </c>
    </row>
    <row r="588" spans="1:9" x14ac:dyDescent="0.25">
      <c r="A588">
        <f>'Team Info'!$B$3</f>
        <v>0</v>
      </c>
      <c r="B588">
        <f>'Female SR Individual Speed'!A57</f>
        <v>9</v>
      </c>
      <c r="C588" t="str">
        <f>'Female SR Individual Speed'!B57</f>
        <v>FSRS</v>
      </c>
      <c r="D588">
        <f>'Female SR Individual Speed'!C57</f>
        <v>12</v>
      </c>
      <c r="E588">
        <f>'Female SR Individual Speed'!D57</f>
        <v>0</v>
      </c>
      <c r="I588" t="str">
        <f t="shared" si="17"/>
        <v>FSRS-Female Single Rope Speed</v>
      </c>
    </row>
    <row r="589" spans="1:9" x14ac:dyDescent="0.25">
      <c r="A589">
        <f>'Team Info'!$B$3</f>
        <v>0</v>
      </c>
      <c r="B589">
        <f>'Female SR Individual Speed'!A58</f>
        <v>10</v>
      </c>
      <c r="C589" t="str">
        <f>'Female SR Individual Speed'!B58</f>
        <v>FSRS</v>
      </c>
      <c r="D589">
        <f>'Female SR Individual Speed'!C58</f>
        <v>12</v>
      </c>
      <c r="E589">
        <f>'Female SR Individual Speed'!D58</f>
        <v>0</v>
      </c>
      <c r="I589" t="str">
        <f t="shared" si="17"/>
        <v>FSRS-Female Single Rope Speed</v>
      </c>
    </row>
    <row r="590" spans="1:9" x14ac:dyDescent="0.25">
      <c r="A590">
        <f>'Team Info'!$B$3</f>
        <v>0</v>
      </c>
      <c r="B590">
        <f>'Female SR Individual Speed'!A59</f>
        <v>11</v>
      </c>
      <c r="C590" t="str">
        <f>'Female SR Individual Speed'!B59</f>
        <v>FSRS</v>
      </c>
      <c r="D590">
        <f>'Female SR Individual Speed'!C59</f>
        <v>12</v>
      </c>
      <c r="E590">
        <f>'Female SR Individual Speed'!D59</f>
        <v>0</v>
      </c>
      <c r="I590" t="str">
        <f t="shared" si="17"/>
        <v>FSRS-Female Single Rope Speed</v>
      </c>
    </row>
    <row r="591" spans="1:9" x14ac:dyDescent="0.25">
      <c r="A591">
        <f>'Team Info'!$B$3</f>
        <v>0</v>
      </c>
      <c r="B591">
        <f>'Female SR Individual Speed'!A60</f>
        <v>12</v>
      </c>
      <c r="C591" t="str">
        <f>'Female SR Individual Speed'!B60</f>
        <v>FSRS</v>
      </c>
      <c r="D591">
        <f>'Female SR Individual Speed'!C60</f>
        <v>12</v>
      </c>
      <c r="E591">
        <f>'Female SR Individual Speed'!D60</f>
        <v>0</v>
      </c>
      <c r="I591" t="str">
        <f t="shared" si="17"/>
        <v>FSRS-Female Single Rope Speed</v>
      </c>
    </row>
    <row r="592" spans="1:9" x14ac:dyDescent="0.25">
      <c r="A592">
        <f>'Team Info'!$B$3</f>
        <v>0</v>
      </c>
      <c r="B592">
        <f>'Female SR Individual Speed'!A61</f>
        <v>13</v>
      </c>
      <c r="C592" t="str">
        <f>'Female SR Individual Speed'!B61</f>
        <v>FSRS</v>
      </c>
      <c r="D592">
        <f>'Female SR Individual Speed'!C61</f>
        <v>12</v>
      </c>
      <c r="E592">
        <f>'Female SR Individual Speed'!D61</f>
        <v>0</v>
      </c>
      <c r="I592" t="str">
        <f t="shared" si="17"/>
        <v>FSRS-Female Single Rope Speed</v>
      </c>
    </row>
    <row r="593" spans="1:9" x14ac:dyDescent="0.25">
      <c r="A593">
        <f>'Team Info'!$B$3</f>
        <v>0</v>
      </c>
      <c r="B593">
        <f>'Female SR Individual Speed'!A62</f>
        <v>14</v>
      </c>
      <c r="C593" t="str">
        <f>'Female SR Individual Speed'!B62</f>
        <v>FSRS</v>
      </c>
      <c r="D593">
        <f>'Female SR Individual Speed'!C62</f>
        <v>12</v>
      </c>
      <c r="E593">
        <f>'Female SR Individual Speed'!D62</f>
        <v>0</v>
      </c>
      <c r="I593" t="str">
        <f t="shared" si="17"/>
        <v>FSRS-Female Single Rope Speed</v>
      </c>
    </row>
    <row r="594" spans="1:9" x14ac:dyDescent="0.25">
      <c r="A594">
        <f>'Team Info'!$B$3</f>
        <v>0</v>
      </c>
      <c r="B594">
        <f>'Female SR Individual Speed'!A63</f>
        <v>15</v>
      </c>
      <c r="C594" t="str">
        <f>'Female SR Individual Speed'!B63</f>
        <v>FSRS</v>
      </c>
      <c r="D594">
        <f>'Female SR Individual Speed'!C63</f>
        <v>12</v>
      </c>
      <c r="E594">
        <f>'Female SR Individual Speed'!D63</f>
        <v>0</v>
      </c>
      <c r="I594" t="str">
        <f t="shared" si="17"/>
        <v>FSRS-Female Single Rope Speed</v>
      </c>
    </row>
    <row r="595" spans="1:9" x14ac:dyDescent="0.25">
      <c r="A595">
        <f>'Team Info'!$B$3</f>
        <v>0</v>
      </c>
      <c r="B595">
        <f>'Female SR Individual Speed'!A64</f>
        <v>16</v>
      </c>
      <c r="C595" t="str">
        <f>'Female SR Individual Speed'!B64</f>
        <v>FSRS</v>
      </c>
      <c r="D595">
        <f>'Female SR Individual Speed'!C64</f>
        <v>12</v>
      </c>
      <c r="E595">
        <f>'Female SR Individual Speed'!D64</f>
        <v>0</v>
      </c>
      <c r="I595" t="str">
        <f t="shared" si="17"/>
        <v>FSRS-Female Single Rope Speed</v>
      </c>
    </row>
    <row r="596" spans="1:9" x14ac:dyDescent="0.25">
      <c r="A596">
        <f>'Team Info'!$B$3</f>
        <v>0</v>
      </c>
      <c r="B596">
        <f>'Female SR Individual Speed'!A65</f>
        <v>17</v>
      </c>
      <c r="C596" t="str">
        <f>'Female SR Individual Speed'!B65</f>
        <v>FSRS</v>
      </c>
      <c r="D596">
        <f>'Female SR Individual Speed'!C65</f>
        <v>12</v>
      </c>
      <c r="E596">
        <f>'Female SR Individual Speed'!D65</f>
        <v>0</v>
      </c>
      <c r="I596" t="str">
        <f t="shared" si="17"/>
        <v>FSRS-Female Single Rope Speed</v>
      </c>
    </row>
    <row r="597" spans="1:9" x14ac:dyDescent="0.25">
      <c r="A597">
        <f>'Team Info'!$B$3</f>
        <v>0</v>
      </c>
      <c r="B597">
        <f>'Female SR Individual Speed'!A66</f>
        <v>18</v>
      </c>
      <c r="C597" t="str">
        <f>'Female SR Individual Speed'!B66</f>
        <v>FSRS</v>
      </c>
      <c r="D597">
        <f>'Female SR Individual Speed'!C66</f>
        <v>12</v>
      </c>
      <c r="E597">
        <f>'Female SR Individual Speed'!D66</f>
        <v>0</v>
      </c>
      <c r="I597" t="str">
        <f t="shared" si="17"/>
        <v>FSRS-Female Single Rope Speed</v>
      </c>
    </row>
    <row r="598" spans="1:9" x14ac:dyDescent="0.25">
      <c r="A598">
        <f>'Team Info'!$B$3</f>
        <v>0</v>
      </c>
      <c r="B598">
        <f>'Female SR Individual Speed'!A67</f>
        <v>19</v>
      </c>
      <c r="C598" t="str">
        <f>'Female SR Individual Speed'!B67</f>
        <v>FSRS</v>
      </c>
      <c r="D598">
        <f>'Female SR Individual Speed'!C67</f>
        <v>12</v>
      </c>
      <c r="E598">
        <f>'Female SR Individual Speed'!D67</f>
        <v>0</v>
      </c>
      <c r="I598" t="str">
        <f t="shared" si="17"/>
        <v>FSRS-Female Single Rope Speed</v>
      </c>
    </row>
    <row r="599" spans="1:9" x14ac:dyDescent="0.25">
      <c r="A599">
        <f>'Team Info'!$B$3</f>
        <v>0</v>
      </c>
      <c r="B599">
        <f>'Female SR Individual Speed'!A68</f>
        <v>20</v>
      </c>
      <c r="C599" t="str">
        <f>'Female SR Individual Speed'!B68</f>
        <v>FSRS</v>
      </c>
      <c r="D599">
        <f>'Female SR Individual Speed'!C68</f>
        <v>12</v>
      </c>
      <c r="E599">
        <f>'Female SR Individual Speed'!D68</f>
        <v>0</v>
      </c>
      <c r="I599" t="str">
        <f t="shared" si="17"/>
        <v>FSRS-Female Single Rope Speed</v>
      </c>
    </row>
    <row r="600" spans="1:9" x14ac:dyDescent="0.25">
      <c r="A600">
        <f>'Team Info'!$B$3</f>
        <v>0</v>
      </c>
      <c r="B600">
        <f>'Female SR Individual Speed'!H49</f>
        <v>1</v>
      </c>
      <c r="C600" t="str">
        <f>'Female SR Individual Speed'!I49</f>
        <v>FSRS</v>
      </c>
      <c r="D600">
        <f>'Female SR Individual Speed'!J49</f>
        <v>13</v>
      </c>
      <c r="E600">
        <f>'Female SR Individual Speed'!K49</f>
        <v>0</v>
      </c>
      <c r="I600" t="str">
        <f t="shared" si="17"/>
        <v>FSRS-Female Single Rope Speed</v>
      </c>
    </row>
    <row r="601" spans="1:9" x14ac:dyDescent="0.25">
      <c r="A601">
        <f>'Team Info'!$B$3</f>
        <v>0</v>
      </c>
      <c r="B601">
        <f>'Female SR Individual Speed'!H50</f>
        <v>2</v>
      </c>
      <c r="C601" t="str">
        <f>'Female SR Individual Speed'!I50</f>
        <v>FSRS</v>
      </c>
      <c r="D601">
        <f>'Female SR Individual Speed'!J50</f>
        <v>13</v>
      </c>
      <c r="E601">
        <f>'Female SR Individual Speed'!K50</f>
        <v>0</v>
      </c>
      <c r="I601" t="str">
        <f t="shared" si="17"/>
        <v>FSRS-Female Single Rope Speed</v>
      </c>
    </row>
    <row r="602" spans="1:9" x14ac:dyDescent="0.25">
      <c r="A602">
        <f>'Team Info'!$B$3</f>
        <v>0</v>
      </c>
      <c r="B602">
        <f>'Female SR Individual Speed'!H51</f>
        <v>3</v>
      </c>
      <c r="C602" t="str">
        <f>'Female SR Individual Speed'!I51</f>
        <v>FSRS</v>
      </c>
      <c r="D602">
        <f>'Female SR Individual Speed'!J51</f>
        <v>13</v>
      </c>
      <c r="E602">
        <f>'Female SR Individual Speed'!K51</f>
        <v>0</v>
      </c>
      <c r="I602" t="str">
        <f t="shared" si="17"/>
        <v>FSRS-Female Single Rope Speed</v>
      </c>
    </row>
    <row r="603" spans="1:9" x14ac:dyDescent="0.25">
      <c r="A603">
        <f>'Team Info'!$B$3</f>
        <v>0</v>
      </c>
      <c r="B603">
        <f>'Female SR Individual Speed'!H52</f>
        <v>4</v>
      </c>
      <c r="C603" t="str">
        <f>'Female SR Individual Speed'!I52</f>
        <v>FSRS</v>
      </c>
      <c r="D603">
        <f>'Female SR Individual Speed'!J52</f>
        <v>13</v>
      </c>
      <c r="E603">
        <f>'Female SR Individual Speed'!K52</f>
        <v>0</v>
      </c>
      <c r="I603" t="str">
        <f t="shared" si="17"/>
        <v>FSRS-Female Single Rope Speed</v>
      </c>
    </row>
    <row r="604" spans="1:9" x14ac:dyDescent="0.25">
      <c r="A604">
        <f>'Team Info'!$B$3</f>
        <v>0</v>
      </c>
      <c r="B604">
        <f>'Female SR Individual Speed'!H53</f>
        <v>5</v>
      </c>
      <c r="C604" t="str">
        <f>'Female SR Individual Speed'!I53</f>
        <v>FSRS</v>
      </c>
      <c r="D604">
        <f>'Female SR Individual Speed'!J53</f>
        <v>13</v>
      </c>
      <c r="E604">
        <f>'Female SR Individual Speed'!K53</f>
        <v>0</v>
      </c>
      <c r="I604" t="str">
        <f t="shared" si="17"/>
        <v>FSRS-Female Single Rope Speed</v>
      </c>
    </row>
    <row r="605" spans="1:9" x14ac:dyDescent="0.25">
      <c r="A605">
        <f>'Team Info'!$B$3</f>
        <v>0</v>
      </c>
      <c r="B605">
        <f>'Female SR Individual Speed'!H54</f>
        <v>6</v>
      </c>
      <c r="C605" t="str">
        <f>'Female SR Individual Speed'!I54</f>
        <v>FSRS</v>
      </c>
      <c r="D605">
        <f>'Female SR Individual Speed'!J54</f>
        <v>13</v>
      </c>
      <c r="E605">
        <f>'Female SR Individual Speed'!K54</f>
        <v>0</v>
      </c>
      <c r="I605" t="str">
        <f t="shared" si="17"/>
        <v>FSRS-Female Single Rope Speed</v>
      </c>
    </row>
    <row r="606" spans="1:9" x14ac:dyDescent="0.25">
      <c r="A606">
        <f>'Team Info'!$B$3</f>
        <v>0</v>
      </c>
      <c r="B606">
        <f>'Female SR Individual Speed'!H55</f>
        <v>7</v>
      </c>
      <c r="C606" t="str">
        <f>'Female SR Individual Speed'!I55</f>
        <v>FSRS</v>
      </c>
      <c r="D606">
        <f>'Female SR Individual Speed'!J55</f>
        <v>13</v>
      </c>
      <c r="E606">
        <f>'Female SR Individual Speed'!K55</f>
        <v>0</v>
      </c>
      <c r="I606" t="str">
        <f t="shared" si="17"/>
        <v>FSRS-Female Single Rope Speed</v>
      </c>
    </row>
    <row r="607" spans="1:9" x14ac:dyDescent="0.25">
      <c r="A607">
        <f>'Team Info'!$B$3</f>
        <v>0</v>
      </c>
      <c r="B607">
        <f>'Female SR Individual Speed'!H56</f>
        <v>8</v>
      </c>
      <c r="C607" t="str">
        <f>'Female SR Individual Speed'!I56</f>
        <v>FSRS</v>
      </c>
      <c r="D607">
        <f>'Female SR Individual Speed'!J56</f>
        <v>13</v>
      </c>
      <c r="E607">
        <f>'Female SR Individual Speed'!K56</f>
        <v>0</v>
      </c>
      <c r="I607" t="str">
        <f t="shared" si="17"/>
        <v>FSRS-Female Single Rope Speed</v>
      </c>
    </row>
    <row r="608" spans="1:9" x14ac:dyDescent="0.25">
      <c r="A608">
        <f>'Team Info'!$B$3</f>
        <v>0</v>
      </c>
      <c r="B608">
        <f>'Female SR Individual Speed'!H57</f>
        <v>9</v>
      </c>
      <c r="C608" t="str">
        <f>'Female SR Individual Speed'!I57</f>
        <v>FSRS</v>
      </c>
      <c r="D608">
        <f>'Female SR Individual Speed'!J57</f>
        <v>13</v>
      </c>
      <c r="E608">
        <f>'Female SR Individual Speed'!K57</f>
        <v>0</v>
      </c>
      <c r="I608" t="str">
        <f t="shared" si="17"/>
        <v>FSRS-Female Single Rope Speed</v>
      </c>
    </row>
    <row r="609" spans="1:9" x14ac:dyDescent="0.25">
      <c r="A609">
        <f>'Team Info'!$B$3</f>
        <v>0</v>
      </c>
      <c r="B609">
        <f>'Female SR Individual Speed'!H58</f>
        <v>10</v>
      </c>
      <c r="C609" t="str">
        <f>'Female SR Individual Speed'!I58</f>
        <v>FSRS</v>
      </c>
      <c r="D609">
        <f>'Female SR Individual Speed'!J58</f>
        <v>13</v>
      </c>
      <c r="E609">
        <f>'Female SR Individual Speed'!K58</f>
        <v>0</v>
      </c>
      <c r="I609" t="str">
        <f t="shared" si="17"/>
        <v>FSRS-Female Single Rope Speed</v>
      </c>
    </row>
    <row r="610" spans="1:9" x14ac:dyDescent="0.25">
      <c r="A610">
        <f>'Team Info'!$B$3</f>
        <v>0</v>
      </c>
      <c r="B610">
        <f>'Female SR Individual Speed'!H59</f>
        <v>11</v>
      </c>
      <c r="C610" t="str">
        <f>'Female SR Individual Speed'!I59</f>
        <v>FSRS</v>
      </c>
      <c r="D610">
        <f>'Female SR Individual Speed'!J59</f>
        <v>13</v>
      </c>
      <c r="E610">
        <f>'Female SR Individual Speed'!K59</f>
        <v>0</v>
      </c>
      <c r="I610" t="str">
        <f t="shared" si="17"/>
        <v>FSRS-Female Single Rope Speed</v>
      </c>
    </row>
    <row r="611" spans="1:9" x14ac:dyDescent="0.25">
      <c r="A611">
        <f>'Team Info'!$B$3</f>
        <v>0</v>
      </c>
      <c r="B611">
        <f>'Female SR Individual Speed'!H60</f>
        <v>12</v>
      </c>
      <c r="C611" t="str">
        <f>'Female SR Individual Speed'!I60</f>
        <v>FSRS</v>
      </c>
      <c r="D611">
        <f>'Female SR Individual Speed'!J60</f>
        <v>13</v>
      </c>
      <c r="E611">
        <f>'Female SR Individual Speed'!K60</f>
        <v>0</v>
      </c>
      <c r="I611" t="str">
        <f t="shared" si="17"/>
        <v>FSRS-Female Single Rope Speed</v>
      </c>
    </row>
    <row r="612" spans="1:9" x14ac:dyDescent="0.25">
      <c r="A612">
        <f>'Team Info'!$B$3</f>
        <v>0</v>
      </c>
      <c r="B612">
        <f>'Female SR Individual Speed'!H61</f>
        <v>13</v>
      </c>
      <c r="C612" t="str">
        <f>'Female SR Individual Speed'!I61</f>
        <v>FSRS</v>
      </c>
      <c r="D612">
        <f>'Female SR Individual Speed'!J61</f>
        <v>13</v>
      </c>
      <c r="E612">
        <f>'Female SR Individual Speed'!K61</f>
        <v>0</v>
      </c>
      <c r="I612" t="str">
        <f t="shared" si="17"/>
        <v>FSRS-Female Single Rope Speed</v>
      </c>
    </row>
    <row r="613" spans="1:9" x14ac:dyDescent="0.25">
      <c r="A613">
        <f>'Team Info'!$B$3</f>
        <v>0</v>
      </c>
      <c r="B613">
        <f>'Female SR Individual Speed'!H62</f>
        <v>14</v>
      </c>
      <c r="C613" t="str">
        <f>'Female SR Individual Speed'!I62</f>
        <v>FSRS</v>
      </c>
      <c r="D613">
        <f>'Female SR Individual Speed'!J62</f>
        <v>13</v>
      </c>
      <c r="E613">
        <f>'Female SR Individual Speed'!K62</f>
        <v>0</v>
      </c>
      <c r="I613" t="str">
        <f t="shared" si="17"/>
        <v>FSRS-Female Single Rope Speed</v>
      </c>
    </row>
    <row r="614" spans="1:9" x14ac:dyDescent="0.25">
      <c r="A614">
        <f>'Team Info'!$B$3</f>
        <v>0</v>
      </c>
      <c r="B614">
        <f>'Female SR Individual Speed'!H63</f>
        <v>15</v>
      </c>
      <c r="C614" t="str">
        <f>'Female SR Individual Speed'!I63</f>
        <v>FSRS</v>
      </c>
      <c r="D614">
        <f>'Female SR Individual Speed'!J63</f>
        <v>13</v>
      </c>
      <c r="E614">
        <f>'Female SR Individual Speed'!K63</f>
        <v>0</v>
      </c>
      <c r="I614" t="str">
        <f t="shared" si="17"/>
        <v>FSRS-Female Single Rope Speed</v>
      </c>
    </row>
    <row r="615" spans="1:9" x14ac:dyDescent="0.25">
      <c r="A615">
        <f>'Team Info'!$B$3</f>
        <v>0</v>
      </c>
      <c r="B615">
        <f>'Female SR Individual Speed'!H64</f>
        <v>16</v>
      </c>
      <c r="C615" t="str">
        <f>'Female SR Individual Speed'!I64</f>
        <v>FSRS</v>
      </c>
      <c r="D615">
        <f>'Female SR Individual Speed'!J64</f>
        <v>13</v>
      </c>
      <c r="E615">
        <f>'Female SR Individual Speed'!K64</f>
        <v>0</v>
      </c>
      <c r="I615" t="str">
        <f t="shared" si="17"/>
        <v>FSRS-Female Single Rope Speed</v>
      </c>
    </row>
    <row r="616" spans="1:9" x14ac:dyDescent="0.25">
      <c r="A616">
        <f>'Team Info'!$B$3</f>
        <v>0</v>
      </c>
      <c r="B616">
        <f>'Female SR Individual Speed'!H65</f>
        <v>17</v>
      </c>
      <c r="C616" t="str">
        <f>'Female SR Individual Speed'!I65</f>
        <v>FSRS</v>
      </c>
      <c r="D616">
        <f>'Female SR Individual Speed'!J65</f>
        <v>13</v>
      </c>
      <c r="E616">
        <f>'Female SR Individual Speed'!K65</f>
        <v>0</v>
      </c>
      <c r="I616" t="str">
        <f t="shared" si="17"/>
        <v>FSRS-Female Single Rope Speed</v>
      </c>
    </row>
    <row r="617" spans="1:9" x14ac:dyDescent="0.25">
      <c r="A617">
        <f>'Team Info'!$B$3</f>
        <v>0</v>
      </c>
      <c r="B617">
        <f>'Female SR Individual Speed'!H66</f>
        <v>18</v>
      </c>
      <c r="C617" t="str">
        <f>'Female SR Individual Speed'!I66</f>
        <v>FSRS</v>
      </c>
      <c r="D617">
        <f>'Female SR Individual Speed'!J66</f>
        <v>13</v>
      </c>
      <c r="E617">
        <f>'Female SR Individual Speed'!K66</f>
        <v>0</v>
      </c>
      <c r="I617" t="str">
        <f t="shared" si="17"/>
        <v>FSRS-Female Single Rope Speed</v>
      </c>
    </row>
    <row r="618" spans="1:9" x14ac:dyDescent="0.25">
      <c r="A618">
        <f>'Team Info'!$B$3</f>
        <v>0</v>
      </c>
      <c r="B618">
        <f>'Female SR Individual Speed'!H67</f>
        <v>19</v>
      </c>
      <c r="C618" t="str">
        <f>'Female SR Individual Speed'!I67</f>
        <v>FSRS</v>
      </c>
      <c r="D618">
        <f>'Female SR Individual Speed'!J67</f>
        <v>13</v>
      </c>
      <c r="E618">
        <f>'Female SR Individual Speed'!K67</f>
        <v>0</v>
      </c>
      <c r="I618" t="str">
        <f t="shared" si="17"/>
        <v>FSRS-Female Single Rope Speed</v>
      </c>
    </row>
    <row r="619" spans="1:9" x14ac:dyDescent="0.25">
      <c r="A619">
        <f>'Team Info'!$B$3</f>
        <v>0</v>
      </c>
      <c r="B619">
        <f>'Female SR Individual Speed'!H68</f>
        <v>20</v>
      </c>
      <c r="C619" t="str">
        <f>'Female SR Individual Speed'!I68</f>
        <v>FSRS</v>
      </c>
      <c r="D619">
        <f>'Female SR Individual Speed'!J68</f>
        <v>13</v>
      </c>
      <c r="E619">
        <f>'Female SR Individual Speed'!K68</f>
        <v>0</v>
      </c>
      <c r="I619" t="str">
        <f t="shared" si="17"/>
        <v>FSRS-Female Single Rope Speed</v>
      </c>
    </row>
    <row r="620" spans="1:9" x14ac:dyDescent="0.25">
      <c r="A620">
        <f>'Team Info'!$B$3</f>
        <v>0</v>
      </c>
      <c r="B620">
        <f>'Female SR Individual Speed'!A71</f>
        <v>1</v>
      </c>
      <c r="C620" t="str">
        <f>'Female SR Individual Speed'!B71</f>
        <v>FSRS</v>
      </c>
      <c r="D620">
        <f>'Female SR Individual Speed'!C71</f>
        <v>14</v>
      </c>
      <c r="E620">
        <f>'Female SR Individual Speed'!D71</f>
        <v>0</v>
      </c>
      <c r="I620" t="str">
        <f t="shared" si="17"/>
        <v>FSRS-Female Single Rope Speed</v>
      </c>
    </row>
    <row r="621" spans="1:9" x14ac:dyDescent="0.25">
      <c r="A621">
        <f>'Team Info'!$B$3</f>
        <v>0</v>
      </c>
      <c r="B621">
        <f>'Female SR Individual Speed'!A72</f>
        <v>2</v>
      </c>
      <c r="C621" t="str">
        <f>'Female SR Individual Speed'!B72</f>
        <v>FSRS</v>
      </c>
      <c r="D621">
        <f>'Female SR Individual Speed'!C72</f>
        <v>14</v>
      </c>
      <c r="E621">
        <f>'Female SR Individual Speed'!D72</f>
        <v>0</v>
      </c>
      <c r="I621" t="str">
        <f t="shared" si="17"/>
        <v>FSRS-Female Single Rope Speed</v>
      </c>
    </row>
    <row r="622" spans="1:9" x14ac:dyDescent="0.25">
      <c r="A622">
        <f>'Team Info'!$B$3</f>
        <v>0</v>
      </c>
      <c r="B622">
        <f>'Female SR Individual Speed'!A73</f>
        <v>3</v>
      </c>
      <c r="C622" t="str">
        <f>'Female SR Individual Speed'!B73</f>
        <v>FSRS</v>
      </c>
      <c r="D622">
        <f>'Female SR Individual Speed'!C73</f>
        <v>14</v>
      </c>
      <c r="E622">
        <f>'Female SR Individual Speed'!D73</f>
        <v>0</v>
      </c>
      <c r="I622" t="str">
        <f t="shared" si="17"/>
        <v>FSRS-Female Single Rope Speed</v>
      </c>
    </row>
    <row r="623" spans="1:9" x14ac:dyDescent="0.25">
      <c r="A623">
        <f>'Team Info'!$B$3</f>
        <v>0</v>
      </c>
      <c r="B623">
        <f>'Female SR Individual Speed'!A74</f>
        <v>4</v>
      </c>
      <c r="C623" t="str">
        <f>'Female SR Individual Speed'!B74</f>
        <v>FSRS</v>
      </c>
      <c r="D623">
        <f>'Female SR Individual Speed'!C74</f>
        <v>14</v>
      </c>
      <c r="E623">
        <f>'Female SR Individual Speed'!D74</f>
        <v>0</v>
      </c>
      <c r="I623" t="str">
        <f t="shared" si="17"/>
        <v>FSRS-Female Single Rope Speed</v>
      </c>
    </row>
    <row r="624" spans="1:9" x14ac:dyDescent="0.25">
      <c r="A624">
        <f>'Team Info'!$B$3</f>
        <v>0</v>
      </c>
      <c r="B624">
        <f>'Female SR Individual Speed'!A75</f>
        <v>5</v>
      </c>
      <c r="C624" t="str">
        <f>'Female SR Individual Speed'!B75</f>
        <v>FSRS</v>
      </c>
      <c r="D624">
        <f>'Female SR Individual Speed'!C75</f>
        <v>14</v>
      </c>
      <c r="E624">
        <f>'Female SR Individual Speed'!D75</f>
        <v>0</v>
      </c>
      <c r="I624" t="str">
        <f t="shared" si="17"/>
        <v>FSRS-Female Single Rope Speed</v>
      </c>
    </row>
    <row r="625" spans="1:9" x14ac:dyDescent="0.25">
      <c r="A625">
        <f>'Team Info'!$B$3</f>
        <v>0</v>
      </c>
      <c r="B625">
        <f>'Female SR Individual Speed'!A76</f>
        <v>6</v>
      </c>
      <c r="C625" t="str">
        <f>'Female SR Individual Speed'!B76</f>
        <v>FSRS</v>
      </c>
      <c r="D625">
        <f>'Female SR Individual Speed'!C76</f>
        <v>14</v>
      </c>
      <c r="E625">
        <f>'Female SR Individual Speed'!D76</f>
        <v>0</v>
      </c>
      <c r="I625" t="str">
        <f t="shared" si="17"/>
        <v>FSRS-Female Single Rope Speed</v>
      </c>
    </row>
    <row r="626" spans="1:9" x14ac:dyDescent="0.25">
      <c r="A626">
        <f>'Team Info'!$B$3</f>
        <v>0</v>
      </c>
      <c r="B626">
        <f>'Female SR Individual Speed'!A77</f>
        <v>7</v>
      </c>
      <c r="C626" t="str">
        <f>'Female SR Individual Speed'!B77</f>
        <v>FSRS</v>
      </c>
      <c r="D626">
        <f>'Female SR Individual Speed'!C77</f>
        <v>14</v>
      </c>
      <c r="E626">
        <f>'Female SR Individual Speed'!D77</f>
        <v>0</v>
      </c>
      <c r="I626" t="str">
        <f t="shared" si="17"/>
        <v>FSRS-Female Single Rope Speed</v>
      </c>
    </row>
    <row r="627" spans="1:9" x14ac:dyDescent="0.25">
      <c r="A627">
        <f>'Team Info'!$B$3</f>
        <v>0</v>
      </c>
      <c r="B627">
        <f>'Female SR Individual Speed'!A78</f>
        <v>8</v>
      </c>
      <c r="C627" t="str">
        <f>'Female SR Individual Speed'!B78</f>
        <v>FSRS</v>
      </c>
      <c r="D627">
        <f>'Female SR Individual Speed'!C78</f>
        <v>14</v>
      </c>
      <c r="E627">
        <f>'Female SR Individual Speed'!D78</f>
        <v>0</v>
      </c>
      <c r="I627" t="str">
        <f t="shared" si="17"/>
        <v>FSRS-Female Single Rope Speed</v>
      </c>
    </row>
    <row r="628" spans="1:9" x14ac:dyDescent="0.25">
      <c r="A628">
        <f>'Team Info'!$B$3</f>
        <v>0</v>
      </c>
      <c r="B628">
        <f>'Female SR Individual Speed'!A79</f>
        <v>9</v>
      </c>
      <c r="C628" t="str">
        <f>'Female SR Individual Speed'!B79</f>
        <v>FSRS</v>
      </c>
      <c r="D628">
        <f>'Female SR Individual Speed'!C79</f>
        <v>14</v>
      </c>
      <c r="E628">
        <f>'Female SR Individual Speed'!D79</f>
        <v>0</v>
      </c>
      <c r="I628" t="str">
        <f t="shared" si="17"/>
        <v>FSRS-Female Single Rope Speed</v>
      </c>
    </row>
    <row r="629" spans="1:9" x14ac:dyDescent="0.25">
      <c r="A629">
        <f>'Team Info'!$B$3</f>
        <v>0</v>
      </c>
      <c r="B629">
        <f>'Female SR Individual Speed'!A80</f>
        <v>10</v>
      </c>
      <c r="C629" t="str">
        <f>'Female SR Individual Speed'!B80</f>
        <v>FSRS</v>
      </c>
      <c r="D629">
        <f>'Female SR Individual Speed'!C80</f>
        <v>14</v>
      </c>
      <c r="E629">
        <f>'Female SR Individual Speed'!D80</f>
        <v>0</v>
      </c>
      <c r="I629" t="str">
        <f t="shared" si="17"/>
        <v>FSRS-Female Single Rope Speed</v>
      </c>
    </row>
    <row r="630" spans="1:9" x14ac:dyDescent="0.25">
      <c r="A630">
        <f>'Team Info'!$B$3</f>
        <v>0</v>
      </c>
      <c r="B630">
        <f>'Female SR Individual Speed'!A81</f>
        <v>11</v>
      </c>
      <c r="C630" t="str">
        <f>'Female SR Individual Speed'!B81</f>
        <v>FSRS</v>
      </c>
      <c r="D630">
        <f>'Female SR Individual Speed'!C81</f>
        <v>14</v>
      </c>
      <c r="E630">
        <f>'Female SR Individual Speed'!D81</f>
        <v>0</v>
      </c>
      <c r="I630" t="str">
        <f t="shared" si="17"/>
        <v>FSRS-Female Single Rope Speed</v>
      </c>
    </row>
    <row r="631" spans="1:9" x14ac:dyDescent="0.25">
      <c r="A631">
        <f>'Team Info'!$B$3</f>
        <v>0</v>
      </c>
      <c r="B631">
        <f>'Female SR Individual Speed'!A82</f>
        <v>12</v>
      </c>
      <c r="C631" t="str">
        <f>'Female SR Individual Speed'!B82</f>
        <v>FSRS</v>
      </c>
      <c r="D631">
        <f>'Female SR Individual Speed'!C82</f>
        <v>14</v>
      </c>
      <c r="E631">
        <f>'Female SR Individual Speed'!D82</f>
        <v>0</v>
      </c>
      <c r="I631" t="str">
        <f t="shared" si="17"/>
        <v>FSRS-Female Single Rope Speed</v>
      </c>
    </row>
    <row r="632" spans="1:9" x14ac:dyDescent="0.25">
      <c r="A632">
        <f>'Team Info'!$B$3</f>
        <v>0</v>
      </c>
      <c r="B632">
        <f>'Female SR Individual Speed'!A83</f>
        <v>13</v>
      </c>
      <c r="C632" t="str">
        <f>'Female SR Individual Speed'!B83</f>
        <v>FSRS</v>
      </c>
      <c r="D632">
        <f>'Female SR Individual Speed'!C83</f>
        <v>14</v>
      </c>
      <c r="E632">
        <f>'Female SR Individual Speed'!D83</f>
        <v>0</v>
      </c>
      <c r="I632" t="str">
        <f t="shared" si="17"/>
        <v>FSRS-Female Single Rope Speed</v>
      </c>
    </row>
    <row r="633" spans="1:9" x14ac:dyDescent="0.25">
      <c r="A633">
        <f>'Team Info'!$B$3</f>
        <v>0</v>
      </c>
      <c r="B633">
        <f>'Female SR Individual Speed'!A84</f>
        <v>14</v>
      </c>
      <c r="C633" t="str">
        <f>'Female SR Individual Speed'!B84</f>
        <v>FSRS</v>
      </c>
      <c r="D633">
        <f>'Female SR Individual Speed'!C84</f>
        <v>14</v>
      </c>
      <c r="E633">
        <f>'Female SR Individual Speed'!D84</f>
        <v>0</v>
      </c>
      <c r="I633" t="str">
        <f t="shared" si="17"/>
        <v>FSRS-Female Single Rope Speed</v>
      </c>
    </row>
    <row r="634" spans="1:9" x14ac:dyDescent="0.25">
      <c r="A634">
        <f>'Team Info'!$B$3</f>
        <v>0</v>
      </c>
      <c r="B634">
        <f>'Female SR Individual Speed'!A85</f>
        <v>15</v>
      </c>
      <c r="C634" t="str">
        <f>'Female SR Individual Speed'!B85</f>
        <v>FSRS</v>
      </c>
      <c r="D634">
        <f>'Female SR Individual Speed'!C85</f>
        <v>14</v>
      </c>
      <c r="E634">
        <f>'Female SR Individual Speed'!D85</f>
        <v>0</v>
      </c>
      <c r="I634" t="str">
        <f t="shared" si="17"/>
        <v>FSRS-Female Single Rope Speed</v>
      </c>
    </row>
    <row r="635" spans="1:9" x14ac:dyDescent="0.25">
      <c r="A635">
        <f>'Team Info'!$B$3</f>
        <v>0</v>
      </c>
      <c r="B635">
        <f>'Female SR Individual Speed'!A86</f>
        <v>16</v>
      </c>
      <c r="C635" t="str">
        <f>'Female SR Individual Speed'!B86</f>
        <v>FSRS</v>
      </c>
      <c r="D635">
        <f>'Female SR Individual Speed'!C86</f>
        <v>14</v>
      </c>
      <c r="E635">
        <f>'Female SR Individual Speed'!D86</f>
        <v>0</v>
      </c>
      <c r="I635" t="str">
        <f t="shared" si="17"/>
        <v>FSRS-Female Single Rope Speed</v>
      </c>
    </row>
    <row r="636" spans="1:9" x14ac:dyDescent="0.25">
      <c r="A636">
        <f>'Team Info'!$B$3</f>
        <v>0</v>
      </c>
      <c r="B636">
        <f>'Female SR Individual Speed'!A87</f>
        <v>17</v>
      </c>
      <c r="C636" t="str">
        <f>'Female SR Individual Speed'!B87</f>
        <v>FSRS</v>
      </c>
      <c r="D636">
        <f>'Female SR Individual Speed'!C87</f>
        <v>14</v>
      </c>
      <c r="E636">
        <f>'Female SR Individual Speed'!D87</f>
        <v>0</v>
      </c>
      <c r="I636" t="str">
        <f t="shared" si="17"/>
        <v>FSRS-Female Single Rope Speed</v>
      </c>
    </row>
    <row r="637" spans="1:9" x14ac:dyDescent="0.25">
      <c r="A637">
        <f>'Team Info'!$B$3</f>
        <v>0</v>
      </c>
      <c r="B637">
        <f>'Female SR Individual Speed'!A88</f>
        <v>18</v>
      </c>
      <c r="C637" t="str">
        <f>'Female SR Individual Speed'!B88</f>
        <v>FSRS</v>
      </c>
      <c r="D637">
        <f>'Female SR Individual Speed'!C88</f>
        <v>14</v>
      </c>
      <c r="E637">
        <f>'Female SR Individual Speed'!D88</f>
        <v>0</v>
      </c>
      <c r="I637" t="str">
        <f t="shared" si="17"/>
        <v>FSRS-Female Single Rope Speed</v>
      </c>
    </row>
    <row r="638" spans="1:9" x14ac:dyDescent="0.25">
      <c r="A638">
        <f>'Team Info'!$B$3</f>
        <v>0</v>
      </c>
      <c r="B638">
        <f>'Female SR Individual Speed'!A89</f>
        <v>19</v>
      </c>
      <c r="C638" t="str">
        <f>'Female SR Individual Speed'!B89</f>
        <v>FSRS</v>
      </c>
      <c r="D638">
        <f>'Female SR Individual Speed'!C89</f>
        <v>14</v>
      </c>
      <c r="E638">
        <f>'Female SR Individual Speed'!D89</f>
        <v>0</v>
      </c>
      <c r="I638" t="str">
        <f t="shared" si="17"/>
        <v>FSRS-Female Single Rope Speed</v>
      </c>
    </row>
    <row r="639" spans="1:9" x14ac:dyDescent="0.25">
      <c r="A639">
        <f>'Team Info'!$B$3</f>
        <v>0</v>
      </c>
      <c r="B639">
        <f>'Female SR Individual Speed'!A90</f>
        <v>20</v>
      </c>
      <c r="C639" t="str">
        <f>'Female SR Individual Speed'!B90</f>
        <v>FSRS</v>
      </c>
      <c r="D639">
        <f>'Female SR Individual Speed'!C90</f>
        <v>14</v>
      </c>
      <c r="E639">
        <f>'Female SR Individual Speed'!D90</f>
        <v>0</v>
      </c>
      <c r="I639" t="str">
        <f t="shared" si="17"/>
        <v>FSRS-Female Single Rope Speed</v>
      </c>
    </row>
    <row r="640" spans="1:9" x14ac:dyDescent="0.25">
      <c r="A640">
        <f>'Team Info'!$B$3</f>
        <v>0</v>
      </c>
      <c r="B640">
        <f>'Female SR Individual Speed'!H71</f>
        <v>1</v>
      </c>
      <c r="C640" t="str">
        <f>'Female SR Individual Speed'!I71</f>
        <v>FSRS</v>
      </c>
      <c r="D640" t="str">
        <f>'Female SR Individual Speed'!J71</f>
        <v>15-16</v>
      </c>
      <c r="E640">
        <f>'Female SR Individual Speed'!K71</f>
        <v>0</v>
      </c>
      <c r="I640" t="str">
        <f t="shared" si="17"/>
        <v>FSRS-Female Single Rope Speed</v>
      </c>
    </row>
    <row r="641" spans="1:9" x14ac:dyDescent="0.25">
      <c r="A641">
        <f>'Team Info'!$B$3</f>
        <v>0</v>
      </c>
      <c r="B641">
        <f>'Female SR Individual Speed'!H72</f>
        <v>2</v>
      </c>
      <c r="C641" t="str">
        <f>'Female SR Individual Speed'!I72</f>
        <v>FSRS</v>
      </c>
      <c r="D641" t="str">
        <f>'Female SR Individual Speed'!J72</f>
        <v>15-16</v>
      </c>
      <c r="E641">
        <f>'Female SR Individual Speed'!K72</f>
        <v>0</v>
      </c>
      <c r="I641" t="str">
        <f t="shared" ref="I641:I720" si="18">VLOOKUP(C641,EVENTS,2,FALSE)</f>
        <v>FSRS-Female Single Rope Speed</v>
      </c>
    </row>
    <row r="642" spans="1:9" x14ac:dyDescent="0.25">
      <c r="A642">
        <f>'Team Info'!$B$3</f>
        <v>0</v>
      </c>
      <c r="B642">
        <f>'Female SR Individual Speed'!H73</f>
        <v>3</v>
      </c>
      <c r="C642" t="str">
        <f>'Female SR Individual Speed'!I73</f>
        <v>FSRS</v>
      </c>
      <c r="D642" t="str">
        <f>'Female SR Individual Speed'!J73</f>
        <v>15-16</v>
      </c>
      <c r="E642">
        <f>'Female SR Individual Speed'!K73</f>
        <v>0</v>
      </c>
      <c r="I642" t="str">
        <f t="shared" si="18"/>
        <v>FSRS-Female Single Rope Speed</v>
      </c>
    </row>
    <row r="643" spans="1:9" x14ac:dyDescent="0.25">
      <c r="A643">
        <f>'Team Info'!$B$3</f>
        <v>0</v>
      </c>
      <c r="B643">
        <f>'Female SR Individual Speed'!H74</f>
        <v>4</v>
      </c>
      <c r="C643" t="str">
        <f>'Female SR Individual Speed'!I74</f>
        <v>FSRS</v>
      </c>
      <c r="D643" t="str">
        <f>'Female SR Individual Speed'!J74</f>
        <v>15-16</v>
      </c>
      <c r="E643">
        <f>'Female SR Individual Speed'!K74</f>
        <v>0</v>
      </c>
      <c r="I643" t="str">
        <f t="shared" si="18"/>
        <v>FSRS-Female Single Rope Speed</v>
      </c>
    </row>
    <row r="644" spans="1:9" x14ac:dyDescent="0.25">
      <c r="A644">
        <f>'Team Info'!$B$3</f>
        <v>0</v>
      </c>
      <c r="B644">
        <f>'Female SR Individual Speed'!H75</f>
        <v>5</v>
      </c>
      <c r="C644" t="str">
        <f>'Female SR Individual Speed'!I75</f>
        <v>FSRS</v>
      </c>
      <c r="D644" t="str">
        <f>'Female SR Individual Speed'!J75</f>
        <v>15-16</v>
      </c>
      <c r="E644">
        <f>'Female SR Individual Speed'!K75</f>
        <v>0</v>
      </c>
      <c r="I644" t="str">
        <f t="shared" si="18"/>
        <v>FSRS-Female Single Rope Speed</v>
      </c>
    </row>
    <row r="645" spans="1:9" x14ac:dyDescent="0.25">
      <c r="A645">
        <f>'Team Info'!$B$3</f>
        <v>0</v>
      </c>
      <c r="B645">
        <f>'Female SR Individual Speed'!H76</f>
        <v>6</v>
      </c>
      <c r="C645" t="str">
        <f>'Female SR Individual Speed'!I76</f>
        <v>FSRS</v>
      </c>
      <c r="D645" t="str">
        <f>'Female SR Individual Speed'!J76</f>
        <v>15-16</v>
      </c>
      <c r="E645">
        <f>'Female SR Individual Speed'!K76</f>
        <v>0</v>
      </c>
      <c r="I645" t="str">
        <f t="shared" si="18"/>
        <v>FSRS-Female Single Rope Speed</v>
      </c>
    </row>
    <row r="646" spans="1:9" x14ac:dyDescent="0.25">
      <c r="A646">
        <f>'Team Info'!$B$3</f>
        <v>0</v>
      </c>
      <c r="B646">
        <f>'Female SR Individual Speed'!H77</f>
        <v>7</v>
      </c>
      <c r="C646" t="str">
        <f>'Female SR Individual Speed'!I77</f>
        <v>FSRS</v>
      </c>
      <c r="D646" t="str">
        <f>'Female SR Individual Speed'!J77</f>
        <v>15-16</v>
      </c>
      <c r="E646">
        <f>'Female SR Individual Speed'!K77</f>
        <v>0</v>
      </c>
      <c r="I646" t="str">
        <f t="shared" si="18"/>
        <v>FSRS-Female Single Rope Speed</v>
      </c>
    </row>
    <row r="647" spans="1:9" x14ac:dyDescent="0.25">
      <c r="A647">
        <f>'Team Info'!$B$3</f>
        <v>0</v>
      </c>
      <c r="B647">
        <f>'Female SR Individual Speed'!H78</f>
        <v>8</v>
      </c>
      <c r="C647" t="str">
        <f>'Female SR Individual Speed'!I78</f>
        <v>FSRS</v>
      </c>
      <c r="D647" t="str">
        <f>'Female SR Individual Speed'!J78</f>
        <v>15-16</v>
      </c>
      <c r="E647">
        <f>'Female SR Individual Speed'!K78</f>
        <v>0</v>
      </c>
      <c r="I647" t="str">
        <f t="shared" si="18"/>
        <v>FSRS-Female Single Rope Speed</v>
      </c>
    </row>
    <row r="648" spans="1:9" x14ac:dyDescent="0.25">
      <c r="A648">
        <f>'Team Info'!$B$3</f>
        <v>0</v>
      </c>
      <c r="B648">
        <f>'Female SR Individual Speed'!H79</f>
        <v>9</v>
      </c>
      <c r="C648" t="str">
        <f>'Female SR Individual Speed'!I79</f>
        <v>FSRS</v>
      </c>
      <c r="D648" t="str">
        <f>'Female SR Individual Speed'!J79</f>
        <v>15-16</v>
      </c>
      <c r="E648">
        <f>'Female SR Individual Speed'!K79</f>
        <v>0</v>
      </c>
      <c r="I648" t="str">
        <f t="shared" si="18"/>
        <v>FSRS-Female Single Rope Speed</v>
      </c>
    </row>
    <row r="649" spans="1:9" x14ac:dyDescent="0.25">
      <c r="A649">
        <f>'Team Info'!$B$3</f>
        <v>0</v>
      </c>
      <c r="B649">
        <f>'Female SR Individual Speed'!H80</f>
        <v>10</v>
      </c>
      <c r="C649" t="str">
        <f>'Female SR Individual Speed'!I80</f>
        <v>FSRS</v>
      </c>
      <c r="D649" t="str">
        <f>'Female SR Individual Speed'!J80</f>
        <v>15-16</v>
      </c>
      <c r="E649">
        <f>'Female SR Individual Speed'!K80</f>
        <v>0</v>
      </c>
      <c r="I649" t="str">
        <f t="shared" si="18"/>
        <v>FSRS-Female Single Rope Speed</v>
      </c>
    </row>
    <row r="650" spans="1:9" x14ac:dyDescent="0.25">
      <c r="A650">
        <f>'Team Info'!$B$3</f>
        <v>0</v>
      </c>
      <c r="B650">
        <f>'Female SR Individual Speed'!H81</f>
        <v>11</v>
      </c>
      <c r="C650" t="str">
        <f>'Female SR Individual Speed'!I81</f>
        <v>FSRS</v>
      </c>
      <c r="D650" t="str">
        <f>'Female SR Individual Speed'!J81</f>
        <v>15-16</v>
      </c>
      <c r="E650">
        <f>'Female SR Individual Speed'!K81</f>
        <v>0</v>
      </c>
      <c r="I650" t="str">
        <f t="shared" si="18"/>
        <v>FSRS-Female Single Rope Speed</v>
      </c>
    </row>
    <row r="651" spans="1:9" x14ac:dyDescent="0.25">
      <c r="A651">
        <f>'Team Info'!$B$3</f>
        <v>0</v>
      </c>
      <c r="B651">
        <f>'Female SR Individual Speed'!H82</f>
        <v>12</v>
      </c>
      <c r="C651" t="str">
        <f>'Female SR Individual Speed'!I82</f>
        <v>FSRS</v>
      </c>
      <c r="D651" t="str">
        <f>'Female SR Individual Speed'!J82</f>
        <v>15-16</v>
      </c>
      <c r="E651">
        <f>'Female SR Individual Speed'!K82</f>
        <v>0</v>
      </c>
      <c r="I651" t="str">
        <f t="shared" si="18"/>
        <v>FSRS-Female Single Rope Speed</v>
      </c>
    </row>
    <row r="652" spans="1:9" x14ac:dyDescent="0.25">
      <c r="A652">
        <f>'Team Info'!$B$3</f>
        <v>0</v>
      </c>
      <c r="B652">
        <f>'Female SR Individual Speed'!H83</f>
        <v>13</v>
      </c>
      <c r="C652" t="str">
        <f>'Female SR Individual Speed'!I83</f>
        <v>FSRS</v>
      </c>
      <c r="D652" t="str">
        <f>'Female SR Individual Speed'!J83</f>
        <v>15-16</v>
      </c>
      <c r="E652">
        <f>'Female SR Individual Speed'!K83</f>
        <v>0</v>
      </c>
      <c r="I652" t="str">
        <f t="shared" si="18"/>
        <v>FSRS-Female Single Rope Speed</v>
      </c>
    </row>
    <row r="653" spans="1:9" x14ac:dyDescent="0.25">
      <c r="A653">
        <f>'Team Info'!$B$3</f>
        <v>0</v>
      </c>
      <c r="B653">
        <f>'Female SR Individual Speed'!H84</f>
        <v>14</v>
      </c>
      <c r="C653" t="str">
        <f>'Female SR Individual Speed'!I84</f>
        <v>FSRS</v>
      </c>
      <c r="D653" t="str">
        <f>'Female SR Individual Speed'!J84</f>
        <v>15-16</v>
      </c>
      <c r="E653">
        <f>'Female SR Individual Speed'!K84</f>
        <v>0</v>
      </c>
      <c r="I653" t="str">
        <f t="shared" si="18"/>
        <v>FSRS-Female Single Rope Speed</v>
      </c>
    </row>
    <row r="654" spans="1:9" x14ac:dyDescent="0.25">
      <c r="A654">
        <f>'Team Info'!$B$3</f>
        <v>0</v>
      </c>
      <c r="B654">
        <f>'Female SR Individual Speed'!H85</f>
        <v>15</v>
      </c>
      <c r="C654" t="str">
        <f>'Female SR Individual Speed'!I85</f>
        <v>FSRS</v>
      </c>
      <c r="D654" t="str">
        <f>'Female SR Individual Speed'!J85</f>
        <v>15-16</v>
      </c>
      <c r="E654">
        <f>'Female SR Individual Speed'!K85</f>
        <v>0</v>
      </c>
      <c r="I654" t="str">
        <f t="shared" si="18"/>
        <v>FSRS-Female Single Rope Speed</v>
      </c>
    </row>
    <row r="655" spans="1:9" x14ac:dyDescent="0.25">
      <c r="A655">
        <f>'Team Info'!$B$3</f>
        <v>0</v>
      </c>
      <c r="B655">
        <f>'Female SR Individual Speed'!H86</f>
        <v>16</v>
      </c>
      <c r="C655" t="str">
        <f>'Female SR Individual Speed'!I86</f>
        <v>FSRS</v>
      </c>
      <c r="D655" t="str">
        <f>'Female SR Individual Speed'!J86</f>
        <v>15-16</v>
      </c>
      <c r="E655">
        <f>'Female SR Individual Speed'!K86</f>
        <v>0</v>
      </c>
      <c r="I655" t="str">
        <f t="shared" si="18"/>
        <v>FSRS-Female Single Rope Speed</v>
      </c>
    </row>
    <row r="656" spans="1:9" x14ac:dyDescent="0.25">
      <c r="A656">
        <f>'Team Info'!$B$3</f>
        <v>0</v>
      </c>
      <c r="B656">
        <f>'Female SR Individual Speed'!H87</f>
        <v>17</v>
      </c>
      <c r="C656" t="str">
        <f>'Female SR Individual Speed'!I87</f>
        <v>FSRS</v>
      </c>
      <c r="D656" t="str">
        <f>'Female SR Individual Speed'!J87</f>
        <v>15-16</v>
      </c>
      <c r="E656">
        <f>'Female SR Individual Speed'!K87</f>
        <v>0</v>
      </c>
      <c r="I656" t="str">
        <f t="shared" si="18"/>
        <v>FSRS-Female Single Rope Speed</v>
      </c>
    </row>
    <row r="657" spans="1:9" x14ac:dyDescent="0.25">
      <c r="A657">
        <f>'Team Info'!$B$3</f>
        <v>0</v>
      </c>
      <c r="B657">
        <f>'Female SR Individual Speed'!H88</f>
        <v>18</v>
      </c>
      <c r="C657" t="str">
        <f>'Female SR Individual Speed'!I88</f>
        <v>FSRS</v>
      </c>
      <c r="D657" t="str">
        <f>'Female SR Individual Speed'!J88</f>
        <v>15-16</v>
      </c>
      <c r="E657">
        <f>'Female SR Individual Speed'!K88</f>
        <v>0</v>
      </c>
      <c r="I657" t="str">
        <f t="shared" si="18"/>
        <v>FSRS-Female Single Rope Speed</v>
      </c>
    </row>
    <row r="658" spans="1:9" x14ac:dyDescent="0.25">
      <c r="A658">
        <f>'Team Info'!$B$3</f>
        <v>0</v>
      </c>
      <c r="B658">
        <f>'Female SR Individual Speed'!H89</f>
        <v>19</v>
      </c>
      <c r="C658" t="str">
        <f>'Female SR Individual Speed'!I89</f>
        <v>FSRS</v>
      </c>
      <c r="D658" t="str">
        <f>'Female SR Individual Speed'!J89</f>
        <v>15-16</v>
      </c>
      <c r="E658">
        <f>'Female SR Individual Speed'!K89</f>
        <v>0</v>
      </c>
      <c r="I658" t="str">
        <f t="shared" si="18"/>
        <v>FSRS-Female Single Rope Speed</v>
      </c>
    </row>
    <row r="659" spans="1:9" x14ac:dyDescent="0.25">
      <c r="A659">
        <f>'Team Info'!$B$3</f>
        <v>0</v>
      </c>
      <c r="B659">
        <f>'Female SR Individual Speed'!H90</f>
        <v>20</v>
      </c>
      <c r="C659" t="str">
        <f>'Female SR Individual Speed'!I90</f>
        <v>FSRS</v>
      </c>
      <c r="D659" t="str">
        <f>'Female SR Individual Speed'!J90</f>
        <v>15-16</v>
      </c>
      <c r="E659">
        <f>'Female SR Individual Speed'!K90</f>
        <v>0</v>
      </c>
      <c r="I659" t="str">
        <f t="shared" si="18"/>
        <v>FSRS-Female Single Rope Speed</v>
      </c>
    </row>
    <row r="660" spans="1:9" x14ac:dyDescent="0.25">
      <c r="A660">
        <f>'Team Info'!$B$3</f>
        <v>0</v>
      </c>
      <c r="B660">
        <f>'Female SR Individual Speed'!A93</f>
        <v>1</v>
      </c>
      <c r="C660" t="str">
        <f>'Female SR Individual Speed'!B93</f>
        <v>FSRS</v>
      </c>
      <c r="D660" t="str">
        <f>'Female SR Individual Speed'!C93</f>
        <v>17-18</v>
      </c>
      <c r="E660">
        <f>'Female SR Individual Speed'!D93</f>
        <v>0</v>
      </c>
      <c r="I660" t="str">
        <f t="shared" ref="I660:I699" si="19">VLOOKUP(C660,EVENTS,2,FALSE)</f>
        <v>FSRS-Female Single Rope Speed</v>
      </c>
    </row>
    <row r="661" spans="1:9" x14ac:dyDescent="0.25">
      <c r="A661">
        <f>'Team Info'!$B$3</f>
        <v>0</v>
      </c>
      <c r="B661">
        <f>'Female SR Individual Speed'!A94</f>
        <v>2</v>
      </c>
      <c r="C661" t="str">
        <f>'Female SR Individual Speed'!B94</f>
        <v>FSRS</v>
      </c>
      <c r="D661" t="str">
        <f>'Female SR Individual Speed'!C94</f>
        <v>17-18</v>
      </c>
      <c r="E661">
        <f>'Female SR Individual Speed'!D94</f>
        <v>0</v>
      </c>
      <c r="I661" t="str">
        <f t="shared" si="19"/>
        <v>FSRS-Female Single Rope Speed</v>
      </c>
    </row>
    <row r="662" spans="1:9" x14ac:dyDescent="0.25">
      <c r="A662">
        <f>'Team Info'!$B$3</f>
        <v>0</v>
      </c>
      <c r="B662">
        <f>'Female SR Individual Speed'!A95</f>
        <v>3</v>
      </c>
      <c r="C662" t="str">
        <f>'Female SR Individual Speed'!B95</f>
        <v>FSRS</v>
      </c>
      <c r="D662" t="str">
        <f>'Female SR Individual Speed'!C95</f>
        <v>17-18</v>
      </c>
      <c r="E662">
        <f>'Female SR Individual Speed'!D95</f>
        <v>0</v>
      </c>
      <c r="I662" t="str">
        <f t="shared" si="19"/>
        <v>FSRS-Female Single Rope Speed</v>
      </c>
    </row>
    <row r="663" spans="1:9" x14ac:dyDescent="0.25">
      <c r="A663">
        <f>'Team Info'!$B$3</f>
        <v>0</v>
      </c>
      <c r="B663">
        <f>'Female SR Individual Speed'!A96</f>
        <v>4</v>
      </c>
      <c r="C663" t="str">
        <f>'Female SR Individual Speed'!B96</f>
        <v>FSRS</v>
      </c>
      <c r="D663" t="str">
        <f>'Female SR Individual Speed'!C96</f>
        <v>17-18</v>
      </c>
      <c r="E663">
        <f>'Female SR Individual Speed'!D96</f>
        <v>0</v>
      </c>
      <c r="I663" t="str">
        <f t="shared" si="19"/>
        <v>FSRS-Female Single Rope Speed</v>
      </c>
    </row>
    <row r="664" spans="1:9" x14ac:dyDescent="0.25">
      <c r="A664">
        <f>'Team Info'!$B$3</f>
        <v>0</v>
      </c>
      <c r="B664">
        <f>'Female SR Individual Speed'!A97</f>
        <v>5</v>
      </c>
      <c r="C664" t="str">
        <f>'Female SR Individual Speed'!B97</f>
        <v>FSRS</v>
      </c>
      <c r="D664" t="str">
        <f>'Female SR Individual Speed'!C97</f>
        <v>17-18</v>
      </c>
      <c r="E664">
        <f>'Female SR Individual Speed'!D97</f>
        <v>0</v>
      </c>
      <c r="I664" t="str">
        <f t="shared" si="19"/>
        <v>FSRS-Female Single Rope Speed</v>
      </c>
    </row>
    <row r="665" spans="1:9" x14ac:dyDescent="0.25">
      <c r="A665">
        <f>'Team Info'!$B$3</f>
        <v>0</v>
      </c>
      <c r="B665">
        <f>'Female SR Individual Speed'!A98</f>
        <v>6</v>
      </c>
      <c r="C665" t="str">
        <f>'Female SR Individual Speed'!B98</f>
        <v>FSRS</v>
      </c>
      <c r="D665" t="str">
        <f>'Female SR Individual Speed'!C98</f>
        <v>17-18</v>
      </c>
      <c r="E665">
        <f>'Female SR Individual Speed'!D98</f>
        <v>0</v>
      </c>
      <c r="I665" t="str">
        <f t="shared" si="19"/>
        <v>FSRS-Female Single Rope Speed</v>
      </c>
    </row>
    <row r="666" spans="1:9" x14ac:dyDescent="0.25">
      <c r="A666">
        <f>'Team Info'!$B$3</f>
        <v>0</v>
      </c>
      <c r="B666">
        <f>'Female SR Individual Speed'!A99</f>
        <v>7</v>
      </c>
      <c r="C666" t="str">
        <f>'Female SR Individual Speed'!B99</f>
        <v>FSRS</v>
      </c>
      <c r="D666" t="str">
        <f>'Female SR Individual Speed'!C99</f>
        <v>17-18</v>
      </c>
      <c r="E666">
        <f>'Female SR Individual Speed'!D99</f>
        <v>0</v>
      </c>
      <c r="I666" t="str">
        <f t="shared" si="19"/>
        <v>FSRS-Female Single Rope Speed</v>
      </c>
    </row>
    <row r="667" spans="1:9" x14ac:dyDescent="0.25">
      <c r="A667">
        <f>'Team Info'!$B$3</f>
        <v>0</v>
      </c>
      <c r="B667">
        <f>'Female SR Individual Speed'!A100</f>
        <v>8</v>
      </c>
      <c r="C667" t="str">
        <f>'Female SR Individual Speed'!B100</f>
        <v>FSRS</v>
      </c>
      <c r="D667" t="str">
        <f>'Female SR Individual Speed'!C100</f>
        <v>17-18</v>
      </c>
      <c r="E667">
        <f>'Female SR Individual Speed'!D100</f>
        <v>0</v>
      </c>
      <c r="I667" t="str">
        <f t="shared" si="19"/>
        <v>FSRS-Female Single Rope Speed</v>
      </c>
    </row>
    <row r="668" spans="1:9" x14ac:dyDescent="0.25">
      <c r="A668">
        <f>'Team Info'!$B$3</f>
        <v>0</v>
      </c>
      <c r="B668">
        <f>'Female SR Individual Speed'!A101</f>
        <v>9</v>
      </c>
      <c r="C668" t="str">
        <f>'Female SR Individual Speed'!B101</f>
        <v>FSRS</v>
      </c>
      <c r="D668" t="str">
        <f>'Female SR Individual Speed'!C101</f>
        <v>17-18</v>
      </c>
      <c r="E668">
        <f>'Female SR Individual Speed'!D101</f>
        <v>0</v>
      </c>
      <c r="I668" t="str">
        <f t="shared" si="19"/>
        <v>FSRS-Female Single Rope Speed</v>
      </c>
    </row>
    <row r="669" spans="1:9" x14ac:dyDescent="0.25">
      <c r="A669">
        <f>'Team Info'!$B$3</f>
        <v>0</v>
      </c>
      <c r="B669">
        <f>'Female SR Individual Speed'!A102</f>
        <v>10</v>
      </c>
      <c r="C669" t="str">
        <f>'Female SR Individual Speed'!B102</f>
        <v>FSRS</v>
      </c>
      <c r="D669" t="str">
        <f>'Female SR Individual Speed'!C102</f>
        <v>17-18</v>
      </c>
      <c r="E669">
        <f>'Female SR Individual Speed'!D102</f>
        <v>0</v>
      </c>
      <c r="I669" t="str">
        <f t="shared" si="19"/>
        <v>FSRS-Female Single Rope Speed</v>
      </c>
    </row>
    <row r="670" spans="1:9" x14ac:dyDescent="0.25">
      <c r="A670">
        <f>'Team Info'!$B$3</f>
        <v>0</v>
      </c>
      <c r="B670">
        <f>'Female SR Individual Speed'!A103</f>
        <v>11</v>
      </c>
      <c r="C670" t="str">
        <f>'Female SR Individual Speed'!B103</f>
        <v>FSRS</v>
      </c>
      <c r="D670" t="str">
        <f>'Female SR Individual Speed'!C103</f>
        <v>17-18</v>
      </c>
      <c r="E670">
        <f>'Female SR Individual Speed'!D103</f>
        <v>0</v>
      </c>
      <c r="I670" t="str">
        <f t="shared" si="19"/>
        <v>FSRS-Female Single Rope Speed</v>
      </c>
    </row>
    <row r="671" spans="1:9" x14ac:dyDescent="0.25">
      <c r="A671">
        <f>'Team Info'!$B$3</f>
        <v>0</v>
      </c>
      <c r="B671">
        <f>'Female SR Individual Speed'!A104</f>
        <v>12</v>
      </c>
      <c r="C671" t="str">
        <f>'Female SR Individual Speed'!B104</f>
        <v>FSRS</v>
      </c>
      <c r="D671" t="str">
        <f>'Female SR Individual Speed'!C104</f>
        <v>17-18</v>
      </c>
      <c r="E671">
        <f>'Female SR Individual Speed'!D104</f>
        <v>0</v>
      </c>
      <c r="I671" t="str">
        <f t="shared" si="19"/>
        <v>FSRS-Female Single Rope Speed</v>
      </c>
    </row>
    <row r="672" spans="1:9" x14ac:dyDescent="0.25">
      <c r="A672">
        <f>'Team Info'!$B$3</f>
        <v>0</v>
      </c>
      <c r="B672">
        <f>'Female SR Individual Speed'!A105</f>
        <v>13</v>
      </c>
      <c r="C672" t="str">
        <f>'Female SR Individual Speed'!B105</f>
        <v>FSRS</v>
      </c>
      <c r="D672" t="str">
        <f>'Female SR Individual Speed'!C105</f>
        <v>17-18</v>
      </c>
      <c r="E672">
        <f>'Female SR Individual Speed'!D105</f>
        <v>0</v>
      </c>
      <c r="I672" t="str">
        <f t="shared" si="19"/>
        <v>FSRS-Female Single Rope Speed</v>
      </c>
    </row>
    <row r="673" spans="1:9" x14ac:dyDescent="0.25">
      <c r="A673">
        <f>'Team Info'!$B$3</f>
        <v>0</v>
      </c>
      <c r="B673">
        <f>'Female SR Individual Speed'!A106</f>
        <v>14</v>
      </c>
      <c r="C673" t="str">
        <f>'Female SR Individual Speed'!B106</f>
        <v>FSRS</v>
      </c>
      <c r="D673" t="str">
        <f>'Female SR Individual Speed'!C106</f>
        <v>17-18</v>
      </c>
      <c r="E673">
        <f>'Female SR Individual Speed'!D106</f>
        <v>0</v>
      </c>
      <c r="I673" t="str">
        <f t="shared" si="19"/>
        <v>FSRS-Female Single Rope Speed</v>
      </c>
    </row>
    <row r="674" spans="1:9" x14ac:dyDescent="0.25">
      <c r="A674">
        <f>'Team Info'!$B$3</f>
        <v>0</v>
      </c>
      <c r="B674">
        <f>'Female SR Individual Speed'!A107</f>
        <v>15</v>
      </c>
      <c r="C674" t="str">
        <f>'Female SR Individual Speed'!B107</f>
        <v>FSRS</v>
      </c>
      <c r="D674" t="str">
        <f>'Female SR Individual Speed'!C107</f>
        <v>17-18</v>
      </c>
      <c r="E674">
        <f>'Female SR Individual Speed'!D107</f>
        <v>0</v>
      </c>
      <c r="I674" t="str">
        <f t="shared" si="19"/>
        <v>FSRS-Female Single Rope Speed</v>
      </c>
    </row>
    <row r="675" spans="1:9" x14ac:dyDescent="0.25">
      <c r="A675">
        <f>'Team Info'!$B$3</f>
        <v>0</v>
      </c>
      <c r="B675">
        <f>'Female SR Individual Speed'!A108</f>
        <v>16</v>
      </c>
      <c r="C675" t="str">
        <f>'Female SR Individual Speed'!B108</f>
        <v>FSRS</v>
      </c>
      <c r="D675" t="str">
        <f>'Female SR Individual Speed'!C108</f>
        <v>17-18</v>
      </c>
      <c r="E675">
        <f>'Female SR Individual Speed'!D108</f>
        <v>0</v>
      </c>
      <c r="I675" t="str">
        <f t="shared" si="19"/>
        <v>FSRS-Female Single Rope Speed</v>
      </c>
    </row>
    <row r="676" spans="1:9" x14ac:dyDescent="0.25">
      <c r="A676">
        <f>'Team Info'!$B$3</f>
        <v>0</v>
      </c>
      <c r="B676">
        <f>'Female SR Individual Speed'!A109</f>
        <v>17</v>
      </c>
      <c r="C676" t="str">
        <f>'Female SR Individual Speed'!B109</f>
        <v>FSRS</v>
      </c>
      <c r="D676" t="str">
        <f>'Female SR Individual Speed'!C109</f>
        <v>17-18</v>
      </c>
      <c r="E676">
        <f>'Female SR Individual Speed'!D109</f>
        <v>0</v>
      </c>
      <c r="I676" t="str">
        <f t="shared" si="19"/>
        <v>FSRS-Female Single Rope Speed</v>
      </c>
    </row>
    <row r="677" spans="1:9" x14ac:dyDescent="0.25">
      <c r="A677">
        <f>'Team Info'!$B$3</f>
        <v>0</v>
      </c>
      <c r="B677">
        <f>'Female SR Individual Speed'!A110</f>
        <v>18</v>
      </c>
      <c r="C677" t="str">
        <f>'Female SR Individual Speed'!B110</f>
        <v>FSRS</v>
      </c>
      <c r="D677" t="str">
        <f>'Female SR Individual Speed'!C110</f>
        <v>17-18</v>
      </c>
      <c r="E677">
        <f>'Female SR Individual Speed'!D110</f>
        <v>0</v>
      </c>
      <c r="I677" t="str">
        <f t="shared" si="19"/>
        <v>FSRS-Female Single Rope Speed</v>
      </c>
    </row>
    <row r="678" spans="1:9" x14ac:dyDescent="0.25">
      <c r="A678">
        <f>'Team Info'!$B$3</f>
        <v>0</v>
      </c>
      <c r="B678">
        <f>'Female SR Individual Speed'!A111</f>
        <v>19</v>
      </c>
      <c r="C678" t="str">
        <f>'Female SR Individual Speed'!B111</f>
        <v>FSRS</v>
      </c>
      <c r="D678" t="str">
        <f>'Female SR Individual Speed'!C111</f>
        <v>17-18</v>
      </c>
      <c r="E678">
        <f>'Female SR Individual Speed'!D111</f>
        <v>0</v>
      </c>
      <c r="I678" t="str">
        <f t="shared" si="19"/>
        <v>FSRS-Female Single Rope Speed</v>
      </c>
    </row>
    <row r="679" spans="1:9" x14ac:dyDescent="0.25">
      <c r="A679">
        <f>'Team Info'!$B$3</f>
        <v>0</v>
      </c>
      <c r="B679">
        <f>'Female SR Individual Speed'!A112</f>
        <v>20</v>
      </c>
      <c r="C679" t="str">
        <f>'Female SR Individual Speed'!B112</f>
        <v>FSRS</v>
      </c>
      <c r="D679" t="str">
        <f>'Female SR Individual Speed'!C112</f>
        <v>17-18</v>
      </c>
      <c r="E679">
        <f>'Female SR Individual Speed'!D112</f>
        <v>0</v>
      </c>
      <c r="I679" t="str">
        <f t="shared" si="19"/>
        <v>FSRS-Female Single Rope Speed</v>
      </c>
    </row>
    <row r="680" spans="1:9" x14ac:dyDescent="0.25">
      <c r="A680">
        <f>'Team Info'!$B$3</f>
        <v>0</v>
      </c>
      <c r="B680">
        <f>'Female SR Individual Speed'!H93</f>
        <v>1</v>
      </c>
      <c r="C680" t="str">
        <f>'Female SR Individual Speed'!I93</f>
        <v>FSRS</v>
      </c>
      <c r="D680" t="str">
        <f>'Female SR Individual Speed'!J93</f>
        <v>19-22</v>
      </c>
      <c r="E680">
        <f>'Female SR Individual Speed'!K93</f>
        <v>0</v>
      </c>
      <c r="I680" t="str">
        <f t="shared" si="19"/>
        <v>FSRS-Female Single Rope Speed</v>
      </c>
    </row>
    <row r="681" spans="1:9" x14ac:dyDescent="0.25">
      <c r="A681">
        <f>'Team Info'!$B$3</f>
        <v>0</v>
      </c>
      <c r="B681">
        <f>'Female SR Individual Speed'!H94</f>
        <v>2</v>
      </c>
      <c r="C681" t="str">
        <f>'Female SR Individual Speed'!I94</f>
        <v>FSRS</v>
      </c>
      <c r="D681" t="str">
        <f>'Female SR Individual Speed'!J94</f>
        <v>19-22</v>
      </c>
      <c r="E681">
        <f>'Female SR Individual Speed'!K94</f>
        <v>0</v>
      </c>
      <c r="I681" t="str">
        <f t="shared" si="19"/>
        <v>FSRS-Female Single Rope Speed</v>
      </c>
    </row>
    <row r="682" spans="1:9" x14ac:dyDescent="0.25">
      <c r="A682">
        <f>'Team Info'!$B$3</f>
        <v>0</v>
      </c>
      <c r="B682">
        <f>'Female SR Individual Speed'!H95</f>
        <v>3</v>
      </c>
      <c r="C682" t="str">
        <f>'Female SR Individual Speed'!I95</f>
        <v>FSRS</v>
      </c>
      <c r="D682" t="str">
        <f>'Female SR Individual Speed'!J95</f>
        <v>19-22</v>
      </c>
      <c r="E682">
        <f>'Female SR Individual Speed'!K95</f>
        <v>0</v>
      </c>
      <c r="I682" t="str">
        <f t="shared" si="19"/>
        <v>FSRS-Female Single Rope Speed</v>
      </c>
    </row>
    <row r="683" spans="1:9" x14ac:dyDescent="0.25">
      <c r="A683">
        <f>'Team Info'!$B$3</f>
        <v>0</v>
      </c>
      <c r="B683">
        <f>'Female SR Individual Speed'!H96</f>
        <v>4</v>
      </c>
      <c r="C683" t="str">
        <f>'Female SR Individual Speed'!I96</f>
        <v>FSRS</v>
      </c>
      <c r="D683" t="str">
        <f>'Female SR Individual Speed'!J96</f>
        <v>19-22</v>
      </c>
      <c r="E683">
        <f>'Female SR Individual Speed'!K96</f>
        <v>0</v>
      </c>
      <c r="I683" t="str">
        <f t="shared" si="19"/>
        <v>FSRS-Female Single Rope Speed</v>
      </c>
    </row>
    <row r="684" spans="1:9" x14ac:dyDescent="0.25">
      <c r="A684">
        <f>'Team Info'!$B$3</f>
        <v>0</v>
      </c>
      <c r="B684">
        <f>'Female SR Individual Speed'!H97</f>
        <v>5</v>
      </c>
      <c r="C684" t="str">
        <f>'Female SR Individual Speed'!I97</f>
        <v>FSRS</v>
      </c>
      <c r="D684" t="str">
        <f>'Female SR Individual Speed'!J97</f>
        <v>19-22</v>
      </c>
      <c r="E684">
        <f>'Female SR Individual Speed'!K97</f>
        <v>0</v>
      </c>
      <c r="I684" t="str">
        <f t="shared" si="19"/>
        <v>FSRS-Female Single Rope Speed</v>
      </c>
    </row>
    <row r="685" spans="1:9" x14ac:dyDescent="0.25">
      <c r="A685">
        <f>'Team Info'!$B$3</f>
        <v>0</v>
      </c>
      <c r="B685">
        <f>'Female SR Individual Speed'!H98</f>
        <v>6</v>
      </c>
      <c r="C685" t="str">
        <f>'Female SR Individual Speed'!I98</f>
        <v>FSRS</v>
      </c>
      <c r="D685" t="str">
        <f>'Female SR Individual Speed'!J98</f>
        <v>19-22</v>
      </c>
      <c r="E685">
        <f>'Female SR Individual Speed'!K98</f>
        <v>0</v>
      </c>
      <c r="I685" t="str">
        <f t="shared" si="19"/>
        <v>FSRS-Female Single Rope Speed</v>
      </c>
    </row>
    <row r="686" spans="1:9" x14ac:dyDescent="0.25">
      <c r="A686">
        <f>'Team Info'!$B$3</f>
        <v>0</v>
      </c>
      <c r="B686">
        <f>'Female SR Individual Speed'!H99</f>
        <v>7</v>
      </c>
      <c r="C686" t="str">
        <f>'Female SR Individual Speed'!I99</f>
        <v>FSRS</v>
      </c>
      <c r="D686" t="str">
        <f>'Female SR Individual Speed'!J99</f>
        <v>19-22</v>
      </c>
      <c r="E686">
        <f>'Female SR Individual Speed'!K99</f>
        <v>0</v>
      </c>
      <c r="I686" t="str">
        <f t="shared" si="19"/>
        <v>FSRS-Female Single Rope Speed</v>
      </c>
    </row>
    <row r="687" spans="1:9" x14ac:dyDescent="0.25">
      <c r="A687">
        <f>'Team Info'!$B$3</f>
        <v>0</v>
      </c>
      <c r="B687">
        <f>'Female SR Individual Speed'!H100</f>
        <v>8</v>
      </c>
      <c r="C687" t="str">
        <f>'Female SR Individual Speed'!I100</f>
        <v>FSRS</v>
      </c>
      <c r="D687" t="str">
        <f>'Female SR Individual Speed'!J100</f>
        <v>19-22</v>
      </c>
      <c r="E687">
        <f>'Female SR Individual Speed'!K100</f>
        <v>0</v>
      </c>
      <c r="I687" t="str">
        <f t="shared" si="19"/>
        <v>FSRS-Female Single Rope Speed</v>
      </c>
    </row>
    <row r="688" spans="1:9" x14ac:dyDescent="0.25">
      <c r="A688">
        <f>'Team Info'!$B$3</f>
        <v>0</v>
      </c>
      <c r="B688">
        <f>'Female SR Individual Speed'!H101</f>
        <v>9</v>
      </c>
      <c r="C688" t="str">
        <f>'Female SR Individual Speed'!I101</f>
        <v>FSRS</v>
      </c>
      <c r="D688" t="str">
        <f>'Female SR Individual Speed'!J101</f>
        <v>19-22</v>
      </c>
      <c r="E688">
        <f>'Female SR Individual Speed'!K101</f>
        <v>0</v>
      </c>
      <c r="I688" t="str">
        <f t="shared" si="19"/>
        <v>FSRS-Female Single Rope Speed</v>
      </c>
    </row>
    <row r="689" spans="1:9" x14ac:dyDescent="0.25">
      <c r="A689">
        <f>'Team Info'!$B$3</f>
        <v>0</v>
      </c>
      <c r="B689">
        <f>'Female SR Individual Speed'!H102</f>
        <v>10</v>
      </c>
      <c r="C689" t="str">
        <f>'Female SR Individual Speed'!I102</f>
        <v>FSRS</v>
      </c>
      <c r="D689" t="str">
        <f>'Female SR Individual Speed'!J102</f>
        <v>19-22</v>
      </c>
      <c r="E689">
        <f>'Female SR Individual Speed'!K102</f>
        <v>0</v>
      </c>
      <c r="I689" t="str">
        <f t="shared" si="19"/>
        <v>FSRS-Female Single Rope Speed</v>
      </c>
    </row>
    <row r="690" spans="1:9" x14ac:dyDescent="0.25">
      <c r="A690">
        <f>'Team Info'!$B$3</f>
        <v>0</v>
      </c>
      <c r="B690">
        <f>'Female SR Individual Speed'!H103</f>
        <v>11</v>
      </c>
      <c r="C690" t="str">
        <f>'Female SR Individual Speed'!I103</f>
        <v>FSRS</v>
      </c>
      <c r="D690" t="str">
        <f>'Female SR Individual Speed'!J103</f>
        <v>19-22</v>
      </c>
      <c r="E690">
        <f>'Female SR Individual Speed'!K103</f>
        <v>0</v>
      </c>
      <c r="I690" t="str">
        <f t="shared" si="19"/>
        <v>FSRS-Female Single Rope Speed</v>
      </c>
    </row>
    <row r="691" spans="1:9" x14ac:dyDescent="0.25">
      <c r="A691">
        <f>'Team Info'!$B$3</f>
        <v>0</v>
      </c>
      <c r="B691">
        <f>'Female SR Individual Speed'!H104</f>
        <v>12</v>
      </c>
      <c r="C691" t="str">
        <f>'Female SR Individual Speed'!I104</f>
        <v>FSRS</v>
      </c>
      <c r="D691" t="str">
        <f>'Female SR Individual Speed'!J104</f>
        <v>19-22</v>
      </c>
      <c r="E691">
        <f>'Female SR Individual Speed'!K104</f>
        <v>0</v>
      </c>
      <c r="I691" t="str">
        <f t="shared" si="19"/>
        <v>FSRS-Female Single Rope Speed</v>
      </c>
    </row>
    <row r="692" spans="1:9" x14ac:dyDescent="0.25">
      <c r="A692">
        <f>'Team Info'!$B$3</f>
        <v>0</v>
      </c>
      <c r="B692">
        <f>'Female SR Individual Speed'!H105</f>
        <v>13</v>
      </c>
      <c r="C692" t="str">
        <f>'Female SR Individual Speed'!I105</f>
        <v>FSRS</v>
      </c>
      <c r="D692" t="str">
        <f>'Female SR Individual Speed'!J105</f>
        <v>19-22</v>
      </c>
      <c r="E692">
        <f>'Female SR Individual Speed'!K105</f>
        <v>0</v>
      </c>
      <c r="I692" t="str">
        <f t="shared" si="19"/>
        <v>FSRS-Female Single Rope Speed</v>
      </c>
    </row>
    <row r="693" spans="1:9" x14ac:dyDescent="0.25">
      <c r="A693">
        <f>'Team Info'!$B$3</f>
        <v>0</v>
      </c>
      <c r="B693">
        <f>'Female SR Individual Speed'!H106</f>
        <v>14</v>
      </c>
      <c r="C693" t="str">
        <f>'Female SR Individual Speed'!I106</f>
        <v>FSRS</v>
      </c>
      <c r="D693" t="str">
        <f>'Female SR Individual Speed'!J106</f>
        <v>19-22</v>
      </c>
      <c r="E693">
        <f>'Female SR Individual Speed'!K106</f>
        <v>0</v>
      </c>
      <c r="I693" t="str">
        <f t="shared" si="19"/>
        <v>FSRS-Female Single Rope Speed</v>
      </c>
    </row>
    <row r="694" spans="1:9" x14ac:dyDescent="0.25">
      <c r="A694">
        <f>'Team Info'!$B$3</f>
        <v>0</v>
      </c>
      <c r="B694">
        <f>'Female SR Individual Speed'!H107</f>
        <v>15</v>
      </c>
      <c r="C694" t="str">
        <f>'Female SR Individual Speed'!I107</f>
        <v>FSRS</v>
      </c>
      <c r="D694" t="str">
        <f>'Female SR Individual Speed'!J107</f>
        <v>19-22</v>
      </c>
      <c r="E694">
        <f>'Female SR Individual Speed'!K107</f>
        <v>0</v>
      </c>
      <c r="I694" t="str">
        <f t="shared" si="19"/>
        <v>FSRS-Female Single Rope Speed</v>
      </c>
    </row>
    <row r="695" spans="1:9" x14ac:dyDescent="0.25">
      <c r="A695">
        <f>'Team Info'!$B$3</f>
        <v>0</v>
      </c>
      <c r="B695">
        <f>'Female SR Individual Speed'!H108</f>
        <v>16</v>
      </c>
      <c r="C695" t="str">
        <f>'Female SR Individual Speed'!I108</f>
        <v>FSRS</v>
      </c>
      <c r="D695" t="str">
        <f>'Female SR Individual Speed'!J108</f>
        <v>19-22</v>
      </c>
      <c r="E695">
        <f>'Female SR Individual Speed'!K108</f>
        <v>0</v>
      </c>
      <c r="I695" t="str">
        <f t="shared" si="19"/>
        <v>FSRS-Female Single Rope Speed</v>
      </c>
    </row>
    <row r="696" spans="1:9" x14ac:dyDescent="0.25">
      <c r="A696">
        <f>'Team Info'!$B$3</f>
        <v>0</v>
      </c>
      <c r="B696">
        <f>'Female SR Individual Speed'!H109</f>
        <v>17</v>
      </c>
      <c r="C696" t="str">
        <f>'Female SR Individual Speed'!I109</f>
        <v>FSRS</v>
      </c>
      <c r="D696" t="str">
        <f>'Female SR Individual Speed'!J109</f>
        <v>19-22</v>
      </c>
      <c r="E696">
        <f>'Female SR Individual Speed'!K109</f>
        <v>0</v>
      </c>
      <c r="I696" t="str">
        <f t="shared" si="19"/>
        <v>FSRS-Female Single Rope Speed</v>
      </c>
    </row>
    <row r="697" spans="1:9" x14ac:dyDescent="0.25">
      <c r="A697">
        <f>'Team Info'!$B$3</f>
        <v>0</v>
      </c>
      <c r="B697">
        <f>'Female SR Individual Speed'!H110</f>
        <v>18</v>
      </c>
      <c r="C697" t="str">
        <f>'Female SR Individual Speed'!I110</f>
        <v>FSRS</v>
      </c>
      <c r="D697" t="str">
        <f>'Female SR Individual Speed'!J110</f>
        <v>19-22</v>
      </c>
      <c r="E697">
        <f>'Female SR Individual Speed'!K110</f>
        <v>0</v>
      </c>
      <c r="I697" t="str">
        <f t="shared" si="19"/>
        <v>FSRS-Female Single Rope Speed</v>
      </c>
    </row>
    <row r="698" spans="1:9" x14ac:dyDescent="0.25">
      <c r="A698">
        <f>'Team Info'!$B$3</f>
        <v>0</v>
      </c>
      <c r="B698">
        <f>'Female SR Individual Speed'!H111</f>
        <v>19</v>
      </c>
      <c r="C698" t="str">
        <f>'Female SR Individual Speed'!I111</f>
        <v>FSRS</v>
      </c>
      <c r="D698" t="str">
        <f>'Female SR Individual Speed'!J111</f>
        <v>19-22</v>
      </c>
      <c r="E698">
        <f>'Female SR Individual Speed'!K111</f>
        <v>0</v>
      </c>
      <c r="I698" t="str">
        <f t="shared" si="19"/>
        <v>FSRS-Female Single Rope Speed</v>
      </c>
    </row>
    <row r="699" spans="1:9" x14ac:dyDescent="0.25">
      <c r="A699">
        <f>'Team Info'!$B$3</f>
        <v>0</v>
      </c>
      <c r="B699">
        <f>'Female SR Individual Speed'!H112</f>
        <v>20</v>
      </c>
      <c r="C699" t="str">
        <f>'Female SR Individual Speed'!I112</f>
        <v>FSRS</v>
      </c>
      <c r="D699" t="str">
        <f>'Female SR Individual Speed'!J112</f>
        <v>19-22</v>
      </c>
      <c r="E699">
        <f>'Female SR Individual Speed'!K112</f>
        <v>0</v>
      </c>
      <c r="I699" t="str">
        <f t="shared" si="19"/>
        <v>FSRS-Female Single Rope Speed</v>
      </c>
    </row>
    <row r="700" spans="1:9" x14ac:dyDescent="0.25">
      <c r="A700">
        <f>'Team Info'!$B$3</f>
        <v>0</v>
      </c>
      <c r="B700">
        <f>'Female SR Individual Speed'!A115</f>
        <v>1</v>
      </c>
      <c r="C700" t="str">
        <f>'Female SR Individual Speed'!B115</f>
        <v>FSRS</v>
      </c>
      <c r="D700" t="str">
        <f>'Female SR Individual Speed'!C115</f>
        <v>23-29</v>
      </c>
      <c r="E700">
        <f>'Female SR Individual Speed'!D115</f>
        <v>0</v>
      </c>
      <c r="I700" t="str">
        <f t="shared" si="18"/>
        <v>FSRS-Female Single Rope Speed</v>
      </c>
    </row>
    <row r="701" spans="1:9" x14ac:dyDescent="0.25">
      <c r="A701">
        <f>'Team Info'!$B$3</f>
        <v>0</v>
      </c>
      <c r="B701">
        <f>'Female SR Individual Speed'!A116</f>
        <v>2</v>
      </c>
      <c r="C701" t="str">
        <f>'Female SR Individual Speed'!B116</f>
        <v>FSRS</v>
      </c>
      <c r="D701" t="str">
        <f>'Female SR Individual Speed'!C116</f>
        <v>23-29</v>
      </c>
      <c r="E701">
        <f>'Female SR Individual Speed'!D116</f>
        <v>0</v>
      </c>
      <c r="I701" t="str">
        <f t="shared" si="18"/>
        <v>FSRS-Female Single Rope Speed</v>
      </c>
    </row>
    <row r="702" spans="1:9" x14ac:dyDescent="0.25">
      <c r="A702">
        <f>'Team Info'!$B$3</f>
        <v>0</v>
      </c>
      <c r="B702">
        <f>'Female SR Individual Speed'!A117</f>
        <v>3</v>
      </c>
      <c r="C702" t="str">
        <f>'Female SR Individual Speed'!B117</f>
        <v>FSRS</v>
      </c>
      <c r="D702" t="str">
        <f>'Female SR Individual Speed'!C117</f>
        <v>23-29</v>
      </c>
      <c r="E702">
        <f>'Female SR Individual Speed'!D117</f>
        <v>0</v>
      </c>
      <c r="I702" t="str">
        <f t="shared" si="18"/>
        <v>FSRS-Female Single Rope Speed</v>
      </c>
    </row>
    <row r="703" spans="1:9" x14ac:dyDescent="0.25">
      <c r="A703">
        <f>'Team Info'!$B$3</f>
        <v>0</v>
      </c>
      <c r="B703">
        <f>'Female SR Individual Speed'!A118</f>
        <v>4</v>
      </c>
      <c r="C703" t="str">
        <f>'Female SR Individual Speed'!B118</f>
        <v>FSRS</v>
      </c>
      <c r="D703" t="str">
        <f>'Female SR Individual Speed'!C118</f>
        <v>23-29</v>
      </c>
      <c r="E703">
        <f>'Female SR Individual Speed'!D118</f>
        <v>0</v>
      </c>
      <c r="I703" t="str">
        <f t="shared" si="18"/>
        <v>FSRS-Female Single Rope Speed</v>
      </c>
    </row>
    <row r="704" spans="1:9" x14ac:dyDescent="0.25">
      <c r="A704">
        <f>'Team Info'!$B$3</f>
        <v>0</v>
      </c>
      <c r="B704">
        <f>'Female SR Individual Speed'!A119</f>
        <v>5</v>
      </c>
      <c r="C704" t="str">
        <f>'Female SR Individual Speed'!B119</f>
        <v>FSRS</v>
      </c>
      <c r="D704" t="str">
        <f>'Female SR Individual Speed'!C119</f>
        <v>23-29</v>
      </c>
      <c r="E704">
        <f>'Female SR Individual Speed'!D119</f>
        <v>0</v>
      </c>
      <c r="I704" t="str">
        <f t="shared" si="18"/>
        <v>FSRS-Female Single Rope Speed</v>
      </c>
    </row>
    <row r="705" spans="1:9" x14ac:dyDescent="0.25">
      <c r="A705">
        <f>'Team Info'!$B$3</f>
        <v>0</v>
      </c>
      <c r="B705">
        <f>'Female SR Individual Speed'!A120</f>
        <v>6</v>
      </c>
      <c r="C705" t="str">
        <f>'Female SR Individual Speed'!B120</f>
        <v>FSRS</v>
      </c>
      <c r="D705" t="str">
        <f>'Female SR Individual Speed'!C120</f>
        <v>23-29</v>
      </c>
      <c r="E705">
        <f>'Female SR Individual Speed'!D120</f>
        <v>0</v>
      </c>
      <c r="I705" t="str">
        <f t="shared" si="18"/>
        <v>FSRS-Female Single Rope Speed</v>
      </c>
    </row>
    <row r="706" spans="1:9" x14ac:dyDescent="0.25">
      <c r="A706">
        <f>'Team Info'!$B$3</f>
        <v>0</v>
      </c>
      <c r="B706">
        <f>'Female SR Individual Speed'!A121</f>
        <v>7</v>
      </c>
      <c r="C706" t="str">
        <f>'Female SR Individual Speed'!B121</f>
        <v>FSRS</v>
      </c>
      <c r="D706" t="str">
        <f>'Female SR Individual Speed'!C121</f>
        <v>23-29</v>
      </c>
      <c r="E706">
        <f>'Female SR Individual Speed'!D121</f>
        <v>0</v>
      </c>
      <c r="I706" t="str">
        <f t="shared" si="18"/>
        <v>FSRS-Female Single Rope Speed</v>
      </c>
    </row>
    <row r="707" spans="1:9" x14ac:dyDescent="0.25">
      <c r="A707">
        <f>'Team Info'!$B$3</f>
        <v>0</v>
      </c>
      <c r="B707">
        <f>'Female SR Individual Speed'!A122</f>
        <v>8</v>
      </c>
      <c r="C707" t="str">
        <f>'Female SR Individual Speed'!B122</f>
        <v>FSRS</v>
      </c>
      <c r="D707" t="str">
        <f>'Female SR Individual Speed'!C122</f>
        <v>23-29</v>
      </c>
      <c r="E707">
        <f>'Female SR Individual Speed'!D122</f>
        <v>0</v>
      </c>
      <c r="I707" t="str">
        <f t="shared" si="18"/>
        <v>FSRS-Female Single Rope Speed</v>
      </c>
    </row>
    <row r="708" spans="1:9" x14ac:dyDescent="0.25">
      <c r="A708">
        <f>'Team Info'!$B$3</f>
        <v>0</v>
      </c>
      <c r="B708">
        <f>'Female SR Individual Speed'!H115</f>
        <v>1</v>
      </c>
      <c r="C708" t="str">
        <f>'Female SR Individual Speed'!I115</f>
        <v>FSRS</v>
      </c>
      <c r="D708" t="str">
        <f>'Female SR Individual Speed'!J115</f>
        <v>30-49</v>
      </c>
      <c r="E708">
        <f>'Female SR Individual Speed'!K115</f>
        <v>0</v>
      </c>
      <c r="I708" t="str">
        <f t="shared" si="18"/>
        <v>FSRS-Female Single Rope Speed</v>
      </c>
    </row>
    <row r="709" spans="1:9" x14ac:dyDescent="0.25">
      <c r="A709">
        <f>'Team Info'!$B$3</f>
        <v>0</v>
      </c>
      <c r="B709">
        <f>'Female SR Individual Speed'!H116</f>
        <v>2</v>
      </c>
      <c r="C709" t="str">
        <f>'Female SR Individual Speed'!I116</f>
        <v>FSRS</v>
      </c>
      <c r="D709" t="str">
        <f>'Female SR Individual Speed'!J116</f>
        <v>30-49</v>
      </c>
      <c r="E709">
        <f>'Female SR Individual Speed'!K116</f>
        <v>0</v>
      </c>
      <c r="I709" t="str">
        <f t="shared" si="18"/>
        <v>FSRS-Female Single Rope Speed</v>
      </c>
    </row>
    <row r="710" spans="1:9" x14ac:dyDescent="0.25">
      <c r="A710">
        <f>'Team Info'!$B$3</f>
        <v>0</v>
      </c>
      <c r="B710">
        <f>'Female SR Individual Speed'!H117</f>
        <v>3</v>
      </c>
      <c r="C710" t="str">
        <f>'Female SR Individual Speed'!I117</f>
        <v>FSRS</v>
      </c>
      <c r="D710" t="str">
        <f>'Female SR Individual Speed'!J117</f>
        <v>30-49</v>
      </c>
      <c r="E710">
        <f>'Female SR Individual Speed'!K117</f>
        <v>0</v>
      </c>
      <c r="I710" t="str">
        <f t="shared" si="18"/>
        <v>FSRS-Female Single Rope Speed</v>
      </c>
    </row>
    <row r="711" spans="1:9" x14ac:dyDescent="0.25">
      <c r="A711">
        <f>'Team Info'!$B$3</f>
        <v>0</v>
      </c>
      <c r="B711">
        <f>'Female SR Individual Speed'!H118</f>
        <v>4</v>
      </c>
      <c r="C711" t="str">
        <f>'Female SR Individual Speed'!I118</f>
        <v>FSRS</v>
      </c>
      <c r="D711" t="str">
        <f>'Female SR Individual Speed'!J118</f>
        <v>30-49</v>
      </c>
      <c r="E711">
        <f>'Female SR Individual Speed'!K118</f>
        <v>0</v>
      </c>
      <c r="I711" t="str">
        <f t="shared" si="18"/>
        <v>FSRS-Female Single Rope Speed</v>
      </c>
    </row>
    <row r="712" spans="1:9" x14ac:dyDescent="0.25">
      <c r="A712">
        <f>'Team Info'!$B$3</f>
        <v>0</v>
      </c>
      <c r="B712">
        <f>'Female SR Individual Speed'!H119</f>
        <v>5</v>
      </c>
      <c r="C712" t="str">
        <f>'Female SR Individual Speed'!I119</f>
        <v>FSRS</v>
      </c>
      <c r="D712" t="str">
        <f>'Female SR Individual Speed'!J119</f>
        <v>30-49</v>
      </c>
      <c r="E712">
        <f>'Female SR Individual Speed'!K119</f>
        <v>0</v>
      </c>
      <c r="I712" t="str">
        <f t="shared" si="18"/>
        <v>FSRS-Female Single Rope Speed</v>
      </c>
    </row>
    <row r="713" spans="1:9" x14ac:dyDescent="0.25">
      <c r="A713">
        <f>'Team Info'!$B$3</f>
        <v>0</v>
      </c>
      <c r="B713">
        <f>'Female SR Individual Speed'!H120</f>
        <v>6</v>
      </c>
      <c r="C713" t="str">
        <f>'Female SR Individual Speed'!I120</f>
        <v>FSRS</v>
      </c>
      <c r="D713" t="str">
        <f>'Female SR Individual Speed'!J120</f>
        <v>30-49</v>
      </c>
      <c r="E713">
        <f>'Female SR Individual Speed'!K120</f>
        <v>0</v>
      </c>
      <c r="I713" t="str">
        <f t="shared" ref="I713:I715" si="20">VLOOKUP(C713,EVENTS,2,FALSE)</f>
        <v>FSRS-Female Single Rope Speed</v>
      </c>
    </row>
    <row r="714" spans="1:9" x14ac:dyDescent="0.25">
      <c r="A714">
        <f>'Team Info'!$B$3</f>
        <v>0</v>
      </c>
      <c r="B714">
        <f>'Female SR Individual Speed'!H121</f>
        <v>7</v>
      </c>
      <c r="C714" t="str">
        <f>'Female SR Individual Speed'!I121</f>
        <v>FSRS</v>
      </c>
      <c r="D714" t="str">
        <f>'Female SR Individual Speed'!J121</f>
        <v>30-49</v>
      </c>
      <c r="E714">
        <f>'Female SR Individual Speed'!K121</f>
        <v>0</v>
      </c>
      <c r="I714" t="str">
        <f t="shared" si="20"/>
        <v>FSRS-Female Single Rope Speed</v>
      </c>
    </row>
    <row r="715" spans="1:9" x14ac:dyDescent="0.25">
      <c r="A715">
        <f>'Team Info'!$B$3</f>
        <v>0</v>
      </c>
      <c r="B715">
        <f>'Female SR Individual Speed'!H122</f>
        <v>8</v>
      </c>
      <c r="C715" t="str">
        <f>'Female SR Individual Speed'!I122</f>
        <v>FSRS</v>
      </c>
      <c r="D715" t="str">
        <f>'Female SR Individual Speed'!J122</f>
        <v>30-49</v>
      </c>
      <c r="E715">
        <f>'Female SR Individual Speed'!K122</f>
        <v>0</v>
      </c>
      <c r="I715" t="str">
        <f t="shared" si="20"/>
        <v>FSRS-Female Single Rope Speed</v>
      </c>
    </row>
    <row r="716" spans="1:9" x14ac:dyDescent="0.25">
      <c r="A716">
        <f>'Team Info'!$B$3</f>
        <v>0</v>
      </c>
      <c r="B716">
        <f>'Female SR Individual Speed'!A125</f>
        <v>1</v>
      </c>
      <c r="C716" t="str">
        <f>'Female SR Individual Speed'!B125</f>
        <v>FSRS</v>
      </c>
      <c r="D716" t="str">
        <f>'Female SR Individual Speed'!C125</f>
        <v>50-Over</v>
      </c>
      <c r="E716">
        <f>'Female SR Individual Speed'!D125</f>
        <v>0</v>
      </c>
      <c r="I716" t="str">
        <f t="shared" si="18"/>
        <v>FSRS-Female Single Rope Speed</v>
      </c>
    </row>
    <row r="717" spans="1:9" x14ac:dyDescent="0.25">
      <c r="A717">
        <f>'Team Info'!$B$3</f>
        <v>0</v>
      </c>
      <c r="B717">
        <f>'Female SR Individual Speed'!A126</f>
        <v>2</v>
      </c>
      <c r="C717" t="str">
        <f>'Female SR Individual Speed'!B126</f>
        <v>FSRS</v>
      </c>
      <c r="D717" t="str">
        <f>'Female SR Individual Speed'!C126</f>
        <v>50-Over</v>
      </c>
      <c r="E717">
        <f>'Female SR Individual Speed'!D126</f>
        <v>0</v>
      </c>
      <c r="I717" t="str">
        <f t="shared" si="18"/>
        <v>FSRS-Female Single Rope Speed</v>
      </c>
    </row>
    <row r="718" spans="1:9" x14ac:dyDescent="0.25">
      <c r="A718">
        <f>'Team Info'!$B$3</f>
        <v>0</v>
      </c>
      <c r="B718">
        <f>'Female SR Individual Speed'!A127</f>
        <v>3</v>
      </c>
      <c r="C718" t="str">
        <f>'Female SR Individual Speed'!B127</f>
        <v>FSRS</v>
      </c>
      <c r="D718" t="str">
        <f>'Female SR Individual Speed'!C127</f>
        <v>50-Over</v>
      </c>
      <c r="E718">
        <f>'Female SR Individual Speed'!D127</f>
        <v>0</v>
      </c>
      <c r="I718" t="str">
        <f t="shared" si="18"/>
        <v>FSRS-Female Single Rope Speed</v>
      </c>
    </row>
    <row r="719" spans="1:9" x14ac:dyDescent="0.25">
      <c r="A719">
        <f>'Team Info'!$B$3</f>
        <v>0</v>
      </c>
      <c r="B719">
        <f>'Female SR Individual Speed'!A128</f>
        <v>4</v>
      </c>
      <c r="C719" t="str">
        <f>'Female SR Individual Speed'!B128</f>
        <v>FSRS</v>
      </c>
      <c r="D719" t="str">
        <f>'Female SR Individual Speed'!C128</f>
        <v>50-Over</v>
      </c>
      <c r="E719">
        <f>'Female SR Individual Speed'!D128</f>
        <v>0</v>
      </c>
      <c r="I719" t="str">
        <f t="shared" si="18"/>
        <v>FSRS-Female Single Rope Speed</v>
      </c>
    </row>
    <row r="720" spans="1:9" x14ac:dyDescent="0.25">
      <c r="A720">
        <f>'Team Info'!$B$3</f>
        <v>0</v>
      </c>
      <c r="B720">
        <f>'Female SR Individual Speed'!A129</f>
        <v>5</v>
      </c>
      <c r="C720" t="str">
        <f>'Female SR Individual Speed'!B129</f>
        <v>FSRS</v>
      </c>
      <c r="D720" t="str">
        <f>'Female SR Individual Speed'!C129</f>
        <v>50-Over</v>
      </c>
      <c r="E720">
        <f>'Female SR Individual Speed'!D129</f>
        <v>0</v>
      </c>
      <c r="I720" t="str">
        <f t="shared" si="18"/>
        <v>FSRS-Female Single Rope Speed</v>
      </c>
    </row>
    <row r="721" spans="1:9" x14ac:dyDescent="0.25">
      <c r="A721">
        <f>'Team Info'!$B$3</f>
        <v>0</v>
      </c>
      <c r="B721">
        <f>'Female 30-second Double Under'!A5</f>
        <v>1</v>
      </c>
      <c r="C721" t="str">
        <f>'Female 30-second Double Under'!B5</f>
        <v>FTDU</v>
      </c>
      <c r="D721" t="str">
        <f>'Female 30-second Double Under'!C5</f>
        <v>8-Under</v>
      </c>
      <c r="E721">
        <f>'Female 30-second Double Under'!D5</f>
        <v>0</v>
      </c>
      <c r="I721" t="str">
        <f t="shared" ref="I721:I740" si="21">VLOOKUP(C721,EVENTS,2,FALSE)</f>
        <v>FTDU-Female Single Rope Double Under</v>
      </c>
    </row>
    <row r="722" spans="1:9" x14ac:dyDescent="0.25">
      <c r="A722">
        <f>'Team Info'!$B$3</f>
        <v>0</v>
      </c>
      <c r="B722">
        <f>'Female 30-second Double Under'!A6</f>
        <v>2</v>
      </c>
      <c r="C722" t="str">
        <f>'Female 30-second Double Under'!B6</f>
        <v>FTDU</v>
      </c>
      <c r="D722" t="str">
        <f>'Female 30-second Double Under'!C6</f>
        <v>8-Under</v>
      </c>
      <c r="E722">
        <f>'Female 30-second Double Under'!D6</f>
        <v>0</v>
      </c>
      <c r="I722" t="str">
        <f t="shared" si="21"/>
        <v>FTDU-Female Single Rope Double Under</v>
      </c>
    </row>
    <row r="723" spans="1:9" x14ac:dyDescent="0.25">
      <c r="A723">
        <f>'Team Info'!$B$3</f>
        <v>0</v>
      </c>
      <c r="B723">
        <f>'Female 30-second Double Under'!A7</f>
        <v>3</v>
      </c>
      <c r="C723" t="str">
        <f>'Female 30-second Double Under'!B7</f>
        <v>FTDU</v>
      </c>
      <c r="D723" t="str">
        <f>'Female 30-second Double Under'!C7</f>
        <v>8-Under</v>
      </c>
      <c r="E723">
        <f>'Female 30-second Double Under'!D7</f>
        <v>0</v>
      </c>
      <c r="I723" t="str">
        <f t="shared" si="21"/>
        <v>FTDU-Female Single Rope Double Under</v>
      </c>
    </row>
    <row r="724" spans="1:9" x14ac:dyDescent="0.25">
      <c r="A724">
        <f>'Team Info'!$B$3</f>
        <v>0</v>
      </c>
      <c r="B724">
        <f>'Female 30-second Double Under'!A8</f>
        <v>4</v>
      </c>
      <c r="C724" t="str">
        <f>'Female 30-second Double Under'!B8</f>
        <v>FTDU</v>
      </c>
      <c r="D724" t="str">
        <f>'Female 30-second Double Under'!C8</f>
        <v>8-Under</v>
      </c>
      <c r="E724">
        <f>'Female 30-second Double Under'!D8</f>
        <v>0</v>
      </c>
      <c r="I724" t="str">
        <f t="shared" si="21"/>
        <v>FTDU-Female Single Rope Double Under</v>
      </c>
    </row>
    <row r="725" spans="1:9" x14ac:dyDescent="0.25">
      <c r="A725">
        <f>'Team Info'!$B$3</f>
        <v>0</v>
      </c>
      <c r="B725">
        <f>'Female 30-second Double Under'!A9</f>
        <v>5</v>
      </c>
      <c r="C725" t="str">
        <f>'Female 30-second Double Under'!B9</f>
        <v>FTDU</v>
      </c>
      <c r="D725" t="str">
        <f>'Female 30-second Double Under'!C9</f>
        <v>8-Under</v>
      </c>
      <c r="E725">
        <f>'Female 30-second Double Under'!D9</f>
        <v>0</v>
      </c>
      <c r="I725" t="str">
        <f t="shared" si="21"/>
        <v>FTDU-Female Single Rope Double Under</v>
      </c>
    </row>
    <row r="726" spans="1:9" x14ac:dyDescent="0.25">
      <c r="A726">
        <f>'Team Info'!$B$3</f>
        <v>0</v>
      </c>
      <c r="B726">
        <f>'Female 30-second Double Under'!A10</f>
        <v>6</v>
      </c>
      <c r="C726" t="str">
        <f>'Female 30-second Double Under'!B10</f>
        <v>FTDU</v>
      </c>
      <c r="D726" t="str">
        <f>'Female 30-second Double Under'!C10</f>
        <v>8-Under</v>
      </c>
      <c r="E726">
        <f>'Female 30-second Double Under'!D10</f>
        <v>0</v>
      </c>
      <c r="I726" t="str">
        <f t="shared" si="21"/>
        <v>FTDU-Female Single Rope Double Under</v>
      </c>
    </row>
    <row r="727" spans="1:9" x14ac:dyDescent="0.25">
      <c r="A727">
        <f>'Team Info'!$B$3</f>
        <v>0</v>
      </c>
      <c r="B727">
        <f>'Female 30-second Double Under'!A11</f>
        <v>7</v>
      </c>
      <c r="C727" t="str">
        <f>'Female 30-second Double Under'!B11</f>
        <v>FTDU</v>
      </c>
      <c r="D727" t="str">
        <f>'Female 30-second Double Under'!C11</f>
        <v>8-Under</v>
      </c>
      <c r="E727">
        <f>'Female 30-second Double Under'!D11</f>
        <v>0</v>
      </c>
      <c r="I727" t="str">
        <f t="shared" si="21"/>
        <v>FTDU-Female Single Rope Double Under</v>
      </c>
    </row>
    <row r="728" spans="1:9" x14ac:dyDescent="0.25">
      <c r="A728">
        <f>'Team Info'!$B$3</f>
        <v>0</v>
      </c>
      <c r="B728">
        <f>'Female 30-second Double Under'!A12</f>
        <v>8</v>
      </c>
      <c r="C728" t="str">
        <f>'Female 30-second Double Under'!B12</f>
        <v>FTDU</v>
      </c>
      <c r="D728" t="str">
        <f>'Female 30-second Double Under'!C12</f>
        <v>8-Under</v>
      </c>
      <c r="E728">
        <f>'Female 30-second Double Under'!D12</f>
        <v>0</v>
      </c>
      <c r="I728" t="str">
        <f t="shared" si="21"/>
        <v>FTDU-Female Single Rope Double Under</v>
      </c>
    </row>
    <row r="729" spans="1:9" x14ac:dyDescent="0.25">
      <c r="A729">
        <f>'Team Info'!$B$3</f>
        <v>0</v>
      </c>
      <c r="B729">
        <f>'Female 30-second Double Under'!A13</f>
        <v>9</v>
      </c>
      <c r="C729" t="str">
        <f>'Female 30-second Double Under'!B13</f>
        <v>FTDU</v>
      </c>
      <c r="D729" t="str">
        <f>'Female 30-second Double Under'!C13</f>
        <v>8-Under</v>
      </c>
      <c r="E729">
        <f>'Female 30-second Double Under'!D13</f>
        <v>0</v>
      </c>
      <c r="I729" t="str">
        <f t="shared" si="21"/>
        <v>FTDU-Female Single Rope Double Under</v>
      </c>
    </row>
    <row r="730" spans="1:9" x14ac:dyDescent="0.25">
      <c r="A730">
        <f>'Team Info'!$B$3</f>
        <v>0</v>
      </c>
      <c r="B730">
        <f>'Female 30-second Double Under'!A14</f>
        <v>10</v>
      </c>
      <c r="C730" t="str">
        <f>'Female 30-second Double Under'!B14</f>
        <v>FTDU</v>
      </c>
      <c r="D730" t="str">
        <f>'Female 30-second Double Under'!C14</f>
        <v>8-Under</v>
      </c>
      <c r="E730">
        <f>'Female 30-second Double Under'!D14</f>
        <v>0</v>
      </c>
      <c r="I730" t="str">
        <f t="shared" si="21"/>
        <v>FTDU-Female Single Rope Double Under</v>
      </c>
    </row>
    <row r="731" spans="1:9" x14ac:dyDescent="0.25">
      <c r="A731">
        <f>'Team Info'!$B$3</f>
        <v>0</v>
      </c>
      <c r="B731">
        <f>'Female 30-second Double Under'!A15</f>
        <v>11</v>
      </c>
      <c r="C731" t="str">
        <f>'Female 30-second Double Under'!B15</f>
        <v>FTDU</v>
      </c>
      <c r="D731" t="str">
        <f>'Female 30-second Double Under'!C15</f>
        <v>8-Under</v>
      </c>
      <c r="E731">
        <f>'Female 30-second Double Under'!D15</f>
        <v>0</v>
      </c>
      <c r="I731" t="str">
        <f t="shared" si="21"/>
        <v>FTDU-Female Single Rope Double Under</v>
      </c>
    </row>
    <row r="732" spans="1:9" x14ac:dyDescent="0.25">
      <c r="A732">
        <f>'Team Info'!$B$3</f>
        <v>0</v>
      </c>
      <c r="B732">
        <f>'Female 30-second Double Under'!A16</f>
        <v>12</v>
      </c>
      <c r="C732" t="str">
        <f>'Female 30-second Double Under'!B16</f>
        <v>FTDU</v>
      </c>
      <c r="D732" t="str">
        <f>'Female 30-second Double Under'!C16</f>
        <v>8-Under</v>
      </c>
      <c r="E732">
        <f>'Female 30-second Double Under'!D16</f>
        <v>0</v>
      </c>
      <c r="I732" t="str">
        <f t="shared" si="21"/>
        <v>FTDU-Female Single Rope Double Under</v>
      </c>
    </row>
    <row r="733" spans="1:9" x14ac:dyDescent="0.25">
      <c r="A733">
        <f>'Team Info'!$B$3</f>
        <v>0</v>
      </c>
      <c r="B733">
        <f>'Female 30-second Double Under'!A17</f>
        <v>13</v>
      </c>
      <c r="C733" t="str">
        <f>'Female 30-second Double Under'!B17</f>
        <v>FTDU</v>
      </c>
      <c r="D733" t="str">
        <f>'Female 30-second Double Under'!C17</f>
        <v>8-Under</v>
      </c>
      <c r="E733">
        <f>'Female 30-second Double Under'!D17</f>
        <v>0</v>
      </c>
      <c r="I733" t="str">
        <f t="shared" si="21"/>
        <v>FTDU-Female Single Rope Double Under</v>
      </c>
    </row>
    <row r="734" spans="1:9" x14ac:dyDescent="0.25">
      <c r="A734">
        <f>'Team Info'!$B$3</f>
        <v>0</v>
      </c>
      <c r="B734">
        <f>'Female 30-second Double Under'!A18</f>
        <v>14</v>
      </c>
      <c r="C734" t="str">
        <f>'Female 30-second Double Under'!B18</f>
        <v>FTDU</v>
      </c>
      <c r="D734" t="str">
        <f>'Female 30-second Double Under'!C18</f>
        <v>8-Under</v>
      </c>
      <c r="E734">
        <f>'Female 30-second Double Under'!D18</f>
        <v>0</v>
      </c>
      <c r="I734" t="str">
        <f t="shared" si="21"/>
        <v>FTDU-Female Single Rope Double Under</v>
      </c>
    </row>
    <row r="735" spans="1:9" x14ac:dyDescent="0.25">
      <c r="A735">
        <f>'Team Info'!$B$3</f>
        <v>0</v>
      </c>
      <c r="B735">
        <f>'Female 30-second Double Under'!A19</f>
        <v>15</v>
      </c>
      <c r="C735" t="str">
        <f>'Female 30-second Double Under'!B19</f>
        <v>FTDU</v>
      </c>
      <c r="D735" t="str">
        <f>'Female 30-second Double Under'!C19</f>
        <v>8-Under</v>
      </c>
      <c r="E735">
        <f>'Female 30-second Double Under'!D19</f>
        <v>0</v>
      </c>
      <c r="I735" t="str">
        <f t="shared" si="21"/>
        <v>FTDU-Female Single Rope Double Under</v>
      </c>
    </row>
    <row r="736" spans="1:9" x14ac:dyDescent="0.25">
      <c r="A736">
        <f>'Team Info'!$B$3</f>
        <v>0</v>
      </c>
      <c r="B736">
        <f>'Female 30-second Double Under'!A20</f>
        <v>16</v>
      </c>
      <c r="C736" t="str">
        <f>'Female 30-second Double Under'!B20</f>
        <v>FTDU</v>
      </c>
      <c r="D736" t="str">
        <f>'Female 30-second Double Under'!C20</f>
        <v>8-Under</v>
      </c>
      <c r="E736">
        <f>'Female 30-second Double Under'!D20</f>
        <v>0</v>
      </c>
      <c r="I736" t="str">
        <f t="shared" si="21"/>
        <v>FTDU-Female Single Rope Double Under</v>
      </c>
    </row>
    <row r="737" spans="1:9" x14ac:dyDescent="0.25">
      <c r="A737">
        <f>'Team Info'!$B$3</f>
        <v>0</v>
      </c>
      <c r="B737">
        <f>'Female 30-second Double Under'!A21</f>
        <v>17</v>
      </c>
      <c r="C737" t="str">
        <f>'Female 30-second Double Under'!B21</f>
        <v>FTDU</v>
      </c>
      <c r="D737" t="str">
        <f>'Female 30-second Double Under'!C21</f>
        <v>8-Under</v>
      </c>
      <c r="E737">
        <f>'Female 30-second Double Under'!D21</f>
        <v>0</v>
      </c>
      <c r="I737" t="str">
        <f t="shared" si="21"/>
        <v>FTDU-Female Single Rope Double Under</v>
      </c>
    </row>
    <row r="738" spans="1:9" x14ac:dyDescent="0.25">
      <c r="A738">
        <f>'Team Info'!$B$3</f>
        <v>0</v>
      </c>
      <c r="B738">
        <f>'Female 30-second Double Under'!A22</f>
        <v>18</v>
      </c>
      <c r="C738" t="str">
        <f>'Female 30-second Double Under'!B22</f>
        <v>FTDU</v>
      </c>
      <c r="D738" t="str">
        <f>'Female 30-second Double Under'!C22</f>
        <v>8-Under</v>
      </c>
      <c r="E738">
        <f>'Female 30-second Double Under'!D22</f>
        <v>0</v>
      </c>
      <c r="I738" t="str">
        <f t="shared" si="21"/>
        <v>FTDU-Female Single Rope Double Under</v>
      </c>
    </row>
    <row r="739" spans="1:9" x14ac:dyDescent="0.25">
      <c r="A739">
        <f>'Team Info'!$B$3</f>
        <v>0</v>
      </c>
      <c r="B739">
        <f>'Female 30-second Double Under'!A23</f>
        <v>19</v>
      </c>
      <c r="C739" t="str">
        <f>'Female 30-second Double Under'!B23</f>
        <v>FTDU</v>
      </c>
      <c r="D739" t="str">
        <f>'Female 30-second Double Under'!C23</f>
        <v>8-Under</v>
      </c>
      <c r="E739">
        <f>'Female 30-second Double Under'!D23</f>
        <v>0</v>
      </c>
      <c r="I739" t="str">
        <f t="shared" si="21"/>
        <v>FTDU-Female Single Rope Double Under</v>
      </c>
    </row>
    <row r="740" spans="1:9" x14ac:dyDescent="0.25">
      <c r="A740">
        <f>'Team Info'!$B$3</f>
        <v>0</v>
      </c>
      <c r="B740">
        <f>'Female 30-second Double Under'!A24</f>
        <v>20</v>
      </c>
      <c r="C740" t="str">
        <f>'Female 30-second Double Under'!B24</f>
        <v>FTDU</v>
      </c>
      <c r="D740" t="str">
        <f>'Female 30-second Double Under'!C24</f>
        <v>8-Under</v>
      </c>
      <c r="E740">
        <f>'Female 30-second Double Under'!D24</f>
        <v>0</v>
      </c>
      <c r="I740" t="str">
        <f t="shared" si="21"/>
        <v>FTDU-Female Single Rope Double Under</v>
      </c>
    </row>
    <row r="741" spans="1:9" x14ac:dyDescent="0.25">
      <c r="A741">
        <f>'Team Info'!$B$3</f>
        <v>0</v>
      </c>
      <c r="B741">
        <f>'Female 30-second Double Under'!H5</f>
        <v>1</v>
      </c>
      <c r="C741" t="str">
        <f>'Female 30-second Double Under'!I5</f>
        <v>FTDU</v>
      </c>
      <c r="D741">
        <f>'Female 30-second Double Under'!J5</f>
        <v>9</v>
      </c>
      <c r="E741">
        <f>'Female 30-second Double Under'!K5</f>
        <v>0</v>
      </c>
      <c r="I741" t="str">
        <f t="shared" ref="I741:I803" si="22">VLOOKUP(C741,EVENTS,2,FALSE)</f>
        <v>FTDU-Female Single Rope Double Under</v>
      </c>
    </row>
    <row r="742" spans="1:9" x14ac:dyDescent="0.25">
      <c r="A742">
        <f>'Team Info'!$B$3</f>
        <v>0</v>
      </c>
      <c r="B742">
        <f>'Female 30-second Double Under'!H6</f>
        <v>2</v>
      </c>
      <c r="C742" t="str">
        <f>'Female 30-second Double Under'!I6</f>
        <v>FTDU</v>
      </c>
      <c r="D742">
        <f>'Female 30-second Double Under'!J6</f>
        <v>9</v>
      </c>
      <c r="E742">
        <f>'Female 30-second Double Under'!K6</f>
        <v>0</v>
      </c>
      <c r="I742" t="str">
        <f t="shared" si="22"/>
        <v>FTDU-Female Single Rope Double Under</v>
      </c>
    </row>
    <row r="743" spans="1:9" x14ac:dyDescent="0.25">
      <c r="A743">
        <f>'Team Info'!$B$3</f>
        <v>0</v>
      </c>
      <c r="B743">
        <f>'Female 30-second Double Under'!H7</f>
        <v>3</v>
      </c>
      <c r="C743" t="str">
        <f>'Female 30-second Double Under'!I7</f>
        <v>FTDU</v>
      </c>
      <c r="D743">
        <f>'Female 30-second Double Under'!J7</f>
        <v>9</v>
      </c>
      <c r="E743">
        <f>'Female 30-second Double Under'!K7</f>
        <v>0</v>
      </c>
      <c r="I743" t="str">
        <f t="shared" si="22"/>
        <v>FTDU-Female Single Rope Double Under</v>
      </c>
    </row>
    <row r="744" spans="1:9" x14ac:dyDescent="0.25">
      <c r="A744">
        <f>'Team Info'!$B$3</f>
        <v>0</v>
      </c>
      <c r="B744">
        <f>'Female 30-second Double Under'!H8</f>
        <v>4</v>
      </c>
      <c r="C744" t="str">
        <f>'Female 30-second Double Under'!I8</f>
        <v>FTDU</v>
      </c>
      <c r="D744">
        <f>'Female 30-second Double Under'!J8</f>
        <v>9</v>
      </c>
      <c r="E744">
        <f>'Female 30-second Double Under'!K8</f>
        <v>0</v>
      </c>
      <c r="I744" t="str">
        <f t="shared" si="22"/>
        <v>FTDU-Female Single Rope Double Under</v>
      </c>
    </row>
    <row r="745" spans="1:9" x14ac:dyDescent="0.25">
      <c r="A745">
        <f>'Team Info'!$B$3</f>
        <v>0</v>
      </c>
      <c r="B745">
        <f>'Female 30-second Double Under'!H9</f>
        <v>5</v>
      </c>
      <c r="C745" t="str">
        <f>'Female 30-second Double Under'!I9</f>
        <v>FTDU</v>
      </c>
      <c r="D745">
        <f>'Female 30-second Double Under'!J9</f>
        <v>9</v>
      </c>
      <c r="E745">
        <f>'Female 30-second Double Under'!K9</f>
        <v>0</v>
      </c>
      <c r="I745" t="str">
        <f t="shared" si="22"/>
        <v>FTDU-Female Single Rope Double Under</v>
      </c>
    </row>
    <row r="746" spans="1:9" x14ac:dyDescent="0.25">
      <c r="A746">
        <f>'Team Info'!$B$3</f>
        <v>0</v>
      </c>
      <c r="B746">
        <f>'Female 30-second Double Under'!H10</f>
        <v>6</v>
      </c>
      <c r="C746" t="str">
        <f>'Female 30-second Double Under'!I10</f>
        <v>FTDU</v>
      </c>
      <c r="D746">
        <f>'Female 30-second Double Under'!J10</f>
        <v>9</v>
      </c>
      <c r="E746">
        <f>'Female 30-second Double Under'!K10</f>
        <v>0</v>
      </c>
      <c r="I746" t="str">
        <f t="shared" si="22"/>
        <v>FTDU-Female Single Rope Double Under</v>
      </c>
    </row>
    <row r="747" spans="1:9" x14ac:dyDescent="0.25">
      <c r="A747">
        <f>'Team Info'!$B$3</f>
        <v>0</v>
      </c>
      <c r="B747">
        <f>'Female 30-second Double Under'!H11</f>
        <v>7</v>
      </c>
      <c r="C747" t="str">
        <f>'Female 30-second Double Under'!I11</f>
        <v>FTDU</v>
      </c>
      <c r="D747">
        <f>'Female 30-second Double Under'!J11</f>
        <v>9</v>
      </c>
      <c r="E747">
        <f>'Female 30-second Double Under'!K11</f>
        <v>0</v>
      </c>
      <c r="I747" t="str">
        <f t="shared" si="22"/>
        <v>FTDU-Female Single Rope Double Under</v>
      </c>
    </row>
    <row r="748" spans="1:9" x14ac:dyDescent="0.25">
      <c r="A748">
        <f>'Team Info'!$B$3</f>
        <v>0</v>
      </c>
      <c r="B748">
        <f>'Female 30-second Double Under'!H12</f>
        <v>8</v>
      </c>
      <c r="C748" t="str">
        <f>'Female 30-second Double Under'!I12</f>
        <v>FTDU</v>
      </c>
      <c r="D748">
        <f>'Female 30-second Double Under'!J12</f>
        <v>9</v>
      </c>
      <c r="E748">
        <f>'Female 30-second Double Under'!K12</f>
        <v>0</v>
      </c>
      <c r="I748" t="str">
        <f t="shared" si="22"/>
        <v>FTDU-Female Single Rope Double Under</v>
      </c>
    </row>
    <row r="749" spans="1:9" x14ac:dyDescent="0.25">
      <c r="A749">
        <f>'Team Info'!$B$3</f>
        <v>0</v>
      </c>
      <c r="B749">
        <f>'Female 30-second Double Under'!H13</f>
        <v>9</v>
      </c>
      <c r="C749" t="str">
        <f>'Female 30-second Double Under'!I13</f>
        <v>FTDU</v>
      </c>
      <c r="D749">
        <f>'Female 30-second Double Under'!J13</f>
        <v>9</v>
      </c>
      <c r="E749">
        <f>'Female 30-second Double Under'!K13</f>
        <v>0</v>
      </c>
      <c r="I749" t="str">
        <f t="shared" si="22"/>
        <v>FTDU-Female Single Rope Double Under</v>
      </c>
    </row>
    <row r="750" spans="1:9" x14ac:dyDescent="0.25">
      <c r="A750">
        <f>'Team Info'!$B$3</f>
        <v>0</v>
      </c>
      <c r="B750">
        <f>'Female 30-second Double Under'!H14</f>
        <v>10</v>
      </c>
      <c r="C750" t="str">
        <f>'Female 30-second Double Under'!I14</f>
        <v>FTDU</v>
      </c>
      <c r="D750">
        <f>'Female 30-second Double Under'!J14</f>
        <v>9</v>
      </c>
      <c r="E750">
        <f>'Female 30-second Double Under'!K14</f>
        <v>0</v>
      </c>
      <c r="I750" t="str">
        <f t="shared" si="22"/>
        <v>FTDU-Female Single Rope Double Under</v>
      </c>
    </row>
    <row r="751" spans="1:9" x14ac:dyDescent="0.25">
      <c r="A751">
        <f>'Team Info'!$B$3</f>
        <v>0</v>
      </c>
      <c r="B751">
        <f>'Female 30-second Double Under'!H15</f>
        <v>11</v>
      </c>
      <c r="C751" t="str">
        <f>'Female 30-second Double Under'!I15</f>
        <v>FTDU</v>
      </c>
      <c r="D751">
        <f>'Female 30-second Double Under'!J15</f>
        <v>9</v>
      </c>
      <c r="E751">
        <f>'Female 30-second Double Under'!K15</f>
        <v>0</v>
      </c>
      <c r="I751" t="str">
        <f t="shared" si="22"/>
        <v>FTDU-Female Single Rope Double Under</v>
      </c>
    </row>
    <row r="752" spans="1:9" x14ac:dyDescent="0.25">
      <c r="A752">
        <f>'Team Info'!$B$3</f>
        <v>0</v>
      </c>
      <c r="B752">
        <f>'Female 30-second Double Under'!H16</f>
        <v>12</v>
      </c>
      <c r="C752" t="str">
        <f>'Female 30-second Double Under'!I16</f>
        <v>FTDU</v>
      </c>
      <c r="D752">
        <f>'Female 30-second Double Under'!J16</f>
        <v>9</v>
      </c>
      <c r="E752">
        <f>'Female 30-second Double Under'!K16</f>
        <v>0</v>
      </c>
      <c r="I752" t="str">
        <f t="shared" si="22"/>
        <v>FTDU-Female Single Rope Double Under</v>
      </c>
    </row>
    <row r="753" spans="1:9" x14ac:dyDescent="0.25">
      <c r="A753">
        <f>'Team Info'!$B$3</f>
        <v>0</v>
      </c>
      <c r="B753">
        <f>'Female 30-second Double Under'!H17</f>
        <v>13</v>
      </c>
      <c r="C753" t="str">
        <f>'Female 30-second Double Under'!I17</f>
        <v>FTDU</v>
      </c>
      <c r="D753">
        <f>'Female 30-second Double Under'!J17</f>
        <v>9</v>
      </c>
      <c r="E753">
        <f>'Female 30-second Double Under'!K17</f>
        <v>0</v>
      </c>
      <c r="I753" t="str">
        <f t="shared" si="22"/>
        <v>FTDU-Female Single Rope Double Under</v>
      </c>
    </row>
    <row r="754" spans="1:9" x14ac:dyDescent="0.25">
      <c r="A754">
        <f>'Team Info'!$B$3</f>
        <v>0</v>
      </c>
      <c r="B754">
        <f>'Female 30-second Double Under'!H18</f>
        <v>14</v>
      </c>
      <c r="C754" t="str">
        <f>'Female 30-second Double Under'!I18</f>
        <v>FTDU</v>
      </c>
      <c r="D754">
        <f>'Female 30-second Double Under'!J18</f>
        <v>9</v>
      </c>
      <c r="E754">
        <f>'Female 30-second Double Under'!K18</f>
        <v>0</v>
      </c>
      <c r="I754" t="str">
        <f t="shared" si="22"/>
        <v>FTDU-Female Single Rope Double Under</v>
      </c>
    </row>
    <row r="755" spans="1:9" x14ac:dyDescent="0.25">
      <c r="A755">
        <f>'Team Info'!$B$3</f>
        <v>0</v>
      </c>
      <c r="B755">
        <f>'Female 30-second Double Under'!H19</f>
        <v>15</v>
      </c>
      <c r="C755" t="str">
        <f>'Female 30-second Double Under'!I19</f>
        <v>FTDU</v>
      </c>
      <c r="D755">
        <f>'Female 30-second Double Under'!J19</f>
        <v>9</v>
      </c>
      <c r="E755">
        <f>'Female 30-second Double Under'!K19</f>
        <v>0</v>
      </c>
      <c r="I755" t="str">
        <f t="shared" si="22"/>
        <v>FTDU-Female Single Rope Double Under</v>
      </c>
    </row>
    <row r="756" spans="1:9" x14ac:dyDescent="0.25">
      <c r="A756">
        <f>'Team Info'!$B$3</f>
        <v>0</v>
      </c>
      <c r="B756">
        <f>'Female 30-second Double Under'!H20</f>
        <v>16</v>
      </c>
      <c r="C756" t="str">
        <f>'Female 30-second Double Under'!I20</f>
        <v>FTDU</v>
      </c>
      <c r="D756">
        <f>'Female 30-second Double Under'!J20</f>
        <v>9</v>
      </c>
      <c r="E756">
        <f>'Female 30-second Double Under'!K20</f>
        <v>0</v>
      </c>
      <c r="I756" t="str">
        <f t="shared" si="22"/>
        <v>FTDU-Female Single Rope Double Under</v>
      </c>
    </row>
    <row r="757" spans="1:9" x14ac:dyDescent="0.25">
      <c r="A757">
        <f>'Team Info'!$B$3</f>
        <v>0</v>
      </c>
      <c r="B757">
        <f>'Female 30-second Double Under'!H21</f>
        <v>17</v>
      </c>
      <c r="C757" t="str">
        <f>'Female 30-second Double Under'!I21</f>
        <v>FTDU</v>
      </c>
      <c r="D757">
        <f>'Female 30-second Double Under'!J21</f>
        <v>9</v>
      </c>
      <c r="E757">
        <f>'Female 30-second Double Under'!K21</f>
        <v>0</v>
      </c>
      <c r="I757" t="str">
        <f t="shared" si="22"/>
        <v>FTDU-Female Single Rope Double Under</v>
      </c>
    </row>
    <row r="758" spans="1:9" x14ac:dyDescent="0.25">
      <c r="A758">
        <f>'Team Info'!$B$3</f>
        <v>0</v>
      </c>
      <c r="B758">
        <f>'Female 30-second Double Under'!H22</f>
        <v>18</v>
      </c>
      <c r="C758" t="str">
        <f>'Female 30-second Double Under'!I22</f>
        <v>FTDU</v>
      </c>
      <c r="D758">
        <f>'Female 30-second Double Under'!J22</f>
        <v>9</v>
      </c>
      <c r="E758">
        <f>'Female 30-second Double Under'!K22</f>
        <v>0</v>
      </c>
      <c r="I758" t="str">
        <f t="shared" si="22"/>
        <v>FTDU-Female Single Rope Double Under</v>
      </c>
    </row>
    <row r="759" spans="1:9" x14ac:dyDescent="0.25">
      <c r="A759">
        <f>'Team Info'!$B$3</f>
        <v>0</v>
      </c>
      <c r="B759">
        <f>'Female 30-second Double Under'!H23</f>
        <v>19</v>
      </c>
      <c r="C759" t="str">
        <f>'Female 30-second Double Under'!I23</f>
        <v>FTDU</v>
      </c>
      <c r="D759">
        <f>'Female 30-second Double Under'!J23</f>
        <v>9</v>
      </c>
      <c r="E759">
        <f>'Female 30-second Double Under'!K23</f>
        <v>0</v>
      </c>
      <c r="I759" t="str">
        <f t="shared" si="22"/>
        <v>FTDU-Female Single Rope Double Under</v>
      </c>
    </row>
    <row r="760" spans="1:9" x14ac:dyDescent="0.25">
      <c r="A760">
        <f>'Team Info'!$B$3</f>
        <v>0</v>
      </c>
      <c r="B760">
        <f>'Female 30-second Double Under'!H24</f>
        <v>20</v>
      </c>
      <c r="C760" t="str">
        <f>'Female 30-second Double Under'!I24</f>
        <v>FTDU</v>
      </c>
      <c r="D760">
        <f>'Female 30-second Double Under'!J24</f>
        <v>9</v>
      </c>
      <c r="E760">
        <f>'Female 30-second Double Under'!K24</f>
        <v>0</v>
      </c>
      <c r="I760" t="str">
        <f t="shared" si="22"/>
        <v>FTDU-Female Single Rope Double Under</v>
      </c>
    </row>
    <row r="761" spans="1:9" x14ac:dyDescent="0.25">
      <c r="A761">
        <f>'Team Info'!$B$3</f>
        <v>0</v>
      </c>
      <c r="B761">
        <f>'Female 30-second Double Under'!A27</f>
        <v>1</v>
      </c>
      <c r="C761" t="str">
        <f>'Female 30-second Double Under'!B27</f>
        <v>FTDU</v>
      </c>
      <c r="D761">
        <f>'Female 30-second Double Under'!C27</f>
        <v>10</v>
      </c>
      <c r="E761">
        <f>'Female 30-second Double Under'!D27</f>
        <v>0</v>
      </c>
      <c r="I761" t="str">
        <f t="shared" si="22"/>
        <v>FTDU-Female Single Rope Double Under</v>
      </c>
    </row>
    <row r="762" spans="1:9" x14ac:dyDescent="0.25">
      <c r="A762">
        <f>'Team Info'!$B$3</f>
        <v>0</v>
      </c>
      <c r="B762">
        <f>'Female 30-second Double Under'!A28</f>
        <v>2</v>
      </c>
      <c r="C762" t="str">
        <f>'Female 30-second Double Under'!B28</f>
        <v>FTDU</v>
      </c>
      <c r="D762">
        <f>'Female 30-second Double Under'!C28</f>
        <v>10</v>
      </c>
      <c r="E762">
        <f>'Female 30-second Double Under'!D28</f>
        <v>0</v>
      </c>
      <c r="I762" t="str">
        <f t="shared" si="22"/>
        <v>FTDU-Female Single Rope Double Under</v>
      </c>
    </row>
    <row r="763" spans="1:9" x14ac:dyDescent="0.25">
      <c r="A763">
        <f>'Team Info'!$B$3</f>
        <v>0</v>
      </c>
      <c r="B763">
        <f>'Female 30-second Double Under'!A29</f>
        <v>3</v>
      </c>
      <c r="C763" t="str">
        <f>'Female 30-second Double Under'!B29</f>
        <v>FTDU</v>
      </c>
      <c r="D763">
        <f>'Female 30-second Double Under'!C29</f>
        <v>10</v>
      </c>
      <c r="E763">
        <f>'Female 30-second Double Under'!D29</f>
        <v>0</v>
      </c>
      <c r="I763" t="str">
        <f t="shared" si="22"/>
        <v>FTDU-Female Single Rope Double Under</v>
      </c>
    </row>
    <row r="764" spans="1:9" x14ac:dyDescent="0.25">
      <c r="A764">
        <f>'Team Info'!$B$3</f>
        <v>0</v>
      </c>
      <c r="B764">
        <f>'Female 30-second Double Under'!A30</f>
        <v>4</v>
      </c>
      <c r="C764" t="str">
        <f>'Female 30-second Double Under'!B30</f>
        <v>FTDU</v>
      </c>
      <c r="D764">
        <f>'Female 30-second Double Under'!C30</f>
        <v>10</v>
      </c>
      <c r="E764">
        <f>'Female 30-second Double Under'!D30</f>
        <v>0</v>
      </c>
      <c r="I764" t="str">
        <f t="shared" si="22"/>
        <v>FTDU-Female Single Rope Double Under</v>
      </c>
    </row>
    <row r="765" spans="1:9" x14ac:dyDescent="0.25">
      <c r="A765">
        <f>'Team Info'!$B$3</f>
        <v>0</v>
      </c>
      <c r="B765">
        <f>'Female 30-second Double Under'!A31</f>
        <v>5</v>
      </c>
      <c r="C765" t="str">
        <f>'Female 30-second Double Under'!B31</f>
        <v>FTDU</v>
      </c>
      <c r="D765">
        <f>'Female 30-second Double Under'!C31</f>
        <v>10</v>
      </c>
      <c r="E765">
        <f>'Female 30-second Double Under'!D31</f>
        <v>0</v>
      </c>
      <c r="I765" t="str">
        <f t="shared" si="22"/>
        <v>FTDU-Female Single Rope Double Under</v>
      </c>
    </row>
    <row r="766" spans="1:9" x14ac:dyDescent="0.25">
      <c r="A766">
        <f>'Team Info'!$B$3</f>
        <v>0</v>
      </c>
      <c r="B766">
        <f>'Female 30-second Double Under'!A32</f>
        <v>6</v>
      </c>
      <c r="C766" t="str">
        <f>'Female 30-second Double Under'!B32</f>
        <v>FTDU</v>
      </c>
      <c r="D766">
        <f>'Female 30-second Double Under'!C32</f>
        <v>10</v>
      </c>
      <c r="E766">
        <f>'Female 30-second Double Under'!D32</f>
        <v>0</v>
      </c>
      <c r="I766" t="str">
        <f t="shared" si="22"/>
        <v>FTDU-Female Single Rope Double Under</v>
      </c>
    </row>
    <row r="767" spans="1:9" x14ac:dyDescent="0.25">
      <c r="A767">
        <f>'Team Info'!$B$3</f>
        <v>0</v>
      </c>
      <c r="B767">
        <f>'Female 30-second Double Under'!A33</f>
        <v>7</v>
      </c>
      <c r="C767" t="str">
        <f>'Female 30-second Double Under'!B33</f>
        <v>FTDU</v>
      </c>
      <c r="D767">
        <f>'Female 30-second Double Under'!C33</f>
        <v>10</v>
      </c>
      <c r="E767">
        <f>'Female 30-second Double Under'!D33</f>
        <v>0</v>
      </c>
      <c r="I767" t="str">
        <f t="shared" si="22"/>
        <v>FTDU-Female Single Rope Double Under</v>
      </c>
    </row>
    <row r="768" spans="1:9" x14ac:dyDescent="0.25">
      <c r="A768">
        <f>'Team Info'!$B$3</f>
        <v>0</v>
      </c>
      <c r="B768">
        <f>'Female 30-second Double Under'!A34</f>
        <v>8</v>
      </c>
      <c r="C768" t="str">
        <f>'Female 30-second Double Under'!B34</f>
        <v>FTDU</v>
      </c>
      <c r="D768">
        <f>'Female 30-second Double Under'!C34</f>
        <v>10</v>
      </c>
      <c r="E768">
        <f>'Female 30-second Double Under'!D34</f>
        <v>0</v>
      </c>
      <c r="I768" t="str">
        <f t="shared" si="22"/>
        <v>FTDU-Female Single Rope Double Under</v>
      </c>
    </row>
    <row r="769" spans="1:9" x14ac:dyDescent="0.25">
      <c r="A769">
        <f>'Team Info'!$B$3</f>
        <v>0</v>
      </c>
      <c r="B769">
        <f>'Female 30-second Double Under'!A35</f>
        <v>9</v>
      </c>
      <c r="C769" t="str">
        <f>'Female 30-second Double Under'!B35</f>
        <v>FTDU</v>
      </c>
      <c r="D769">
        <f>'Female 30-second Double Under'!C35</f>
        <v>10</v>
      </c>
      <c r="E769">
        <f>'Female 30-second Double Under'!D35</f>
        <v>0</v>
      </c>
      <c r="I769" t="str">
        <f t="shared" si="22"/>
        <v>FTDU-Female Single Rope Double Under</v>
      </c>
    </row>
    <row r="770" spans="1:9" x14ac:dyDescent="0.25">
      <c r="A770">
        <f>'Team Info'!$B$3</f>
        <v>0</v>
      </c>
      <c r="B770">
        <f>'Female 30-second Double Under'!A36</f>
        <v>10</v>
      </c>
      <c r="C770" t="str">
        <f>'Female 30-second Double Under'!B36</f>
        <v>FTDU</v>
      </c>
      <c r="D770">
        <f>'Female 30-second Double Under'!C36</f>
        <v>10</v>
      </c>
      <c r="E770">
        <f>'Female 30-second Double Under'!D36</f>
        <v>0</v>
      </c>
      <c r="I770" t="str">
        <f t="shared" si="22"/>
        <v>FTDU-Female Single Rope Double Under</v>
      </c>
    </row>
    <row r="771" spans="1:9" x14ac:dyDescent="0.25">
      <c r="A771">
        <f>'Team Info'!$B$3</f>
        <v>0</v>
      </c>
      <c r="B771">
        <f>'Female 30-second Double Under'!A37</f>
        <v>11</v>
      </c>
      <c r="C771" t="str">
        <f>'Female 30-second Double Under'!B37</f>
        <v>FTDU</v>
      </c>
      <c r="D771">
        <f>'Female 30-second Double Under'!C37</f>
        <v>10</v>
      </c>
      <c r="E771">
        <f>'Female 30-second Double Under'!D37</f>
        <v>0</v>
      </c>
      <c r="I771" t="str">
        <f t="shared" si="22"/>
        <v>FTDU-Female Single Rope Double Under</v>
      </c>
    </row>
    <row r="772" spans="1:9" x14ac:dyDescent="0.25">
      <c r="A772">
        <f>'Team Info'!$B$3</f>
        <v>0</v>
      </c>
      <c r="B772">
        <f>'Female 30-second Double Under'!A38</f>
        <v>12</v>
      </c>
      <c r="C772" t="str">
        <f>'Female 30-second Double Under'!B38</f>
        <v>FTDU</v>
      </c>
      <c r="D772">
        <f>'Female 30-second Double Under'!C38</f>
        <v>10</v>
      </c>
      <c r="E772">
        <f>'Female 30-second Double Under'!D38</f>
        <v>0</v>
      </c>
      <c r="I772" t="str">
        <f t="shared" si="22"/>
        <v>FTDU-Female Single Rope Double Under</v>
      </c>
    </row>
    <row r="773" spans="1:9" x14ac:dyDescent="0.25">
      <c r="A773">
        <f>'Team Info'!$B$3</f>
        <v>0</v>
      </c>
      <c r="B773">
        <f>'Female 30-second Double Under'!A39</f>
        <v>13</v>
      </c>
      <c r="C773" t="str">
        <f>'Female 30-second Double Under'!B39</f>
        <v>FTDU</v>
      </c>
      <c r="D773">
        <f>'Female 30-second Double Under'!C39</f>
        <v>10</v>
      </c>
      <c r="E773">
        <f>'Female 30-second Double Under'!D39</f>
        <v>0</v>
      </c>
      <c r="I773" t="str">
        <f t="shared" si="22"/>
        <v>FTDU-Female Single Rope Double Under</v>
      </c>
    </row>
    <row r="774" spans="1:9" x14ac:dyDescent="0.25">
      <c r="A774">
        <f>'Team Info'!$B$3</f>
        <v>0</v>
      </c>
      <c r="B774">
        <f>'Female 30-second Double Under'!A40</f>
        <v>14</v>
      </c>
      <c r="C774" t="str">
        <f>'Female 30-second Double Under'!B40</f>
        <v>FTDU</v>
      </c>
      <c r="D774">
        <f>'Female 30-second Double Under'!C40</f>
        <v>10</v>
      </c>
      <c r="E774">
        <f>'Female 30-second Double Under'!D40</f>
        <v>0</v>
      </c>
      <c r="I774" t="str">
        <f t="shared" si="22"/>
        <v>FTDU-Female Single Rope Double Under</v>
      </c>
    </row>
    <row r="775" spans="1:9" x14ac:dyDescent="0.25">
      <c r="A775">
        <f>'Team Info'!$B$3</f>
        <v>0</v>
      </c>
      <c r="B775">
        <f>'Female 30-second Double Under'!A41</f>
        <v>15</v>
      </c>
      <c r="C775" t="str">
        <f>'Female 30-second Double Under'!B41</f>
        <v>FTDU</v>
      </c>
      <c r="D775">
        <f>'Female 30-second Double Under'!C41</f>
        <v>10</v>
      </c>
      <c r="E775">
        <f>'Female 30-second Double Under'!D41</f>
        <v>0</v>
      </c>
      <c r="I775" t="str">
        <f t="shared" si="22"/>
        <v>FTDU-Female Single Rope Double Under</v>
      </c>
    </row>
    <row r="776" spans="1:9" x14ac:dyDescent="0.25">
      <c r="A776">
        <f>'Team Info'!$B$3</f>
        <v>0</v>
      </c>
      <c r="B776">
        <f>'Female 30-second Double Under'!A42</f>
        <v>16</v>
      </c>
      <c r="C776" t="str">
        <f>'Female 30-second Double Under'!B42</f>
        <v>FTDU</v>
      </c>
      <c r="D776">
        <f>'Female 30-second Double Under'!C42</f>
        <v>10</v>
      </c>
      <c r="E776">
        <f>'Female 30-second Double Under'!D42</f>
        <v>0</v>
      </c>
      <c r="I776" t="str">
        <f t="shared" si="22"/>
        <v>FTDU-Female Single Rope Double Under</v>
      </c>
    </row>
    <row r="777" spans="1:9" x14ac:dyDescent="0.25">
      <c r="A777">
        <f>'Team Info'!$B$3</f>
        <v>0</v>
      </c>
      <c r="B777">
        <f>'Female 30-second Double Under'!A43</f>
        <v>17</v>
      </c>
      <c r="C777" t="str">
        <f>'Female 30-second Double Under'!B43</f>
        <v>FTDU</v>
      </c>
      <c r="D777">
        <f>'Female 30-second Double Under'!C43</f>
        <v>10</v>
      </c>
      <c r="E777">
        <f>'Female 30-second Double Under'!D43</f>
        <v>0</v>
      </c>
      <c r="I777" t="str">
        <f t="shared" si="22"/>
        <v>FTDU-Female Single Rope Double Under</v>
      </c>
    </row>
    <row r="778" spans="1:9" x14ac:dyDescent="0.25">
      <c r="A778">
        <f>'Team Info'!$B$3</f>
        <v>0</v>
      </c>
      <c r="B778">
        <f>'Female 30-second Double Under'!A44</f>
        <v>18</v>
      </c>
      <c r="C778" t="str">
        <f>'Female 30-second Double Under'!B44</f>
        <v>FTDU</v>
      </c>
      <c r="D778">
        <f>'Female 30-second Double Under'!C44</f>
        <v>10</v>
      </c>
      <c r="E778">
        <f>'Female 30-second Double Under'!D44</f>
        <v>0</v>
      </c>
      <c r="I778" t="str">
        <f t="shared" si="22"/>
        <v>FTDU-Female Single Rope Double Under</v>
      </c>
    </row>
    <row r="779" spans="1:9" x14ac:dyDescent="0.25">
      <c r="A779">
        <f>'Team Info'!$B$3</f>
        <v>0</v>
      </c>
      <c r="B779">
        <f>'Female 30-second Double Under'!A45</f>
        <v>19</v>
      </c>
      <c r="C779" t="str">
        <f>'Female 30-second Double Under'!B45</f>
        <v>FTDU</v>
      </c>
      <c r="D779">
        <f>'Female 30-second Double Under'!C45</f>
        <v>10</v>
      </c>
      <c r="E779">
        <f>'Female 30-second Double Under'!D45</f>
        <v>0</v>
      </c>
      <c r="I779" t="str">
        <f t="shared" si="22"/>
        <v>FTDU-Female Single Rope Double Under</v>
      </c>
    </row>
    <row r="780" spans="1:9" x14ac:dyDescent="0.25">
      <c r="A780">
        <f>'Team Info'!$B$3</f>
        <v>0</v>
      </c>
      <c r="B780">
        <f>'Female 30-second Double Under'!A46</f>
        <v>20</v>
      </c>
      <c r="C780" t="str">
        <f>'Female 30-second Double Under'!B46</f>
        <v>FTDU</v>
      </c>
      <c r="D780">
        <f>'Female 30-second Double Under'!C46</f>
        <v>10</v>
      </c>
      <c r="E780">
        <f>'Female 30-second Double Under'!D46</f>
        <v>0</v>
      </c>
      <c r="I780" t="str">
        <f t="shared" si="22"/>
        <v>FTDU-Female Single Rope Double Under</v>
      </c>
    </row>
    <row r="781" spans="1:9" x14ac:dyDescent="0.25">
      <c r="A781">
        <f>'Team Info'!$B$3</f>
        <v>0</v>
      </c>
      <c r="B781">
        <f>'Female 30-second Double Under'!H27</f>
        <v>1</v>
      </c>
      <c r="C781" t="str">
        <f>'Female 30-second Double Under'!I27</f>
        <v>FTDU</v>
      </c>
      <c r="D781">
        <f>'Female 30-second Double Under'!J27</f>
        <v>11</v>
      </c>
      <c r="E781">
        <f>'Female 30-second Double Under'!K27</f>
        <v>0</v>
      </c>
      <c r="I781" t="str">
        <f t="shared" si="22"/>
        <v>FTDU-Female Single Rope Double Under</v>
      </c>
    </row>
    <row r="782" spans="1:9" x14ac:dyDescent="0.25">
      <c r="A782">
        <f>'Team Info'!$B$3</f>
        <v>0</v>
      </c>
      <c r="B782">
        <f>'Female 30-second Double Under'!H28</f>
        <v>2</v>
      </c>
      <c r="C782" t="str">
        <f>'Female 30-second Double Under'!I28</f>
        <v>FTDU</v>
      </c>
      <c r="D782">
        <f>'Female 30-second Double Under'!J28</f>
        <v>11</v>
      </c>
      <c r="E782">
        <f>'Female 30-second Double Under'!K28</f>
        <v>0</v>
      </c>
      <c r="I782" t="str">
        <f t="shared" si="22"/>
        <v>FTDU-Female Single Rope Double Under</v>
      </c>
    </row>
    <row r="783" spans="1:9" x14ac:dyDescent="0.25">
      <c r="A783">
        <f>'Team Info'!$B$3</f>
        <v>0</v>
      </c>
      <c r="B783">
        <f>'Female 30-second Double Under'!H29</f>
        <v>3</v>
      </c>
      <c r="C783" t="str">
        <f>'Female 30-second Double Under'!I29</f>
        <v>FTDU</v>
      </c>
      <c r="D783">
        <f>'Female 30-second Double Under'!J29</f>
        <v>11</v>
      </c>
      <c r="E783">
        <f>'Female 30-second Double Under'!K29</f>
        <v>0</v>
      </c>
      <c r="I783" t="str">
        <f t="shared" si="22"/>
        <v>FTDU-Female Single Rope Double Under</v>
      </c>
    </row>
    <row r="784" spans="1:9" x14ac:dyDescent="0.25">
      <c r="A784">
        <f>'Team Info'!$B$3</f>
        <v>0</v>
      </c>
      <c r="B784">
        <f>'Female 30-second Double Under'!H30</f>
        <v>4</v>
      </c>
      <c r="C784" t="str">
        <f>'Female 30-second Double Under'!I30</f>
        <v>FTDU</v>
      </c>
      <c r="D784">
        <f>'Female 30-second Double Under'!J30</f>
        <v>11</v>
      </c>
      <c r="E784">
        <f>'Female 30-second Double Under'!K30</f>
        <v>0</v>
      </c>
      <c r="I784" t="str">
        <f t="shared" si="22"/>
        <v>FTDU-Female Single Rope Double Under</v>
      </c>
    </row>
    <row r="785" spans="1:9" x14ac:dyDescent="0.25">
      <c r="A785">
        <f>'Team Info'!$B$3</f>
        <v>0</v>
      </c>
      <c r="B785">
        <f>'Female 30-second Double Under'!H31</f>
        <v>5</v>
      </c>
      <c r="C785" t="str">
        <f>'Female 30-second Double Under'!I31</f>
        <v>FTDU</v>
      </c>
      <c r="D785">
        <f>'Female 30-second Double Under'!J31</f>
        <v>11</v>
      </c>
      <c r="E785">
        <f>'Female 30-second Double Under'!K31</f>
        <v>0</v>
      </c>
      <c r="I785" t="str">
        <f t="shared" si="22"/>
        <v>FTDU-Female Single Rope Double Under</v>
      </c>
    </row>
    <row r="786" spans="1:9" x14ac:dyDescent="0.25">
      <c r="A786">
        <f>'Team Info'!$B$3</f>
        <v>0</v>
      </c>
      <c r="B786">
        <f>'Female 30-second Double Under'!H32</f>
        <v>6</v>
      </c>
      <c r="C786" t="str">
        <f>'Female 30-second Double Under'!I32</f>
        <v>FTDU</v>
      </c>
      <c r="D786">
        <f>'Female 30-second Double Under'!J32</f>
        <v>11</v>
      </c>
      <c r="E786">
        <f>'Female 30-second Double Under'!K32</f>
        <v>0</v>
      </c>
      <c r="I786" t="str">
        <f t="shared" si="22"/>
        <v>FTDU-Female Single Rope Double Under</v>
      </c>
    </row>
    <row r="787" spans="1:9" x14ac:dyDescent="0.25">
      <c r="A787">
        <f>'Team Info'!$B$3</f>
        <v>0</v>
      </c>
      <c r="B787">
        <f>'Female 30-second Double Under'!H33</f>
        <v>7</v>
      </c>
      <c r="C787" t="str">
        <f>'Female 30-second Double Under'!I33</f>
        <v>FTDU</v>
      </c>
      <c r="D787">
        <f>'Female 30-second Double Under'!J33</f>
        <v>11</v>
      </c>
      <c r="E787">
        <f>'Female 30-second Double Under'!K33</f>
        <v>0</v>
      </c>
      <c r="I787" t="str">
        <f t="shared" si="22"/>
        <v>FTDU-Female Single Rope Double Under</v>
      </c>
    </row>
    <row r="788" spans="1:9" x14ac:dyDescent="0.25">
      <c r="A788">
        <f>'Team Info'!$B$3</f>
        <v>0</v>
      </c>
      <c r="B788">
        <f>'Female 30-second Double Under'!H34</f>
        <v>8</v>
      </c>
      <c r="C788" t="str">
        <f>'Female 30-second Double Under'!I34</f>
        <v>FTDU</v>
      </c>
      <c r="D788">
        <f>'Female 30-second Double Under'!J34</f>
        <v>11</v>
      </c>
      <c r="E788">
        <f>'Female 30-second Double Under'!K34</f>
        <v>0</v>
      </c>
      <c r="I788" t="str">
        <f t="shared" si="22"/>
        <v>FTDU-Female Single Rope Double Under</v>
      </c>
    </row>
    <row r="789" spans="1:9" x14ac:dyDescent="0.25">
      <c r="A789">
        <f>'Team Info'!$B$3</f>
        <v>0</v>
      </c>
      <c r="B789">
        <f>'Female 30-second Double Under'!H35</f>
        <v>9</v>
      </c>
      <c r="C789" t="str">
        <f>'Female 30-second Double Under'!I35</f>
        <v>FTDU</v>
      </c>
      <c r="D789">
        <f>'Female 30-second Double Under'!J35</f>
        <v>11</v>
      </c>
      <c r="E789">
        <f>'Female 30-second Double Under'!K35</f>
        <v>0</v>
      </c>
      <c r="I789" t="str">
        <f t="shared" si="22"/>
        <v>FTDU-Female Single Rope Double Under</v>
      </c>
    </row>
    <row r="790" spans="1:9" x14ac:dyDescent="0.25">
      <c r="A790">
        <f>'Team Info'!$B$3</f>
        <v>0</v>
      </c>
      <c r="B790">
        <f>'Female 30-second Double Under'!H36</f>
        <v>10</v>
      </c>
      <c r="C790" t="str">
        <f>'Female 30-second Double Under'!I36</f>
        <v>FTDU</v>
      </c>
      <c r="D790">
        <f>'Female 30-second Double Under'!J36</f>
        <v>11</v>
      </c>
      <c r="E790">
        <f>'Female 30-second Double Under'!K36</f>
        <v>0</v>
      </c>
      <c r="I790" t="str">
        <f t="shared" si="22"/>
        <v>FTDU-Female Single Rope Double Under</v>
      </c>
    </row>
    <row r="791" spans="1:9" x14ac:dyDescent="0.25">
      <c r="A791">
        <f>'Team Info'!$B$3</f>
        <v>0</v>
      </c>
      <c r="B791">
        <f>'Female 30-second Double Under'!H37</f>
        <v>11</v>
      </c>
      <c r="C791" t="str">
        <f>'Female 30-second Double Under'!I37</f>
        <v>FTDU</v>
      </c>
      <c r="D791">
        <f>'Female 30-second Double Under'!J37</f>
        <v>11</v>
      </c>
      <c r="E791">
        <f>'Female 30-second Double Under'!K37</f>
        <v>0</v>
      </c>
      <c r="I791" t="str">
        <f t="shared" si="22"/>
        <v>FTDU-Female Single Rope Double Under</v>
      </c>
    </row>
    <row r="792" spans="1:9" x14ac:dyDescent="0.25">
      <c r="A792">
        <f>'Team Info'!$B$3</f>
        <v>0</v>
      </c>
      <c r="B792">
        <f>'Female 30-second Double Under'!H38</f>
        <v>12</v>
      </c>
      <c r="C792" t="str">
        <f>'Female 30-second Double Under'!I38</f>
        <v>FTDU</v>
      </c>
      <c r="D792">
        <f>'Female 30-second Double Under'!J38</f>
        <v>11</v>
      </c>
      <c r="E792">
        <f>'Female 30-second Double Under'!K38</f>
        <v>0</v>
      </c>
      <c r="I792" t="str">
        <f t="shared" si="22"/>
        <v>FTDU-Female Single Rope Double Under</v>
      </c>
    </row>
    <row r="793" spans="1:9" x14ac:dyDescent="0.25">
      <c r="A793">
        <f>'Team Info'!$B$3</f>
        <v>0</v>
      </c>
      <c r="B793">
        <f>'Female 30-second Double Under'!H39</f>
        <v>13</v>
      </c>
      <c r="C793" t="str">
        <f>'Female 30-second Double Under'!I39</f>
        <v>FTDU</v>
      </c>
      <c r="D793">
        <f>'Female 30-second Double Under'!J39</f>
        <v>11</v>
      </c>
      <c r="E793">
        <f>'Female 30-second Double Under'!K39</f>
        <v>0</v>
      </c>
      <c r="I793" t="str">
        <f t="shared" si="22"/>
        <v>FTDU-Female Single Rope Double Under</v>
      </c>
    </row>
    <row r="794" spans="1:9" x14ac:dyDescent="0.25">
      <c r="A794">
        <f>'Team Info'!$B$3</f>
        <v>0</v>
      </c>
      <c r="B794">
        <f>'Female 30-second Double Under'!H40</f>
        <v>14</v>
      </c>
      <c r="C794" t="str">
        <f>'Female 30-second Double Under'!I40</f>
        <v>FTDU</v>
      </c>
      <c r="D794">
        <f>'Female 30-second Double Under'!J40</f>
        <v>11</v>
      </c>
      <c r="E794">
        <f>'Female 30-second Double Under'!K40</f>
        <v>0</v>
      </c>
      <c r="I794" t="str">
        <f t="shared" si="22"/>
        <v>FTDU-Female Single Rope Double Under</v>
      </c>
    </row>
    <row r="795" spans="1:9" x14ac:dyDescent="0.25">
      <c r="A795">
        <f>'Team Info'!$B$3</f>
        <v>0</v>
      </c>
      <c r="B795">
        <f>'Female 30-second Double Under'!H41</f>
        <v>15</v>
      </c>
      <c r="C795" t="str">
        <f>'Female 30-second Double Under'!I41</f>
        <v>FTDU</v>
      </c>
      <c r="D795">
        <f>'Female 30-second Double Under'!J41</f>
        <v>11</v>
      </c>
      <c r="E795">
        <f>'Female 30-second Double Under'!K41</f>
        <v>0</v>
      </c>
      <c r="I795" t="str">
        <f t="shared" si="22"/>
        <v>FTDU-Female Single Rope Double Under</v>
      </c>
    </row>
    <row r="796" spans="1:9" x14ac:dyDescent="0.25">
      <c r="A796">
        <f>'Team Info'!$B$3</f>
        <v>0</v>
      </c>
      <c r="B796">
        <f>'Female 30-second Double Under'!H42</f>
        <v>16</v>
      </c>
      <c r="C796" t="str">
        <f>'Female 30-second Double Under'!I42</f>
        <v>FTDU</v>
      </c>
      <c r="D796">
        <f>'Female 30-second Double Under'!J42</f>
        <v>11</v>
      </c>
      <c r="E796">
        <f>'Female 30-second Double Under'!K42</f>
        <v>0</v>
      </c>
      <c r="I796" t="str">
        <f t="shared" si="22"/>
        <v>FTDU-Female Single Rope Double Under</v>
      </c>
    </row>
    <row r="797" spans="1:9" x14ac:dyDescent="0.25">
      <c r="A797">
        <f>'Team Info'!$B$3</f>
        <v>0</v>
      </c>
      <c r="B797">
        <f>'Female 30-second Double Under'!H43</f>
        <v>17</v>
      </c>
      <c r="C797" t="str">
        <f>'Female 30-second Double Under'!I43</f>
        <v>FTDU</v>
      </c>
      <c r="D797">
        <f>'Female 30-second Double Under'!J43</f>
        <v>11</v>
      </c>
      <c r="E797">
        <f>'Female 30-second Double Under'!K43</f>
        <v>0</v>
      </c>
      <c r="I797" t="str">
        <f t="shared" si="22"/>
        <v>FTDU-Female Single Rope Double Under</v>
      </c>
    </row>
    <row r="798" spans="1:9" x14ac:dyDescent="0.25">
      <c r="A798">
        <f>'Team Info'!$B$3</f>
        <v>0</v>
      </c>
      <c r="B798">
        <f>'Female 30-second Double Under'!H44</f>
        <v>18</v>
      </c>
      <c r="C798" t="str">
        <f>'Female 30-second Double Under'!I44</f>
        <v>FTDU</v>
      </c>
      <c r="D798">
        <f>'Female 30-second Double Under'!J44</f>
        <v>11</v>
      </c>
      <c r="E798">
        <f>'Female 30-second Double Under'!K44</f>
        <v>0</v>
      </c>
      <c r="I798" t="str">
        <f t="shared" si="22"/>
        <v>FTDU-Female Single Rope Double Under</v>
      </c>
    </row>
    <row r="799" spans="1:9" x14ac:dyDescent="0.25">
      <c r="A799">
        <f>'Team Info'!$B$3</f>
        <v>0</v>
      </c>
      <c r="B799">
        <f>'Female 30-second Double Under'!H45</f>
        <v>19</v>
      </c>
      <c r="C799" t="str">
        <f>'Female 30-second Double Under'!I45</f>
        <v>FTDU</v>
      </c>
      <c r="D799">
        <f>'Female 30-second Double Under'!J45</f>
        <v>11</v>
      </c>
      <c r="E799">
        <f>'Female 30-second Double Under'!K45</f>
        <v>0</v>
      </c>
      <c r="I799" t="str">
        <f t="shared" si="22"/>
        <v>FTDU-Female Single Rope Double Under</v>
      </c>
    </row>
    <row r="800" spans="1:9" x14ac:dyDescent="0.25">
      <c r="A800">
        <f>'Team Info'!$B$3</f>
        <v>0</v>
      </c>
      <c r="B800">
        <f>'Female 30-second Double Under'!H46</f>
        <v>20</v>
      </c>
      <c r="C800" t="str">
        <f>'Female 30-second Double Under'!I46</f>
        <v>FTDU</v>
      </c>
      <c r="D800">
        <f>'Female 30-second Double Under'!J46</f>
        <v>11</v>
      </c>
      <c r="E800">
        <f>'Female 30-second Double Under'!K46</f>
        <v>0</v>
      </c>
      <c r="I800" t="str">
        <f t="shared" si="22"/>
        <v>FTDU-Female Single Rope Double Under</v>
      </c>
    </row>
    <row r="801" spans="1:9" x14ac:dyDescent="0.25">
      <c r="A801">
        <f>'Team Info'!$B$3</f>
        <v>0</v>
      </c>
      <c r="B801">
        <f>'Female 30-second Double Under'!A49</f>
        <v>1</v>
      </c>
      <c r="C801" t="str">
        <f>'Female 30-second Double Under'!B49</f>
        <v>FTDU</v>
      </c>
      <c r="D801">
        <f>'Female 30-second Double Under'!C49</f>
        <v>12</v>
      </c>
      <c r="E801">
        <f>'Female 30-second Double Under'!D49</f>
        <v>0</v>
      </c>
      <c r="I801" t="str">
        <f t="shared" si="22"/>
        <v>FTDU-Female Single Rope Double Under</v>
      </c>
    </row>
    <row r="802" spans="1:9" x14ac:dyDescent="0.25">
      <c r="A802">
        <f>'Team Info'!$B$3</f>
        <v>0</v>
      </c>
      <c r="B802">
        <f>'Female 30-second Double Under'!A50</f>
        <v>2</v>
      </c>
      <c r="C802" t="str">
        <f>'Female 30-second Double Under'!B50</f>
        <v>FTDU</v>
      </c>
      <c r="D802">
        <f>'Female 30-second Double Under'!C50</f>
        <v>12</v>
      </c>
      <c r="E802">
        <f>'Female 30-second Double Under'!D50</f>
        <v>0</v>
      </c>
      <c r="I802" t="str">
        <f t="shared" si="22"/>
        <v>FTDU-Female Single Rope Double Under</v>
      </c>
    </row>
    <row r="803" spans="1:9" x14ac:dyDescent="0.25">
      <c r="A803">
        <f>'Team Info'!$B$3</f>
        <v>0</v>
      </c>
      <c r="B803">
        <f>'Female 30-second Double Under'!A51</f>
        <v>3</v>
      </c>
      <c r="C803" t="str">
        <f>'Female 30-second Double Under'!B51</f>
        <v>FTDU</v>
      </c>
      <c r="D803">
        <f>'Female 30-second Double Under'!C51</f>
        <v>12</v>
      </c>
      <c r="E803">
        <f>'Female 30-second Double Under'!D51</f>
        <v>0</v>
      </c>
      <c r="I803" t="str">
        <f t="shared" si="22"/>
        <v>FTDU-Female Single Rope Double Under</v>
      </c>
    </row>
    <row r="804" spans="1:9" x14ac:dyDescent="0.25">
      <c r="A804">
        <f>'Team Info'!$B$3</f>
        <v>0</v>
      </c>
      <c r="B804">
        <f>'Female 30-second Double Under'!A52</f>
        <v>4</v>
      </c>
      <c r="C804" t="str">
        <f>'Female 30-second Double Under'!B52</f>
        <v>FTDU</v>
      </c>
      <c r="D804">
        <f>'Female 30-second Double Under'!C52</f>
        <v>12</v>
      </c>
      <c r="E804">
        <f>'Female 30-second Double Under'!D52</f>
        <v>0</v>
      </c>
      <c r="I804" t="str">
        <f t="shared" ref="I804:I867" si="23">VLOOKUP(C804,EVENTS,2,FALSE)</f>
        <v>FTDU-Female Single Rope Double Under</v>
      </c>
    </row>
    <row r="805" spans="1:9" x14ac:dyDescent="0.25">
      <c r="A805">
        <f>'Team Info'!$B$3</f>
        <v>0</v>
      </c>
      <c r="B805">
        <f>'Female 30-second Double Under'!A53</f>
        <v>5</v>
      </c>
      <c r="C805" t="str">
        <f>'Female 30-second Double Under'!B53</f>
        <v>FTDU</v>
      </c>
      <c r="D805">
        <f>'Female 30-second Double Under'!C53</f>
        <v>12</v>
      </c>
      <c r="E805">
        <f>'Female 30-second Double Under'!D53</f>
        <v>0</v>
      </c>
      <c r="I805" t="str">
        <f t="shared" si="23"/>
        <v>FTDU-Female Single Rope Double Under</v>
      </c>
    </row>
    <row r="806" spans="1:9" x14ac:dyDescent="0.25">
      <c r="A806">
        <f>'Team Info'!$B$3</f>
        <v>0</v>
      </c>
      <c r="B806">
        <f>'Female 30-second Double Under'!A54</f>
        <v>6</v>
      </c>
      <c r="C806" t="str">
        <f>'Female 30-second Double Under'!B54</f>
        <v>FTDU</v>
      </c>
      <c r="D806">
        <f>'Female 30-second Double Under'!C54</f>
        <v>12</v>
      </c>
      <c r="E806">
        <f>'Female 30-second Double Under'!D54</f>
        <v>0</v>
      </c>
      <c r="I806" t="str">
        <f t="shared" si="23"/>
        <v>FTDU-Female Single Rope Double Under</v>
      </c>
    </row>
    <row r="807" spans="1:9" x14ac:dyDescent="0.25">
      <c r="A807">
        <f>'Team Info'!$B$3</f>
        <v>0</v>
      </c>
      <c r="B807">
        <f>'Female 30-second Double Under'!A55</f>
        <v>7</v>
      </c>
      <c r="C807" t="str">
        <f>'Female 30-second Double Under'!B55</f>
        <v>FTDU</v>
      </c>
      <c r="D807">
        <f>'Female 30-second Double Under'!C55</f>
        <v>12</v>
      </c>
      <c r="E807">
        <f>'Female 30-second Double Under'!D55</f>
        <v>0</v>
      </c>
      <c r="I807" t="str">
        <f t="shared" si="23"/>
        <v>FTDU-Female Single Rope Double Under</v>
      </c>
    </row>
    <row r="808" spans="1:9" x14ac:dyDescent="0.25">
      <c r="A808">
        <f>'Team Info'!$B$3</f>
        <v>0</v>
      </c>
      <c r="B808">
        <f>'Female 30-second Double Under'!A56</f>
        <v>8</v>
      </c>
      <c r="C808" t="str">
        <f>'Female 30-second Double Under'!B56</f>
        <v>FTDU</v>
      </c>
      <c r="D808">
        <f>'Female 30-second Double Under'!C56</f>
        <v>12</v>
      </c>
      <c r="E808">
        <f>'Female 30-second Double Under'!D56</f>
        <v>0</v>
      </c>
      <c r="I808" t="str">
        <f t="shared" si="23"/>
        <v>FTDU-Female Single Rope Double Under</v>
      </c>
    </row>
    <row r="809" spans="1:9" x14ac:dyDescent="0.25">
      <c r="A809">
        <f>'Team Info'!$B$3</f>
        <v>0</v>
      </c>
      <c r="B809">
        <f>'Female 30-second Double Under'!A57</f>
        <v>9</v>
      </c>
      <c r="C809" t="str">
        <f>'Female 30-second Double Under'!B57</f>
        <v>FTDU</v>
      </c>
      <c r="D809">
        <f>'Female 30-second Double Under'!C57</f>
        <v>12</v>
      </c>
      <c r="E809">
        <f>'Female 30-second Double Under'!D57</f>
        <v>0</v>
      </c>
      <c r="I809" t="str">
        <f t="shared" si="23"/>
        <v>FTDU-Female Single Rope Double Under</v>
      </c>
    </row>
    <row r="810" spans="1:9" x14ac:dyDescent="0.25">
      <c r="A810">
        <f>'Team Info'!$B$3</f>
        <v>0</v>
      </c>
      <c r="B810">
        <f>'Female 30-second Double Under'!A58</f>
        <v>10</v>
      </c>
      <c r="C810" t="str">
        <f>'Female 30-second Double Under'!B58</f>
        <v>FTDU</v>
      </c>
      <c r="D810">
        <f>'Female 30-second Double Under'!C58</f>
        <v>12</v>
      </c>
      <c r="E810">
        <f>'Female 30-second Double Under'!D58</f>
        <v>0</v>
      </c>
      <c r="I810" t="str">
        <f t="shared" si="23"/>
        <v>FTDU-Female Single Rope Double Under</v>
      </c>
    </row>
    <row r="811" spans="1:9" x14ac:dyDescent="0.25">
      <c r="A811">
        <f>'Team Info'!$B$3</f>
        <v>0</v>
      </c>
      <c r="B811">
        <f>'Female 30-second Double Under'!A59</f>
        <v>11</v>
      </c>
      <c r="C811" t="str">
        <f>'Female 30-second Double Under'!B59</f>
        <v>FTDU</v>
      </c>
      <c r="D811">
        <f>'Female 30-second Double Under'!C59</f>
        <v>12</v>
      </c>
      <c r="E811">
        <f>'Female 30-second Double Under'!D59</f>
        <v>0</v>
      </c>
      <c r="I811" t="str">
        <f t="shared" si="23"/>
        <v>FTDU-Female Single Rope Double Under</v>
      </c>
    </row>
    <row r="812" spans="1:9" x14ac:dyDescent="0.25">
      <c r="A812">
        <f>'Team Info'!$B$3</f>
        <v>0</v>
      </c>
      <c r="B812">
        <f>'Female 30-second Double Under'!A60</f>
        <v>12</v>
      </c>
      <c r="C812" t="str">
        <f>'Female 30-second Double Under'!B60</f>
        <v>FTDU</v>
      </c>
      <c r="D812">
        <f>'Female 30-second Double Under'!C60</f>
        <v>12</v>
      </c>
      <c r="E812">
        <f>'Female 30-second Double Under'!D60</f>
        <v>0</v>
      </c>
      <c r="I812" t="str">
        <f t="shared" si="23"/>
        <v>FTDU-Female Single Rope Double Under</v>
      </c>
    </row>
    <row r="813" spans="1:9" x14ac:dyDescent="0.25">
      <c r="A813">
        <f>'Team Info'!$B$3</f>
        <v>0</v>
      </c>
      <c r="B813">
        <f>'Female 30-second Double Under'!A61</f>
        <v>13</v>
      </c>
      <c r="C813" t="str">
        <f>'Female 30-second Double Under'!B61</f>
        <v>FTDU</v>
      </c>
      <c r="D813">
        <f>'Female 30-second Double Under'!C61</f>
        <v>12</v>
      </c>
      <c r="E813">
        <f>'Female 30-second Double Under'!D61</f>
        <v>0</v>
      </c>
      <c r="I813" t="str">
        <f t="shared" si="23"/>
        <v>FTDU-Female Single Rope Double Under</v>
      </c>
    </row>
    <row r="814" spans="1:9" x14ac:dyDescent="0.25">
      <c r="A814">
        <f>'Team Info'!$B$3</f>
        <v>0</v>
      </c>
      <c r="B814">
        <f>'Female 30-second Double Under'!A62</f>
        <v>14</v>
      </c>
      <c r="C814" t="str">
        <f>'Female 30-second Double Under'!B62</f>
        <v>FTDU</v>
      </c>
      <c r="D814">
        <f>'Female 30-second Double Under'!C62</f>
        <v>12</v>
      </c>
      <c r="E814">
        <f>'Female 30-second Double Under'!D62</f>
        <v>0</v>
      </c>
      <c r="I814" t="str">
        <f t="shared" si="23"/>
        <v>FTDU-Female Single Rope Double Under</v>
      </c>
    </row>
    <row r="815" spans="1:9" x14ac:dyDescent="0.25">
      <c r="A815">
        <f>'Team Info'!$B$3</f>
        <v>0</v>
      </c>
      <c r="B815">
        <f>'Female 30-second Double Under'!A63</f>
        <v>15</v>
      </c>
      <c r="C815" t="str">
        <f>'Female 30-second Double Under'!B63</f>
        <v>FTDU</v>
      </c>
      <c r="D815">
        <f>'Female 30-second Double Under'!C63</f>
        <v>12</v>
      </c>
      <c r="E815">
        <f>'Female 30-second Double Under'!D63</f>
        <v>0</v>
      </c>
      <c r="I815" t="str">
        <f t="shared" si="23"/>
        <v>FTDU-Female Single Rope Double Under</v>
      </c>
    </row>
    <row r="816" spans="1:9" x14ac:dyDescent="0.25">
      <c r="A816">
        <f>'Team Info'!$B$3</f>
        <v>0</v>
      </c>
      <c r="B816">
        <f>'Female 30-second Double Under'!A64</f>
        <v>16</v>
      </c>
      <c r="C816" t="str">
        <f>'Female 30-second Double Under'!B64</f>
        <v>FTDU</v>
      </c>
      <c r="D816">
        <f>'Female 30-second Double Under'!C64</f>
        <v>12</v>
      </c>
      <c r="E816">
        <f>'Female 30-second Double Under'!D64</f>
        <v>0</v>
      </c>
      <c r="I816" t="str">
        <f t="shared" si="23"/>
        <v>FTDU-Female Single Rope Double Under</v>
      </c>
    </row>
    <row r="817" spans="1:9" x14ac:dyDescent="0.25">
      <c r="A817">
        <f>'Team Info'!$B$3</f>
        <v>0</v>
      </c>
      <c r="B817">
        <f>'Female 30-second Double Under'!A65</f>
        <v>17</v>
      </c>
      <c r="C817" t="str">
        <f>'Female 30-second Double Under'!B65</f>
        <v>FTDU</v>
      </c>
      <c r="D817">
        <f>'Female 30-second Double Under'!C65</f>
        <v>12</v>
      </c>
      <c r="E817">
        <f>'Female 30-second Double Under'!D65</f>
        <v>0</v>
      </c>
      <c r="I817" t="str">
        <f t="shared" si="23"/>
        <v>FTDU-Female Single Rope Double Under</v>
      </c>
    </row>
    <row r="818" spans="1:9" x14ac:dyDescent="0.25">
      <c r="A818">
        <f>'Team Info'!$B$3</f>
        <v>0</v>
      </c>
      <c r="B818">
        <f>'Female 30-second Double Under'!A66</f>
        <v>18</v>
      </c>
      <c r="C818" t="str">
        <f>'Female 30-second Double Under'!B66</f>
        <v>FTDU</v>
      </c>
      <c r="D818">
        <f>'Female 30-second Double Under'!C66</f>
        <v>12</v>
      </c>
      <c r="E818">
        <f>'Female 30-second Double Under'!D66</f>
        <v>0</v>
      </c>
      <c r="I818" t="str">
        <f t="shared" si="23"/>
        <v>FTDU-Female Single Rope Double Under</v>
      </c>
    </row>
    <row r="819" spans="1:9" x14ac:dyDescent="0.25">
      <c r="A819">
        <f>'Team Info'!$B$3</f>
        <v>0</v>
      </c>
      <c r="B819">
        <f>'Female 30-second Double Under'!A67</f>
        <v>19</v>
      </c>
      <c r="C819" t="str">
        <f>'Female 30-second Double Under'!B67</f>
        <v>FTDU</v>
      </c>
      <c r="D819">
        <f>'Female 30-second Double Under'!C67</f>
        <v>12</v>
      </c>
      <c r="E819">
        <f>'Female 30-second Double Under'!D67</f>
        <v>0</v>
      </c>
      <c r="I819" t="str">
        <f t="shared" si="23"/>
        <v>FTDU-Female Single Rope Double Under</v>
      </c>
    </row>
    <row r="820" spans="1:9" x14ac:dyDescent="0.25">
      <c r="A820">
        <f>'Team Info'!$B$3</f>
        <v>0</v>
      </c>
      <c r="B820">
        <f>'Female 30-second Double Under'!A68</f>
        <v>20</v>
      </c>
      <c r="C820" t="str">
        <f>'Female 30-second Double Under'!B68</f>
        <v>FTDU</v>
      </c>
      <c r="D820">
        <f>'Female 30-second Double Under'!C68</f>
        <v>12</v>
      </c>
      <c r="E820">
        <f>'Female 30-second Double Under'!D68</f>
        <v>0</v>
      </c>
      <c r="I820" t="str">
        <f t="shared" si="23"/>
        <v>FTDU-Female Single Rope Double Under</v>
      </c>
    </row>
    <row r="821" spans="1:9" x14ac:dyDescent="0.25">
      <c r="A821">
        <f>'Team Info'!$B$3</f>
        <v>0</v>
      </c>
      <c r="B821">
        <f>'Female 30-second Double Under'!H49</f>
        <v>1</v>
      </c>
      <c r="C821" t="str">
        <f>'Female 30-second Double Under'!I49</f>
        <v>FTDU</v>
      </c>
      <c r="D821">
        <f>'Female 30-second Double Under'!J49</f>
        <v>13</v>
      </c>
      <c r="E821">
        <f>'Female 30-second Double Under'!K49</f>
        <v>0</v>
      </c>
      <c r="I821" t="str">
        <f t="shared" si="23"/>
        <v>FTDU-Female Single Rope Double Under</v>
      </c>
    </row>
    <row r="822" spans="1:9" x14ac:dyDescent="0.25">
      <c r="A822">
        <f>'Team Info'!$B$3</f>
        <v>0</v>
      </c>
      <c r="B822">
        <f>'Female 30-second Double Under'!H50</f>
        <v>2</v>
      </c>
      <c r="C822" t="str">
        <f>'Female 30-second Double Under'!I50</f>
        <v>FTDU</v>
      </c>
      <c r="D822">
        <f>'Female 30-second Double Under'!J50</f>
        <v>13</v>
      </c>
      <c r="E822">
        <f>'Female 30-second Double Under'!K50</f>
        <v>0</v>
      </c>
      <c r="I822" t="str">
        <f t="shared" si="23"/>
        <v>FTDU-Female Single Rope Double Under</v>
      </c>
    </row>
    <row r="823" spans="1:9" x14ac:dyDescent="0.25">
      <c r="A823">
        <f>'Team Info'!$B$3</f>
        <v>0</v>
      </c>
      <c r="B823">
        <f>'Female 30-second Double Under'!H51</f>
        <v>3</v>
      </c>
      <c r="C823" t="str">
        <f>'Female 30-second Double Under'!I51</f>
        <v>FTDU</v>
      </c>
      <c r="D823">
        <f>'Female 30-second Double Under'!J51</f>
        <v>13</v>
      </c>
      <c r="E823">
        <f>'Female 30-second Double Under'!K51</f>
        <v>0</v>
      </c>
      <c r="I823" t="str">
        <f t="shared" si="23"/>
        <v>FTDU-Female Single Rope Double Under</v>
      </c>
    </row>
    <row r="824" spans="1:9" x14ac:dyDescent="0.25">
      <c r="A824">
        <f>'Team Info'!$B$3</f>
        <v>0</v>
      </c>
      <c r="B824">
        <f>'Female 30-second Double Under'!H52</f>
        <v>4</v>
      </c>
      <c r="C824" t="str">
        <f>'Female 30-second Double Under'!I52</f>
        <v>FTDU</v>
      </c>
      <c r="D824">
        <f>'Female 30-second Double Under'!J52</f>
        <v>13</v>
      </c>
      <c r="E824">
        <f>'Female 30-second Double Under'!K52</f>
        <v>0</v>
      </c>
      <c r="I824" t="str">
        <f t="shared" si="23"/>
        <v>FTDU-Female Single Rope Double Under</v>
      </c>
    </row>
    <row r="825" spans="1:9" x14ac:dyDescent="0.25">
      <c r="A825">
        <f>'Team Info'!$B$3</f>
        <v>0</v>
      </c>
      <c r="B825">
        <f>'Female 30-second Double Under'!H53</f>
        <v>5</v>
      </c>
      <c r="C825" t="str">
        <f>'Female 30-second Double Under'!I53</f>
        <v>FTDU</v>
      </c>
      <c r="D825">
        <f>'Female 30-second Double Under'!J53</f>
        <v>13</v>
      </c>
      <c r="E825">
        <f>'Female 30-second Double Under'!K53</f>
        <v>0</v>
      </c>
      <c r="I825" t="str">
        <f t="shared" si="23"/>
        <v>FTDU-Female Single Rope Double Under</v>
      </c>
    </row>
    <row r="826" spans="1:9" x14ac:dyDescent="0.25">
      <c r="A826">
        <f>'Team Info'!$B$3</f>
        <v>0</v>
      </c>
      <c r="B826">
        <f>'Female 30-second Double Under'!H54</f>
        <v>6</v>
      </c>
      <c r="C826" t="str">
        <f>'Female 30-second Double Under'!I54</f>
        <v>FTDU</v>
      </c>
      <c r="D826">
        <f>'Female 30-second Double Under'!J54</f>
        <v>13</v>
      </c>
      <c r="E826">
        <f>'Female 30-second Double Under'!K54</f>
        <v>0</v>
      </c>
      <c r="I826" t="str">
        <f t="shared" si="23"/>
        <v>FTDU-Female Single Rope Double Under</v>
      </c>
    </row>
    <row r="827" spans="1:9" x14ac:dyDescent="0.25">
      <c r="A827">
        <f>'Team Info'!$B$3</f>
        <v>0</v>
      </c>
      <c r="B827">
        <f>'Female 30-second Double Under'!H55</f>
        <v>7</v>
      </c>
      <c r="C827" t="str">
        <f>'Female 30-second Double Under'!I55</f>
        <v>FTDU</v>
      </c>
      <c r="D827">
        <f>'Female 30-second Double Under'!J55</f>
        <v>13</v>
      </c>
      <c r="E827">
        <f>'Female 30-second Double Under'!K55</f>
        <v>0</v>
      </c>
      <c r="I827" t="str">
        <f t="shared" si="23"/>
        <v>FTDU-Female Single Rope Double Under</v>
      </c>
    </row>
    <row r="828" spans="1:9" x14ac:dyDescent="0.25">
      <c r="A828">
        <f>'Team Info'!$B$3</f>
        <v>0</v>
      </c>
      <c r="B828">
        <f>'Female 30-second Double Under'!H56</f>
        <v>8</v>
      </c>
      <c r="C828" t="str">
        <f>'Female 30-second Double Under'!I56</f>
        <v>FTDU</v>
      </c>
      <c r="D828">
        <f>'Female 30-second Double Under'!J56</f>
        <v>13</v>
      </c>
      <c r="E828">
        <f>'Female 30-second Double Under'!K56</f>
        <v>0</v>
      </c>
      <c r="I828" t="str">
        <f t="shared" si="23"/>
        <v>FTDU-Female Single Rope Double Under</v>
      </c>
    </row>
    <row r="829" spans="1:9" x14ac:dyDescent="0.25">
      <c r="A829">
        <f>'Team Info'!$B$3</f>
        <v>0</v>
      </c>
      <c r="B829">
        <f>'Female 30-second Double Under'!H57</f>
        <v>9</v>
      </c>
      <c r="C829" t="str">
        <f>'Female 30-second Double Under'!I57</f>
        <v>FTDU</v>
      </c>
      <c r="D829">
        <f>'Female 30-second Double Under'!J57</f>
        <v>13</v>
      </c>
      <c r="E829">
        <f>'Female 30-second Double Under'!K57</f>
        <v>0</v>
      </c>
      <c r="I829" t="str">
        <f t="shared" si="23"/>
        <v>FTDU-Female Single Rope Double Under</v>
      </c>
    </row>
    <row r="830" spans="1:9" x14ac:dyDescent="0.25">
      <c r="A830">
        <f>'Team Info'!$B$3</f>
        <v>0</v>
      </c>
      <c r="B830">
        <f>'Female 30-second Double Under'!H58</f>
        <v>10</v>
      </c>
      <c r="C830" t="str">
        <f>'Female 30-second Double Under'!I58</f>
        <v>FTDU</v>
      </c>
      <c r="D830">
        <f>'Female 30-second Double Under'!J58</f>
        <v>13</v>
      </c>
      <c r="E830">
        <f>'Female 30-second Double Under'!K58</f>
        <v>0</v>
      </c>
      <c r="I830" t="str">
        <f t="shared" si="23"/>
        <v>FTDU-Female Single Rope Double Under</v>
      </c>
    </row>
    <row r="831" spans="1:9" x14ac:dyDescent="0.25">
      <c r="A831">
        <f>'Team Info'!$B$3</f>
        <v>0</v>
      </c>
      <c r="B831">
        <f>'Female 30-second Double Under'!H59</f>
        <v>11</v>
      </c>
      <c r="C831" t="str">
        <f>'Female 30-second Double Under'!I59</f>
        <v>FTDU</v>
      </c>
      <c r="D831">
        <f>'Female 30-second Double Under'!J59</f>
        <v>13</v>
      </c>
      <c r="E831">
        <f>'Female 30-second Double Under'!K59</f>
        <v>0</v>
      </c>
      <c r="I831" t="str">
        <f t="shared" si="23"/>
        <v>FTDU-Female Single Rope Double Under</v>
      </c>
    </row>
    <row r="832" spans="1:9" x14ac:dyDescent="0.25">
      <c r="A832">
        <f>'Team Info'!$B$3</f>
        <v>0</v>
      </c>
      <c r="B832">
        <f>'Female 30-second Double Under'!H60</f>
        <v>12</v>
      </c>
      <c r="C832" t="str">
        <f>'Female 30-second Double Under'!I60</f>
        <v>FTDU</v>
      </c>
      <c r="D832">
        <f>'Female 30-second Double Under'!J60</f>
        <v>13</v>
      </c>
      <c r="E832">
        <f>'Female 30-second Double Under'!K60</f>
        <v>0</v>
      </c>
      <c r="I832" t="str">
        <f t="shared" si="23"/>
        <v>FTDU-Female Single Rope Double Under</v>
      </c>
    </row>
    <row r="833" spans="1:9" x14ac:dyDescent="0.25">
      <c r="A833">
        <f>'Team Info'!$B$3</f>
        <v>0</v>
      </c>
      <c r="B833">
        <f>'Female 30-second Double Under'!H61</f>
        <v>13</v>
      </c>
      <c r="C833" t="str">
        <f>'Female 30-second Double Under'!I61</f>
        <v>FTDU</v>
      </c>
      <c r="D833">
        <f>'Female 30-second Double Under'!J61</f>
        <v>13</v>
      </c>
      <c r="E833">
        <f>'Female 30-second Double Under'!K61</f>
        <v>0</v>
      </c>
      <c r="I833" t="str">
        <f t="shared" si="23"/>
        <v>FTDU-Female Single Rope Double Under</v>
      </c>
    </row>
    <row r="834" spans="1:9" x14ac:dyDescent="0.25">
      <c r="A834">
        <f>'Team Info'!$B$3</f>
        <v>0</v>
      </c>
      <c r="B834">
        <f>'Female 30-second Double Under'!H62</f>
        <v>14</v>
      </c>
      <c r="C834" t="str">
        <f>'Female 30-second Double Under'!I62</f>
        <v>FTDU</v>
      </c>
      <c r="D834">
        <f>'Female 30-second Double Under'!J62</f>
        <v>13</v>
      </c>
      <c r="E834">
        <f>'Female 30-second Double Under'!K62</f>
        <v>0</v>
      </c>
      <c r="I834" t="str">
        <f t="shared" si="23"/>
        <v>FTDU-Female Single Rope Double Under</v>
      </c>
    </row>
    <row r="835" spans="1:9" x14ac:dyDescent="0.25">
      <c r="A835">
        <f>'Team Info'!$B$3</f>
        <v>0</v>
      </c>
      <c r="B835">
        <f>'Female 30-second Double Under'!H63</f>
        <v>15</v>
      </c>
      <c r="C835" t="str">
        <f>'Female 30-second Double Under'!I63</f>
        <v>FTDU</v>
      </c>
      <c r="D835">
        <f>'Female 30-second Double Under'!J63</f>
        <v>13</v>
      </c>
      <c r="E835">
        <f>'Female 30-second Double Under'!K63</f>
        <v>0</v>
      </c>
      <c r="I835" t="str">
        <f t="shared" si="23"/>
        <v>FTDU-Female Single Rope Double Under</v>
      </c>
    </row>
    <row r="836" spans="1:9" x14ac:dyDescent="0.25">
      <c r="A836">
        <f>'Team Info'!$B$3</f>
        <v>0</v>
      </c>
      <c r="B836">
        <f>'Female 30-second Double Under'!H64</f>
        <v>16</v>
      </c>
      <c r="C836" t="str">
        <f>'Female 30-second Double Under'!I64</f>
        <v>FTDU</v>
      </c>
      <c r="D836">
        <f>'Female 30-second Double Under'!J64</f>
        <v>13</v>
      </c>
      <c r="E836">
        <f>'Female 30-second Double Under'!K64</f>
        <v>0</v>
      </c>
      <c r="I836" t="str">
        <f t="shared" si="23"/>
        <v>FTDU-Female Single Rope Double Under</v>
      </c>
    </row>
    <row r="837" spans="1:9" x14ac:dyDescent="0.25">
      <c r="A837">
        <f>'Team Info'!$B$3</f>
        <v>0</v>
      </c>
      <c r="B837">
        <f>'Female 30-second Double Under'!H65</f>
        <v>17</v>
      </c>
      <c r="C837" t="str">
        <f>'Female 30-second Double Under'!I65</f>
        <v>FTDU</v>
      </c>
      <c r="D837">
        <f>'Female 30-second Double Under'!J65</f>
        <v>13</v>
      </c>
      <c r="E837">
        <f>'Female 30-second Double Under'!K65</f>
        <v>0</v>
      </c>
      <c r="I837" t="str">
        <f t="shared" si="23"/>
        <v>FTDU-Female Single Rope Double Under</v>
      </c>
    </row>
    <row r="838" spans="1:9" x14ac:dyDescent="0.25">
      <c r="A838">
        <f>'Team Info'!$B$3</f>
        <v>0</v>
      </c>
      <c r="B838">
        <f>'Female 30-second Double Under'!H66</f>
        <v>18</v>
      </c>
      <c r="C838" t="str">
        <f>'Female 30-second Double Under'!I66</f>
        <v>FTDU</v>
      </c>
      <c r="D838">
        <f>'Female 30-second Double Under'!J66</f>
        <v>13</v>
      </c>
      <c r="E838">
        <f>'Female 30-second Double Under'!K66</f>
        <v>0</v>
      </c>
      <c r="I838" t="str">
        <f t="shared" si="23"/>
        <v>FTDU-Female Single Rope Double Under</v>
      </c>
    </row>
    <row r="839" spans="1:9" x14ac:dyDescent="0.25">
      <c r="A839">
        <f>'Team Info'!$B$3</f>
        <v>0</v>
      </c>
      <c r="B839">
        <f>'Female 30-second Double Under'!H67</f>
        <v>19</v>
      </c>
      <c r="C839" t="str">
        <f>'Female 30-second Double Under'!I67</f>
        <v>FTDU</v>
      </c>
      <c r="D839">
        <f>'Female 30-second Double Under'!J67</f>
        <v>13</v>
      </c>
      <c r="E839">
        <f>'Female 30-second Double Under'!K67</f>
        <v>0</v>
      </c>
      <c r="I839" t="str">
        <f t="shared" si="23"/>
        <v>FTDU-Female Single Rope Double Under</v>
      </c>
    </row>
    <row r="840" spans="1:9" x14ac:dyDescent="0.25">
      <c r="A840">
        <f>'Team Info'!$B$3</f>
        <v>0</v>
      </c>
      <c r="B840">
        <f>'Female 30-second Double Under'!H68</f>
        <v>20</v>
      </c>
      <c r="C840" t="str">
        <f>'Female 30-second Double Under'!I68</f>
        <v>FTDU</v>
      </c>
      <c r="D840">
        <f>'Female 30-second Double Under'!J68</f>
        <v>13</v>
      </c>
      <c r="E840">
        <f>'Female 30-second Double Under'!K68</f>
        <v>0</v>
      </c>
      <c r="I840" t="str">
        <f t="shared" si="23"/>
        <v>FTDU-Female Single Rope Double Under</v>
      </c>
    </row>
    <row r="841" spans="1:9" x14ac:dyDescent="0.25">
      <c r="A841">
        <f>'Team Info'!$B$3</f>
        <v>0</v>
      </c>
      <c r="B841">
        <f>'Female 30-second Double Under'!A71</f>
        <v>1</v>
      </c>
      <c r="C841" t="str">
        <f>'Female 30-second Double Under'!B71</f>
        <v>FTDU</v>
      </c>
      <c r="D841">
        <f>'Female 30-second Double Under'!C71</f>
        <v>14</v>
      </c>
      <c r="E841">
        <f>'Female 30-second Double Under'!D71</f>
        <v>0</v>
      </c>
      <c r="I841" t="str">
        <f t="shared" si="23"/>
        <v>FTDU-Female Single Rope Double Under</v>
      </c>
    </row>
    <row r="842" spans="1:9" x14ac:dyDescent="0.25">
      <c r="A842">
        <f>'Team Info'!$B$3</f>
        <v>0</v>
      </c>
      <c r="B842">
        <f>'Female 30-second Double Under'!A72</f>
        <v>2</v>
      </c>
      <c r="C842" t="str">
        <f>'Female 30-second Double Under'!B72</f>
        <v>FTDU</v>
      </c>
      <c r="D842">
        <f>'Female 30-second Double Under'!C72</f>
        <v>14</v>
      </c>
      <c r="E842">
        <f>'Female 30-second Double Under'!D72</f>
        <v>0</v>
      </c>
      <c r="I842" t="str">
        <f t="shared" si="23"/>
        <v>FTDU-Female Single Rope Double Under</v>
      </c>
    </row>
    <row r="843" spans="1:9" x14ac:dyDescent="0.25">
      <c r="A843">
        <f>'Team Info'!$B$3</f>
        <v>0</v>
      </c>
      <c r="B843">
        <f>'Female 30-second Double Under'!A73</f>
        <v>3</v>
      </c>
      <c r="C843" t="str">
        <f>'Female 30-second Double Under'!B73</f>
        <v>FTDU</v>
      </c>
      <c r="D843">
        <f>'Female 30-second Double Under'!C73</f>
        <v>14</v>
      </c>
      <c r="E843">
        <f>'Female 30-second Double Under'!D73</f>
        <v>0</v>
      </c>
      <c r="I843" t="str">
        <f t="shared" si="23"/>
        <v>FTDU-Female Single Rope Double Under</v>
      </c>
    </row>
    <row r="844" spans="1:9" x14ac:dyDescent="0.25">
      <c r="A844">
        <f>'Team Info'!$B$3</f>
        <v>0</v>
      </c>
      <c r="B844">
        <f>'Female 30-second Double Under'!A74</f>
        <v>4</v>
      </c>
      <c r="C844" t="str">
        <f>'Female 30-second Double Under'!B74</f>
        <v>FTDU</v>
      </c>
      <c r="D844">
        <f>'Female 30-second Double Under'!C74</f>
        <v>14</v>
      </c>
      <c r="E844">
        <f>'Female 30-second Double Under'!D74</f>
        <v>0</v>
      </c>
      <c r="I844" t="str">
        <f t="shared" si="23"/>
        <v>FTDU-Female Single Rope Double Under</v>
      </c>
    </row>
    <row r="845" spans="1:9" x14ac:dyDescent="0.25">
      <c r="A845">
        <f>'Team Info'!$B$3</f>
        <v>0</v>
      </c>
      <c r="B845">
        <f>'Female 30-second Double Under'!A75</f>
        <v>5</v>
      </c>
      <c r="C845" t="str">
        <f>'Female 30-second Double Under'!B75</f>
        <v>FTDU</v>
      </c>
      <c r="D845">
        <f>'Female 30-second Double Under'!C75</f>
        <v>14</v>
      </c>
      <c r="E845">
        <f>'Female 30-second Double Under'!D75</f>
        <v>0</v>
      </c>
      <c r="I845" t="str">
        <f t="shared" si="23"/>
        <v>FTDU-Female Single Rope Double Under</v>
      </c>
    </row>
    <row r="846" spans="1:9" x14ac:dyDescent="0.25">
      <c r="A846">
        <f>'Team Info'!$B$3</f>
        <v>0</v>
      </c>
      <c r="B846">
        <f>'Female 30-second Double Under'!A76</f>
        <v>6</v>
      </c>
      <c r="C846" t="str">
        <f>'Female 30-second Double Under'!B76</f>
        <v>FTDU</v>
      </c>
      <c r="D846">
        <f>'Female 30-second Double Under'!C76</f>
        <v>14</v>
      </c>
      <c r="E846">
        <f>'Female 30-second Double Under'!D76</f>
        <v>0</v>
      </c>
      <c r="I846" t="str">
        <f t="shared" si="23"/>
        <v>FTDU-Female Single Rope Double Under</v>
      </c>
    </row>
    <row r="847" spans="1:9" x14ac:dyDescent="0.25">
      <c r="A847">
        <f>'Team Info'!$B$3</f>
        <v>0</v>
      </c>
      <c r="B847">
        <f>'Female 30-second Double Under'!A77</f>
        <v>7</v>
      </c>
      <c r="C847" t="str">
        <f>'Female 30-second Double Under'!B77</f>
        <v>FTDU</v>
      </c>
      <c r="D847">
        <f>'Female 30-second Double Under'!C77</f>
        <v>14</v>
      </c>
      <c r="E847">
        <f>'Female 30-second Double Under'!D77</f>
        <v>0</v>
      </c>
      <c r="I847" t="str">
        <f t="shared" si="23"/>
        <v>FTDU-Female Single Rope Double Under</v>
      </c>
    </row>
    <row r="848" spans="1:9" x14ac:dyDescent="0.25">
      <c r="A848">
        <f>'Team Info'!$B$3</f>
        <v>0</v>
      </c>
      <c r="B848">
        <f>'Female 30-second Double Under'!A78</f>
        <v>8</v>
      </c>
      <c r="C848" t="str">
        <f>'Female 30-second Double Under'!B78</f>
        <v>FTDU</v>
      </c>
      <c r="D848">
        <f>'Female 30-second Double Under'!C78</f>
        <v>14</v>
      </c>
      <c r="E848">
        <f>'Female 30-second Double Under'!D78</f>
        <v>0</v>
      </c>
      <c r="I848" t="str">
        <f t="shared" si="23"/>
        <v>FTDU-Female Single Rope Double Under</v>
      </c>
    </row>
    <row r="849" spans="1:9" x14ac:dyDescent="0.25">
      <c r="A849">
        <f>'Team Info'!$B$3</f>
        <v>0</v>
      </c>
      <c r="B849">
        <f>'Female 30-second Double Under'!A79</f>
        <v>9</v>
      </c>
      <c r="C849" t="str">
        <f>'Female 30-second Double Under'!B79</f>
        <v>FTDU</v>
      </c>
      <c r="D849">
        <f>'Female 30-second Double Under'!C79</f>
        <v>14</v>
      </c>
      <c r="E849">
        <f>'Female 30-second Double Under'!D79</f>
        <v>0</v>
      </c>
      <c r="I849" t="str">
        <f t="shared" si="23"/>
        <v>FTDU-Female Single Rope Double Under</v>
      </c>
    </row>
    <row r="850" spans="1:9" x14ac:dyDescent="0.25">
      <c r="A850">
        <f>'Team Info'!$B$3</f>
        <v>0</v>
      </c>
      <c r="B850">
        <f>'Female 30-second Double Under'!A80</f>
        <v>10</v>
      </c>
      <c r="C850" t="str">
        <f>'Female 30-second Double Under'!B80</f>
        <v>FTDU</v>
      </c>
      <c r="D850">
        <f>'Female 30-second Double Under'!C80</f>
        <v>14</v>
      </c>
      <c r="E850">
        <f>'Female 30-second Double Under'!D80</f>
        <v>0</v>
      </c>
      <c r="I850" t="str">
        <f t="shared" si="23"/>
        <v>FTDU-Female Single Rope Double Under</v>
      </c>
    </row>
    <row r="851" spans="1:9" x14ac:dyDescent="0.25">
      <c r="A851">
        <f>'Team Info'!$B$3</f>
        <v>0</v>
      </c>
      <c r="B851">
        <f>'Female 30-second Double Under'!A81</f>
        <v>11</v>
      </c>
      <c r="C851" t="str">
        <f>'Female 30-second Double Under'!B81</f>
        <v>FTDU</v>
      </c>
      <c r="D851">
        <f>'Female 30-second Double Under'!C81</f>
        <v>14</v>
      </c>
      <c r="E851">
        <f>'Female 30-second Double Under'!D81</f>
        <v>0</v>
      </c>
      <c r="I851" t="str">
        <f t="shared" si="23"/>
        <v>FTDU-Female Single Rope Double Under</v>
      </c>
    </row>
    <row r="852" spans="1:9" x14ac:dyDescent="0.25">
      <c r="A852">
        <f>'Team Info'!$B$3</f>
        <v>0</v>
      </c>
      <c r="B852">
        <f>'Female 30-second Double Under'!A82</f>
        <v>12</v>
      </c>
      <c r="C852" t="str">
        <f>'Female 30-second Double Under'!B82</f>
        <v>FTDU</v>
      </c>
      <c r="D852">
        <f>'Female 30-second Double Under'!C82</f>
        <v>14</v>
      </c>
      <c r="E852">
        <f>'Female 30-second Double Under'!D82</f>
        <v>0</v>
      </c>
      <c r="I852" t="str">
        <f t="shared" si="23"/>
        <v>FTDU-Female Single Rope Double Under</v>
      </c>
    </row>
    <row r="853" spans="1:9" x14ac:dyDescent="0.25">
      <c r="A853">
        <f>'Team Info'!$B$3</f>
        <v>0</v>
      </c>
      <c r="B853">
        <f>'Female 30-second Double Under'!A83</f>
        <v>13</v>
      </c>
      <c r="C853" t="str">
        <f>'Female 30-second Double Under'!B83</f>
        <v>FTDU</v>
      </c>
      <c r="D853">
        <f>'Female 30-second Double Under'!C83</f>
        <v>14</v>
      </c>
      <c r="E853">
        <f>'Female 30-second Double Under'!D83</f>
        <v>0</v>
      </c>
      <c r="I853" t="str">
        <f t="shared" si="23"/>
        <v>FTDU-Female Single Rope Double Under</v>
      </c>
    </row>
    <row r="854" spans="1:9" x14ac:dyDescent="0.25">
      <c r="A854">
        <f>'Team Info'!$B$3</f>
        <v>0</v>
      </c>
      <c r="B854">
        <f>'Female 30-second Double Under'!A84</f>
        <v>14</v>
      </c>
      <c r="C854" t="str">
        <f>'Female 30-second Double Under'!B84</f>
        <v>FTDU</v>
      </c>
      <c r="D854">
        <f>'Female 30-second Double Under'!C84</f>
        <v>14</v>
      </c>
      <c r="E854">
        <f>'Female 30-second Double Under'!D84</f>
        <v>0</v>
      </c>
      <c r="I854" t="str">
        <f t="shared" si="23"/>
        <v>FTDU-Female Single Rope Double Under</v>
      </c>
    </row>
    <row r="855" spans="1:9" x14ac:dyDescent="0.25">
      <c r="A855">
        <f>'Team Info'!$B$3</f>
        <v>0</v>
      </c>
      <c r="B855">
        <f>'Female 30-second Double Under'!A85</f>
        <v>15</v>
      </c>
      <c r="C855" t="str">
        <f>'Female 30-second Double Under'!B85</f>
        <v>FTDU</v>
      </c>
      <c r="D855">
        <f>'Female 30-second Double Under'!C85</f>
        <v>14</v>
      </c>
      <c r="E855">
        <f>'Female 30-second Double Under'!D85</f>
        <v>0</v>
      </c>
      <c r="I855" t="str">
        <f t="shared" si="23"/>
        <v>FTDU-Female Single Rope Double Under</v>
      </c>
    </row>
    <row r="856" spans="1:9" x14ac:dyDescent="0.25">
      <c r="A856">
        <f>'Team Info'!$B$3</f>
        <v>0</v>
      </c>
      <c r="B856">
        <f>'Female 30-second Double Under'!A86</f>
        <v>16</v>
      </c>
      <c r="C856" t="str">
        <f>'Female 30-second Double Under'!B86</f>
        <v>FTDU</v>
      </c>
      <c r="D856">
        <f>'Female 30-second Double Under'!C86</f>
        <v>14</v>
      </c>
      <c r="E856">
        <f>'Female 30-second Double Under'!D86</f>
        <v>0</v>
      </c>
      <c r="I856" t="str">
        <f t="shared" si="23"/>
        <v>FTDU-Female Single Rope Double Under</v>
      </c>
    </row>
    <row r="857" spans="1:9" x14ac:dyDescent="0.25">
      <c r="A857">
        <f>'Team Info'!$B$3</f>
        <v>0</v>
      </c>
      <c r="B857">
        <f>'Female 30-second Double Under'!A87</f>
        <v>17</v>
      </c>
      <c r="C857" t="str">
        <f>'Female 30-second Double Under'!B87</f>
        <v>FTDU</v>
      </c>
      <c r="D857">
        <f>'Female 30-second Double Under'!C87</f>
        <v>14</v>
      </c>
      <c r="E857">
        <f>'Female 30-second Double Under'!D87</f>
        <v>0</v>
      </c>
      <c r="I857" t="str">
        <f t="shared" si="23"/>
        <v>FTDU-Female Single Rope Double Under</v>
      </c>
    </row>
    <row r="858" spans="1:9" x14ac:dyDescent="0.25">
      <c r="A858">
        <f>'Team Info'!$B$3</f>
        <v>0</v>
      </c>
      <c r="B858">
        <f>'Female 30-second Double Under'!A88</f>
        <v>18</v>
      </c>
      <c r="C858" t="str">
        <f>'Female 30-second Double Under'!B88</f>
        <v>FTDU</v>
      </c>
      <c r="D858">
        <f>'Female 30-second Double Under'!C88</f>
        <v>14</v>
      </c>
      <c r="E858">
        <f>'Female 30-second Double Under'!D88</f>
        <v>0</v>
      </c>
      <c r="I858" t="str">
        <f t="shared" si="23"/>
        <v>FTDU-Female Single Rope Double Under</v>
      </c>
    </row>
    <row r="859" spans="1:9" x14ac:dyDescent="0.25">
      <c r="A859">
        <f>'Team Info'!$B$3</f>
        <v>0</v>
      </c>
      <c r="B859">
        <f>'Female 30-second Double Under'!A89</f>
        <v>19</v>
      </c>
      <c r="C859" t="str">
        <f>'Female 30-second Double Under'!B89</f>
        <v>FTDU</v>
      </c>
      <c r="D859">
        <f>'Female 30-second Double Under'!C89</f>
        <v>14</v>
      </c>
      <c r="E859">
        <f>'Female 30-second Double Under'!D89</f>
        <v>0</v>
      </c>
      <c r="I859" t="str">
        <f t="shared" si="23"/>
        <v>FTDU-Female Single Rope Double Under</v>
      </c>
    </row>
    <row r="860" spans="1:9" x14ac:dyDescent="0.25">
      <c r="A860">
        <f>'Team Info'!$B$3</f>
        <v>0</v>
      </c>
      <c r="B860">
        <f>'Female 30-second Double Under'!A90</f>
        <v>20</v>
      </c>
      <c r="C860" t="str">
        <f>'Female 30-second Double Under'!B90</f>
        <v>FTDU</v>
      </c>
      <c r="D860">
        <f>'Female 30-second Double Under'!C90</f>
        <v>14</v>
      </c>
      <c r="E860">
        <f>'Female 30-second Double Under'!D90</f>
        <v>0</v>
      </c>
      <c r="I860" t="str">
        <f t="shared" si="23"/>
        <v>FTDU-Female Single Rope Double Under</v>
      </c>
    </row>
    <row r="861" spans="1:9" x14ac:dyDescent="0.25">
      <c r="A861">
        <f>'Team Info'!$B$3</f>
        <v>0</v>
      </c>
      <c r="B861">
        <f>'Female 30-second Double Under'!H71</f>
        <v>1</v>
      </c>
      <c r="C861" t="str">
        <f>'Female 30-second Double Under'!I71</f>
        <v>FTDU</v>
      </c>
      <c r="D861" t="str">
        <f>'Female 30-second Double Under'!J71</f>
        <v>15-16</v>
      </c>
      <c r="E861">
        <f>'Female 30-second Double Under'!K71</f>
        <v>0</v>
      </c>
      <c r="I861" t="str">
        <f t="shared" si="23"/>
        <v>FTDU-Female Single Rope Double Under</v>
      </c>
    </row>
    <row r="862" spans="1:9" x14ac:dyDescent="0.25">
      <c r="A862">
        <f>'Team Info'!$B$3</f>
        <v>0</v>
      </c>
      <c r="B862">
        <f>'Female 30-second Double Under'!H72</f>
        <v>2</v>
      </c>
      <c r="C862" t="str">
        <f>'Female 30-second Double Under'!I72</f>
        <v>FTDU</v>
      </c>
      <c r="D862" t="str">
        <f>'Female 30-second Double Under'!J72</f>
        <v>15-16</v>
      </c>
      <c r="E862">
        <f>'Female 30-second Double Under'!K72</f>
        <v>0</v>
      </c>
      <c r="I862" t="str">
        <f t="shared" si="23"/>
        <v>FTDU-Female Single Rope Double Under</v>
      </c>
    </row>
    <row r="863" spans="1:9" x14ac:dyDescent="0.25">
      <c r="A863">
        <f>'Team Info'!$B$3</f>
        <v>0</v>
      </c>
      <c r="B863">
        <f>'Female 30-second Double Under'!H73</f>
        <v>3</v>
      </c>
      <c r="C863" t="str">
        <f>'Female 30-second Double Under'!I73</f>
        <v>FTDU</v>
      </c>
      <c r="D863" t="str">
        <f>'Female 30-second Double Under'!J73</f>
        <v>15-16</v>
      </c>
      <c r="E863">
        <f>'Female 30-second Double Under'!K73</f>
        <v>0</v>
      </c>
      <c r="I863" t="str">
        <f t="shared" si="23"/>
        <v>FTDU-Female Single Rope Double Under</v>
      </c>
    </row>
    <row r="864" spans="1:9" x14ac:dyDescent="0.25">
      <c r="A864">
        <f>'Team Info'!$B$3</f>
        <v>0</v>
      </c>
      <c r="B864">
        <f>'Female 30-second Double Under'!H74</f>
        <v>4</v>
      </c>
      <c r="C864" t="str">
        <f>'Female 30-second Double Under'!I74</f>
        <v>FTDU</v>
      </c>
      <c r="D864" t="str">
        <f>'Female 30-second Double Under'!J74</f>
        <v>15-16</v>
      </c>
      <c r="E864">
        <f>'Female 30-second Double Under'!K74</f>
        <v>0</v>
      </c>
      <c r="I864" t="str">
        <f t="shared" si="23"/>
        <v>FTDU-Female Single Rope Double Under</v>
      </c>
    </row>
    <row r="865" spans="1:9" x14ac:dyDescent="0.25">
      <c r="A865">
        <f>'Team Info'!$B$3</f>
        <v>0</v>
      </c>
      <c r="B865">
        <f>'Female 30-second Double Under'!H75</f>
        <v>5</v>
      </c>
      <c r="C865" t="str">
        <f>'Female 30-second Double Under'!I75</f>
        <v>FTDU</v>
      </c>
      <c r="D865" t="str">
        <f>'Female 30-second Double Under'!J75</f>
        <v>15-16</v>
      </c>
      <c r="E865">
        <f>'Female 30-second Double Under'!K75</f>
        <v>0</v>
      </c>
      <c r="I865" t="str">
        <f t="shared" si="23"/>
        <v>FTDU-Female Single Rope Double Under</v>
      </c>
    </row>
    <row r="866" spans="1:9" x14ac:dyDescent="0.25">
      <c r="A866">
        <f>'Team Info'!$B$3</f>
        <v>0</v>
      </c>
      <c r="B866">
        <f>'Female 30-second Double Under'!H76</f>
        <v>6</v>
      </c>
      <c r="C866" t="str">
        <f>'Female 30-second Double Under'!I76</f>
        <v>FTDU</v>
      </c>
      <c r="D866" t="str">
        <f>'Female 30-second Double Under'!J76</f>
        <v>15-16</v>
      </c>
      <c r="E866">
        <f>'Female 30-second Double Under'!K76</f>
        <v>0</v>
      </c>
      <c r="I866" t="str">
        <f t="shared" si="23"/>
        <v>FTDU-Female Single Rope Double Under</v>
      </c>
    </row>
    <row r="867" spans="1:9" x14ac:dyDescent="0.25">
      <c r="A867">
        <f>'Team Info'!$B$3</f>
        <v>0</v>
      </c>
      <c r="B867">
        <f>'Female 30-second Double Under'!H77</f>
        <v>7</v>
      </c>
      <c r="C867" t="str">
        <f>'Female 30-second Double Under'!I77</f>
        <v>FTDU</v>
      </c>
      <c r="D867" t="str">
        <f>'Female 30-second Double Under'!J77</f>
        <v>15-16</v>
      </c>
      <c r="E867">
        <f>'Female 30-second Double Under'!K77</f>
        <v>0</v>
      </c>
      <c r="I867" t="str">
        <f t="shared" si="23"/>
        <v>FTDU-Female Single Rope Double Under</v>
      </c>
    </row>
    <row r="868" spans="1:9" x14ac:dyDescent="0.25">
      <c r="A868">
        <f>'Team Info'!$B$3</f>
        <v>0</v>
      </c>
      <c r="B868">
        <f>'Female 30-second Double Under'!H78</f>
        <v>8</v>
      </c>
      <c r="C868" t="str">
        <f>'Female 30-second Double Under'!I78</f>
        <v>FTDU</v>
      </c>
      <c r="D868" t="str">
        <f>'Female 30-second Double Under'!J78</f>
        <v>15-16</v>
      </c>
      <c r="E868">
        <f>'Female 30-second Double Under'!K78</f>
        <v>0</v>
      </c>
      <c r="I868" t="str">
        <f t="shared" ref="I868:I966" si="24">VLOOKUP(C868,EVENTS,2,FALSE)</f>
        <v>FTDU-Female Single Rope Double Under</v>
      </c>
    </row>
    <row r="869" spans="1:9" x14ac:dyDescent="0.25">
      <c r="A869">
        <f>'Team Info'!$B$3</f>
        <v>0</v>
      </c>
      <c r="B869">
        <f>'Female 30-second Double Under'!H79</f>
        <v>9</v>
      </c>
      <c r="C869" t="str">
        <f>'Female 30-second Double Under'!I79</f>
        <v>FTDU</v>
      </c>
      <c r="D869" t="str">
        <f>'Female 30-second Double Under'!J79</f>
        <v>15-16</v>
      </c>
      <c r="E869">
        <f>'Female 30-second Double Under'!K79</f>
        <v>0</v>
      </c>
      <c r="I869" t="str">
        <f t="shared" si="24"/>
        <v>FTDU-Female Single Rope Double Under</v>
      </c>
    </row>
    <row r="870" spans="1:9" x14ac:dyDescent="0.25">
      <c r="A870">
        <f>'Team Info'!$B$3</f>
        <v>0</v>
      </c>
      <c r="B870">
        <f>'Female 30-second Double Under'!H80</f>
        <v>10</v>
      </c>
      <c r="C870" t="str">
        <f>'Female 30-second Double Under'!I80</f>
        <v>FTDU</v>
      </c>
      <c r="D870" t="str">
        <f>'Female 30-second Double Under'!J80</f>
        <v>15-16</v>
      </c>
      <c r="E870">
        <f>'Female 30-second Double Under'!K80</f>
        <v>0</v>
      </c>
      <c r="I870" t="str">
        <f t="shared" si="24"/>
        <v>FTDU-Female Single Rope Double Under</v>
      </c>
    </row>
    <row r="871" spans="1:9" x14ac:dyDescent="0.25">
      <c r="A871">
        <f>'Team Info'!$B$3</f>
        <v>0</v>
      </c>
      <c r="B871">
        <f>'Female 30-second Double Under'!H81</f>
        <v>11</v>
      </c>
      <c r="C871" t="str">
        <f>'Female 30-second Double Under'!I81</f>
        <v>FTDU</v>
      </c>
      <c r="D871" t="str">
        <f>'Female 30-second Double Under'!J81</f>
        <v>15-16</v>
      </c>
      <c r="E871">
        <f>'Female 30-second Double Under'!K81</f>
        <v>0</v>
      </c>
      <c r="I871" t="str">
        <f t="shared" si="24"/>
        <v>FTDU-Female Single Rope Double Under</v>
      </c>
    </row>
    <row r="872" spans="1:9" x14ac:dyDescent="0.25">
      <c r="A872">
        <f>'Team Info'!$B$3</f>
        <v>0</v>
      </c>
      <c r="B872">
        <f>'Female 30-second Double Under'!H82</f>
        <v>12</v>
      </c>
      <c r="C872" t="str">
        <f>'Female 30-second Double Under'!I82</f>
        <v>FTDU</v>
      </c>
      <c r="D872" t="str">
        <f>'Female 30-second Double Under'!J82</f>
        <v>15-16</v>
      </c>
      <c r="E872">
        <f>'Female 30-second Double Under'!K82</f>
        <v>0</v>
      </c>
      <c r="I872" t="str">
        <f t="shared" si="24"/>
        <v>FTDU-Female Single Rope Double Under</v>
      </c>
    </row>
    <row r="873" spans="1:9" x14ac:dyDescent="0.25">
      <c r="A873">
        <f>'Team Info'!$B$3</f>
        <v>0</v>
      </c>
      <c r="B873">
        <f>'Female 30-second Double Under'!H83</f>
        <v>13</v>
      </c>
      <c r="C873" t="str">
        <f>'Female 30-second Double Under'!I83</f>
        <v>FTDU</v>
      </c>
      <c r="D873" t="str">
        <f>'Female 30-second Double Under'!J83</f>
        <v>15-16</v>
      </c>
      <c r="E873">
        <f>'Female 30-second Double Under'!K83</f>
        <v>0</v>
      </c>
      <c r="I873" t="str">
        <f t="shared" si="24"/>
        <v>FTDU-Female Single Rope Double Under</v>
      </c>
    </row>
    <row r="874" spans="1:9" x14ac:dyDescent="0.25">
      <c r="A874">
        <f>'Team Info'!$B$3</f>
        <v>0</v>
      </c>
      <c r="B874">
        <f>'Female 30-second Double Under'!H84</f>
        <v>14</v>
      </c>
      <c r="C874" t="str">
        <f>'Female 30-second Double Under'!I84</f>
        <v>FTDU</v>
      </c>
      <c r="D874" t="str">
        <f>'Female 30-second Double Under'!J84</f>
        <v>15-16</v>
      </c>
      <c r="E874">
        <f>'Female 30-second Double Under'!K84</f>
        <v>0</v>
      </c>
      <c r="I874" t="str">
        <f t="shared" si="24"/>
        <v>FTDU-Female Single Rope Double Under</v>
      </c>
    </row>
    <row r="875" spans="1:9" x14ac:dyDescent="0.25">
      <c r="A875">
        <f>'Team Info'!$B$3</f>
        <v>0</v>
      </c>
      <c r="B875">
        <f>'Female 30-second Double Under'!H85</f>
        <v>15</v>
      </c>
      <c r="C875" t="str">
        <f>'Female 30-second Double Under'!I85</f>
        <v>FTDU</v>
      </c>
      <c r="D875" t="str">
        <f>'Female 30-second Double Under'!J85</f>
        <v>15-16</v>
      </c>
      <c r="E875">
        <f>'Female 30-second Double Under'!K85</f>
        <v>0</v>
      </c>
      <c r="I875" t="str">
        <f t="shared" si="24"/>
        <v>FTDU-Female Single Rope Double Under</v>
      </c>
    </row>
    <row r="876" spans="1:9" x14ac:dyDescent="0.25">
      <c r="A876">
        <f>'Team Info'!$B$3</f>
        <v>0</v>
      </c>
      <c r="B876">
        <f>'Female 30-second Double Under'!H86</f>
        <v>16</v>
      </c>
      <c r="C876" t="str">
        <f>'Female 30-second Double Under'!I86</f>
        <v>FTDU</v>
      </c>
      <c r="D876" t="str">
        <f>'Female 30-second Double Under'!J86</f>
        <v>15-16</v>
      </c>
      <c r="E876">
        <f>'Female 30-second Double Under'!K86</f>
        <v>0</v>
      </c>
      <c r="I876" t="str">
        <f t="shared" si="24"/>
        <v>FTDU-Female Single Rope Double Under</v>
      </c>
    </row>
    <row r="877" spans="1:9" x14ac:dyDescent="0.25">
      <c r="A877">
        <f>'Team Info'!$B$3</f>
        <v>0</v>
      </c>
      <c r="B877">
        <f>'Female 30-second Double Under'!H87</f>
        <v>17</v>
      </c>
      <c r="C877" t="str">
        <f>'Female 30-second Double Under'!I87</f>
        <v>FTDU</v>
      </c>
      <c r="D877" t="str">
        <f>'Female 30-second Double Under'!J87</f>
        <v>15-16</v>
      </c>
      <c r="E877">
        <f>'Female 30-second Double Under'!K87</f>
        <v>0</v>
      </c>
      <c r="I877" t="str">
        <f t="shared" si="24"/>
        <v>FTDU-Female Single Rope Double Under</v>
      </c>
    </row>
    <row r="878" spans="1:9" x14ac:dyDescent="0.25">
      <c r="A878">
        <f>'Team Info'!$B$3</f>
        <v>0</v>
      </c>
      <c r="B878">
        <f>'Female 30-second Double Under'!H88</f>
        <v>18</v>
      </c>
      <c r="C878" t="str">
        <f>'Female 30-second Double Under'!I88</f>
        <v>FTDU</v>
      </c>
      <c r="D878" t="str">
        <f>'Female 30-second Double Under'!J88</f>
        <v>15-16</v>
      </c>
      <c r="E878">
        <f>'Female 30-second Double Under'!K88</f>
        <v>0</v>
      </c>
      <c r="I878" t="str">
        <f t="shared" si="24"/>
        <v>FTDU-Female Single Rope Double Under</v>
      </c>
    </row>
    <row r="879" spans="1:9" x14ac:dyDescent="0.25">
      <c r="A879">
        <f>'Team Info'!$B$3</f>
        <v>0</v>
      </c>
      <c r="B879">
        <f>'Female 30-second Double Under'!H89</f>
        <v>19</v>
      </c>
      <c r="C879" t="str">
        <f>'Female 30-second Double Under'!I89</f>
        <v>FTDU</v>
      </c>
      <c r="D879" t="str">
        <f>'Female 30-second Double Under'!J89</f>
        <v>15-16</v>
      </c>
      <c r="E879">
        <f>'Female 30-second Double Under'!K89</f>
        <v>0</v>
      </c>
      <c r="I879" t="str">
        <f t="shared" si="24"/>
        <v>FTDU-Female Single Rope Double Under</v>
      </c>
    </row>
    <row r="880" spans="1:9" x14ac:dyDescent="0.25">
      <c r="A880">
        <f>'Team Info'!$B$3</f>
        <v>0</v>
      </c>
      <c r="B880">
        <f>'Female 30-second Double Under'!H90</f>
        <v>20</v>
      </c>
      <c r="C880" t="str">
        <f>'Female 30-second Double Under'!I90</f>
        <v>FTDU</v>
      </c>
      <c r="D880" t="str">
        <f>'Female 30-second Double Under'!J90</f>
        <v>15-16</v>
      </c>
      <c r="E880">
        <f>'Female 30-second Double Under'!K90</f>
        <v>0</v>
      </c>
      <c r="I880" t="str">
        <f t="shared" si="24"/>
        <v>FTDU-Female Single Rope Double Under</v>
      </c>
    </row>
    <row r="881" spans="1:9" x14ac:dyDescent="0.25">
      <c r="A881">
        <f>'Team Info'!$B$3</f>
        <v>0</v>
      </c>
      <c r="B881">
        <f>'Female 30-second Double Under'!A93</f>
        <v>1</v>
      </c>
      <c r="C881" t="str">
        <f>'Female 30-second Double Under'!B93</f>
        <v>FTDU</v>
      </c>
      <c r="D881" t="str">
        <f>'Female 30-second Double Under'!C93</f>
        <v>17-18</v>
      </c>
      <c r="E881">
        <f>'Female 30-second Double Under'!D93</f>
        <v>0</v>
      </c>
      <c r="I881" t="str">
        <f t="shared" ref="I881:I905" si="25">VLOOKUP(C881,EVENTS,2,FALSE)</f>
        <v>FTDU-Female Single Rope Double Under</v>
      </c>
    </row>
    <row r="882" spans="1:9" x14ac:dyDescent="0.25">
      <c r="A882">
        <f>'Team Info'!$B$3</f>
        <v>0</v>
      </c>
      <c r="B882">
        <f>'Female 30-second Double Under'!A94</f>
        <v>2</v>
      </c>
      <c r="C882" t="str">
        <f>'Female 30-second Double Under'!B94</f>
        <v>FTDU</v>
      </c>
      <c r="D882" t="str">
        <f>'Female 30-second Double Under'!C94</f>
        <v>17-18</v>
      </c>
      <c r="E882">
        <f>'Female 30-second Double Under'!D94</f>
        <v>0</v>
      </c>
      <c r="I882" t="str">
        <f t="shared" si="25"/>
        <v>FTDU-Female Single Rope Double Under</v>
      </c>
    </row>
    <row r="883" spans="1:9" x14ac:dyDescent="0.25">
      <c r="A883">
        <f>'Team Info'!$B$3</f>
        <v>0</v>
      </c>
      <c r="B883">
        <f>'Female 30-second Double Under'!A95</f>
        <v>3</v>
      </c>
      <c r="C883" t="str">
        <f>'Female 30-second Double Under'!B95</f>
        <v>FTDU</v>
      </c>
      <c r="D883" t="str">
        <f>'Female 30-second Double Under'!C95</f>
        <v>17-18</v>
      </c>
      <c r="E883">
        <f>'Female 30-second Double Under'!D95</f>
        <v>0</v>
      </c>
      <c r="I883" t="str">
        <f t="shared" si="25"/>
        <v>FTDU-Female Single Rope Double Under</v>
      </c>
    </row>
    <row r="884" spans="1:9" x14ac:dyDescent="0.25">
      <c r="A884">
        <f>'Team Info'!$B$3</f>
        <v>0</v>
      </c>
      <c r="B884">
        <f>'Female 30-second Double Under'!A96</f>
        <v>4</v>
      </c>
      <c r="C884" t="str">
        <f>'Female 30-second Double Under'!B96</f>
        <v>FTDU</v>
      </c>
      <c r="D884" t="str">
        <f>'Female 30-second Double Under'!C96</f>
        <v>17-18</v>
      </c>
      <c r="E884">
        <f>'Female 30-second Double Under'!D96</f>
        <v>0</v>
      </c>
      <c r="I884" t="str">
        <f t="shared" si="25"/>
        <v>FTDU-Female Single Rope Double Under</v>
      </c>
    </row>
    <row r="885" spans="1:9" x14ac:dyDescent="0.25">
      <c r="A885">
        <f>'Team Info'!$B$3</f>
        <v>0</v>
      </c>
      <c r="B885">
        <f>'Female 30-second Double Under'!A97</f>
        <v>5</v>
      </c>
      <c r="C885" t="str">
        <f>'Female 30-second Double Under'!B97</f>
        <v>FTDU</v>
      </c>
      <c r="D885" t="str">
        <f>'Female 30-second Double Under'!C97</f>
        <v>17-18</v>
      </c>
      <c r="E885">
        <f>'Female 30-second Double Under'!D97</f>
        <v>0</v>
      </c>
      <c r="I885" t="str">
        <f t="shared" si="25"/>
        <v>FTDU-Female Single Rope Double Under</v>
      </c>
    </row>
    <row r="886" spans="1:9" x14ac:dyDescent="0.25">
      <c r="A886">
        <f>'Team Info'!$B$3</f>
        <v>0</v>
      </c>
      <c r="B886">
        <f>'Female 30-second Double Under'!A98</f>
        <v>6</v>
      </c>
      <c r="C886" t="str">
        <f>'Female 30-second Double Under'!B98</f>
        <v>FTDU</v>
      </c>
      <c r="D886" t="str">
        <f>'Female 30-second Double Under'!C98</f>
        <v>17-18</v>
      </c>
      <c r="E886">
        <f>'Female 30-second Double Under'!D98</f>
        <v>0</v>
      </c>
      <c r="I886" t="str">
        <f t="shared" si="25"/>
        <v>FTDU-Female Single Rope Double Under</v>
      </c>
    </row>
    <row r="887" spans="1:9" x14ac:dyDescent="0.25">
      <c r="A887">
        <f>'Team Info'!$B$3</f>
        <v>0</v>
      </c>
      <c r="B887">
        <f>'Female 30-second Double Under'!A99</f>
        <v>7</v>
      </c>
      <c r="C887" t="str">
        <f>'Female 30-second Double Under'!B99</f>
        <v>FTDU</v>
      </c>
      <c r="D887" t="str">
        <f>'Female 30-second Double Under'!C99</f>
        <v>17-18</v>
      </c>
      <c r="E887">
        <f>'Female 30-second Double Under'!D99</f>
        <v>0</v>
      </c>
      <c r="I887" t="str">
        <f t="shared" si="25"/>
        <v>FTDU-Female Single Rope Double Under</v>
      </c>
    </row>
    <row r="888" spans="1:9" x14ac:dyDescent="0.25">
      <c r="A888">
        <f>'Team Info'!$B$3</f>
        <v>0</v>
      </c>
      <c r="B888">
        <f>'Female 30-second Double Under'!A100</f>
        <v>8</v>
      </c>
      <c r="C888" t="str">
        <f>'Female 30-second Double Under'!B100</f>
        <v>FTDU</v>
      </c>
      <c r="D888" t="str">
        <f>'Female 30-second Double Under'!C100</f>
        <v>17-18</v>
      </c>
      <c r="E888">
        <f>'Female 30-second Double Under'!D100</f>
        <v>0</v>
      </c>
      <c r="I888" t="str">
        <f t="shared" si="25"/>
        <v>FTDU-Female Single Rope Double Under</v>
      </c>
    </row>
    <row r="889" spans="1:9" x14ac:dyDescent="0.25">
      <c r="A889">
        <f>'Team Info'!$B$3</f>
        <v>0</v>
      </c>
      <c r="B889">
        <f>'Female 30-second Double Under'!A101</f>
        <v>9</v>
      </c>
      <c r="C889" t="str">
        <f>'Female 30-second Double Under'!B101</f>
        <v>FTDU</v>
      </c>
      <c r="D889" t="str">
        <f>'Female 30-second Double Under'!C101</f>
        <v>17-18</v>
      </c>
      <c r="E889">
        <f>'Female 30-second Double Under'!D101</f>
        <v>0</v>
      </c>
      <c r="I889" t="str">
        <f t="shared" si="25"/>
        <v>FTDU-Female Single Rope Double Under</v>
      </c>
    </row>
    <row r="890" spans="1:9" x14ac:dyDescent="0.25">
      <c r="A890">
        <f>'Team Info'!$B$3</f>
        <v>0</v>
      </c>
      <c r="B890">
        <f>'Female 30-second Double Under'!A102</f>
        <v>10</v>
      </c>
      <c r="C890" t="str">
        <f>'Female 30-second Double Under'!B102</f>
        <v>FTDU</v>
      </c>
      <c r="D890" t="str">
        <f>'Female 30-second Double Under'!C102</f>
        <v>17-18</v>
      </c>
      <c r="E890">
        <f>'Female 30-second Double Under'!D102</f>
        <v>0</v>
      </c>
      <c r="I890" t="str">
        <f t="shared" si="25"/>
        <v>FTDU-Female Single Rope Double Under</v>
      </c>
    </row>
    <row r="891" spans="1:9" x14ac:dyDescent="0.25">
      <c r="A891">
        <f>'Team Info'!$B$3</f>
        <v>0</v>
      </c>
      <c r="B891">
        <f>'Female 30-second Double Under'!A103</f>
        <v>11</v>
      </c>
      <c r="C891" t="str">
        <f>'Female 30-second Double Under'!B103</f>
        <v>FTDU</v>
      </c>
      <c r="D891" t="str">
        <f>'Female 30-second Double Under'!C103</f>
        <v>17-18</v>
      </c>
      <c r="E891">
        <f>'Female 30-second Double Under'!D103</f>
        <v>0</v>
      </c>
      <c r="I891" t="str">
        <f t="shared" si="25"/>
        <v>FTDU-Female Single Rope Double Under</v>
      </c>
    </row>
    <row r="892" spans="1:9" x14ac:dyDescent="0.25">
      <c r="A892">
        <f>'Team Info'!$B$3</f>
        <v>0</v>
      </c>
      <c r="B892">
        <f>'Female 30-second Double Under'!A104</f>
        <v>12</v>
      </c>
      <c r="C892" t="str">
        <f>'Female 30-second Double Under'!B104</f>
        <v>FTDU</v>
      </c>
      <c r="D892" t="str">
        <f>'Female 30-second Double Under'!C104</f>
        <v>17-18</v>
      </c>
      <c r="E892">
        <f>'Female 30-second Double Under'!D104</f>
        <v>0</v>
      </c>
      <c r="I892" t="str">
        <f t="shared" si="25"/>
        <v>FTDU-Female Single Rope Double Under</v>
      </c>
    </row>
    <row r="893" spans="1:9" x14ac:dyDescent="0.25">
      <c r="A893">
        <f>'Team Info'!$B$3</f>
        <v>0</v>
      </c>
      <c r="B893">
        <f>'Female 30-second Double Under'!A105</f>
        <v>13</v>
      </c>
      <c r="C893" t="str">
        <f>'Female 30-second Double Under'!B105</f>
        <v>FTDU</v>
      </c>
      <c r="D893" t="str">
        <f>'Female 30-second Double Under'!C105</f>
        <v>17-18</v>
      </c>
      <c r="E893">
        <f>'Female 30-second Double Under'!D105</f>
        <v>0</v>
      </c>
      <c r="I893" t="str">
        <f t="shared" si="25"/>
        <v>FTDU-Female Single Rope Double Under</v>
      </c>
    </row>
    <row r="894" spans="1:9" x14ac:dyDescent="0.25">
      <c r="A894">
        <f>'Team Info'!$B$3</f>
        <v>0</v>
      </c>
      <c r="B894">
        <f>'Female 30-second Double Under'!A106</f>
        <v>14</v>
      </c>
      <c r="C894" t="str">
        <f>'Female 30-second Double Under'!B106</f>
        <v>FTDU</v>
      </c>
      <c r="D894" t="str">
        <f>'Female 30-second Double Under'!C106</f>
        <v>17-18</v>
      </c>
      <c r="E894">
        <f>'Female 30-second Double Under'!D106</f>
        <v>0</v>
      </c>
      <c r="I894" t="str">
        <f t="shared" si="25"/>
        <v>FTDU-Female Single Rope Double Under</v>
      </c>
    </row>
    <row r="895" spans="1:9" x14ac:dyDescent="0.25">
      <c r="A895">
        <f>'Team Info'!$B$3</f>
        <v>0</v>
      </c>
      <c r="B895">
        <f>'Female 30-second Double Under'!A107</f>
        <v>15</v>
      </c>
      <c r="C895" t="str">
        <f>'Female 30-second Double Under'!B107</f>
        <v>FTDU</v>
      </c>
      <c r="D895" t="str">
        <f>'Female 30-second Double Under'!C107</f>
        <v>17-18</v>
      </c>
      <c r="E895">
        <f>'Female 30-second Double Under'!D107</f>
        <v>0</v>
      </c>
      <c r="I895" t="str">
        <f t="shared" si="25"/>
        <v>FTDU-Female Single Rope Double Under</v>
      </c>
    </row>
    <row r="896" spans="1:9" x14ac:dyDescent="0.25">
      <c r="A896">
        <f>'Team Info'!$B$3</f>
        <v>0</v>
      </c>
      <c r="B896">
        <f>'Female 30-second Double Under'!A108</f>
        <v>16</v>
      </c>
      <c r="C896" t="str">
        <f>'Female 30-second Double Under'!B108</f>
        <v>FTDU</v>
      </c>
      <c r="D896" t="str">
        <f>'Female 30-second Double Under'!C108</f>
        <v>17-18</v>
      </c>
      <c r="E896">
        <f>'Female 30-second Double Under'!D108</f>
        <v>0</v>
      </c>
      <c r="I896" t="str">
        <f t="shared" si="25"/>
        <v>FTDU-Female Single Rope Double Under</v>
      </c>
    </row>
    <row r="897" spans="1:9" x14ac:dyDescent="0.25">
      <c r="A897">
        <f>'Team Info'!$B$3</f>
        <v>0</v>
      </c>
      <c r="B897">
        <f>'Female 30-second Double Under'!A109</f>
        <v>17</v>
      </c>
      <c r="C897" t="str">
        <f>'Female 30-second Double Under'!B109</f>
        <v>FTDU</v>
      </c>
      <c r="D897" t="str">
        <f>'Female 30-second Double Under'!C109</f>
        <v>17-18</v>
      </c>
      <c r="E897">
        <f>'Female 30-second Double Under'!D109</f>
        <v>0</v>
      </c>
      <c r="I897" t="str">
        <f t="shared" si="25"/>
        <v>FTDU-Female Single Rope Double Under</v>
      </c>
    </row>
    <row r="898" spans="1:9" x14ac:dyDescent="0.25">
      <c r="A898">
        <f>'Team Info'!$B$3</f>
        <v>0</v>
      </c>
      <c r="B898">
        <f>'Female 30-second Double Under'!A110</f>
        <v>18</v>
      </c>
      <c r="C898" t="str">
        <f>'Female 30-second Double Under'!B110</f>
        <v>FTDU</v>
      </c>
      <c r="D898" t="str">
        <f>'Female 30-second Double Under'!C110</f>
        <v>17-18</v>
      </c>
      <c r="E898">
        <f>'Female 30-second Double Under'!D110</f>
        <v>0</v>
      </c>
      <c r="I898" t="str">
        <f t="shared" si="25"/>
        <v>FTDU-Female Single Rope Double Under</v>
      </c>
    </row>
    <row r="899" spans="1:9" x14ac:dyDescent="0.25">
      <c r="A899">
        <f>'Team Info'!$B$3</f>
        <v>0</v>
      </c>
      <c r="B899">
        <f>'Female 30-second Double Under'!A111</f>
        <v>19</v>
      </c>
      <c r="C899" t="str">
        <f>'Female 30-second Double Under'!B111</f>
        <v>FTDU</v>
      </c>
      <c r="D899" t="str">
        <f>'Female 30-second Double Under'!C111</f>
        <v>17-18</v>
      </c>
      <c r="E899">
        <f>'Female 30-second Double Under'!D111</f>
        <v>0</v>
      </c>
      <c r="I899" t="str">
        <f t="shared" si="25"/>
        <v>FTDU-Female Single Rope Double Under</v>
      </c>
    </row>
    <row r="900" spans="1:9" x14ac:dyDescent="0.25">
      <c r="A900">
        <f>'Team Info'!$B$3</f>
        <v>0</v>
      </c>
      <c r="B900">
        <f>'Female 30-second Double Under'!A112</f>
        <v>20</v>
      </c>
      <c r="C900" t="str">
        <f>'Female 30-second Double Under'!B112</f>
        <v>FTDU</v>
      </c>
      <c r="D900" t="str">
        <f>'Female 30-second Double Under'!C112</f>
        <v>17-18</v>
      </c>
      <c r="E900">
        <f>'Female 30-second Double Under'!D112</f>
        <v>0</v>
      </c>
      <c r="I900" t="str">
        <f t="shared" si="25"/>
        <v>FTDU-Female Single Rope Double Under</v>
      </c>
    </row>
    <row r="901" spans="1:9" x14ac:dyDescent="0.25">
      <c r="A901">
        <f>'Team Info'!$B$3</f>
        <v>0</v>
      </c>
      <c r="B901">
        <f>'Female 30-second Double Under'!H93</f>
        <v>1</v>
      </c>
      <c r="C901" t="str">
        <f>'Female 30-second Double Under'!I93</f>
        <v>FTDU</v>
      </c>
      <c r="D901" t="str">
        <f>'Female 30-second Double Under'!J93</f>
        <v>19-22</v>
      </c>
      <c r="E901">
        <f>'Female 30-second Double Under'!K93</f>
        <v>0</v>
      </c>
      <c r="I901" t="str">
        <f t="shared" si="25"/>
        <v>FTDU-Female Single Rope Double Under</v>
      </c>
    </row>
    <row r="902" spans="1:9" x14ac:dyDescent="0.25">
      <c r="A902">
        <f>'Team Info'!$B$3</f>
        <v>0</v>
      </c>
      <c r="B902">
        <f>'Female 30-second Double Under'!H94</f>
        <v>2</v>
      </c>
      <c r="C902" t="str">
        <f>'Female 30-second Double Under'!I94</f>
        <v>FTDU</v>
      </c>
      <c r="D902" t="str">
        <f>'Female 30-second Double Under'!J94</f>
        <v>19-22</v>
      </c>
      <c r="E902">
        <f>'Female 30-second Double Under'!K94</f>
        <v>0</v>
      </c>
      <c r="I902" t="str">
        <f t="shared" si="25"/>
        <v>FTDU-Female Single Rope Double Under</v>
      </c>
    </row>
    <row r="903" spans="1:9" x14ac:dyDescent="0.25">
      <c r="A903">
        <f>'Team Info'!$B$3</f>
        <v>0</v>
      </c>
      <c r="B903">
        <f>'Female 30-second Double Under'!H95</f>
        <v>3</v>
      </c>
      <c r="C903" t="str">
        <f>'Female 30-second Double Under'!I95</f>
        <v>FTDU</v>
      </c>
      <c r="D903" t="str">
        <f>'Female 30-second Double Under'!J95</f>
        <v>19-22</v>
      </c>
      <c r="E903">
        <f>'Female 30-second Double Under'!K95</f>
        <v>0</v>
      </c>
      <c r="I903" t="str">
        <f t="shared" si="25"/>
        <v>FTDU-Female Single Rope Double Under</v>
      </c>
    </row>
    <row r="904" spans="1:9" x14ac:dyDescent="0.25">
      <c r="A904">
        <f>'Team Info'!$B$3</f>
        <v>0</v>
      </c>
      <c r="B904">
        <f>'Female 30-second Double Under'!H96</f>
        <v>4</v>
      </c>
      <c r="C904" t="str">
        <f>'Female 30-second Double Under'!I96</f>
        <v>FTDU</v>
      </c>
      <c r="D904" t="str">
        <f>'Female 30-second Double Under'!J96</f>
        <v>19-22</v>
      </c>
      <c r="E904">
        <f>'Female 30-second Double Under'!K96</f>
        <v>0</v>
      </c>
      <c r="I904" t="str">
        <f t="shared" si="25"/>
        <v>FTDU-Female Single Rope Double Under</v>
      </c>
    </row>
    <row r="905" spans="1:9" x14ac:dyDescent="0.25">
      <c r="A905">
        <f>'Team Info'!$B$3</f>
        <v>0</v>
      </c>
      <c r="B905">
        <f>'Female 30-second Double Under'!H97</f>
        <v>5</v>
      </c>
      <c r="C905" t="str">
        <f>'Female 30-second Double Under'!I97</f>
        <v>FTDU</v>
      </c>
      <c r="D905" t="str">
        <f>'Female 30-second Double Under'!J97</f>
        <v>19-22</v>
      </c>
      <c r="E905">
        <f>'Female 30-second Double Under'!K97</f>
        <v>0</v>
      </c>
      <c r="I905" t="str">
        <f t="shared" si="25"/>
        <v>FTDU-Female Single Rope Double Under</v>
      </c>
    </row>
    <row r="906" spans="1:9" x14ac:dyDescent="0.25">
      <c r="A906">
        <f>'Team Info'!$B$3</f>
        <v>0</v>
      </c>
      <c r="B906">
        <f>'Female 30-second Double Under'!H98</f>
        <v>6</v>
      </c>
      <c r="C906" t="str">
        <f>'Female 30-second Double Under'!I98</f>
        <v>FTDU</v>
      </c>
      <c r="D906" t="str">
        <f>'Female 30-second Double Under'!J98</f>
        <v>19-22</v>
      </c>
      <c r="E906">
        <f>'Female 30-second Double Under'!K98</f>
        <v>0</v>
      </c>
      <c r="I906" t="str">
        <f t="shared" ref="I906:I918" si="26">VLOOKUP(C906,EVENTS,2,FALSE)</f>
        <v>FTDU-Female Single Rope Double Under</v>
      </c>
    </row>
    <row r="907" spans="1:9" x14ac:dyDescent="0.25">
      <c r="A907">
        <f>'Team Info'!$B$3</f>
        <v>0</v>
      </c>
      <c r="B907">
        <f>'Female 30-second Double Under'!H99</f>
        <v>7</v>
      </c>
      <c r="C907" t="str">
        <f>'Female 30-second Double Under'!I99</f>
        <v>FTDU</v>
      </c>
      <c r="D907" t="str">
        <f>'Female 30-second Double Under'!J99</f>
        <v>19-22</v>
      </c>
      <c r="E907">
        <f>'Female 30-second Double Under'!K99</f>
        <v>0</v>
      </c>
      <c r="I907" t="str">
        <f t="shared" si="26"/>
        <v>FTDU-Female Single Rope Double Under</v>
      </c>
    </row>
    <row r="908" spans="1:9" x14ac:dyDescent="0.25">
      <c r="A908">
        <f>'Team Info'!$B$3</f>
        <v>0</v>
      </c>
      <c r="B908">
        <f>'Female 30-second Double Under'!H100</f>
        <v>8</v>
      </c>
      <c r="C908" t="str">
        <f>'Female 30-second Double Under'!I100</f>
        <v>FTDU</v>
      </c>
      <c r="D908" t="str">
        <f>'Female 30-second Double Under'!J100</f>
        <v>19-22</v>
      </c>
      <c r="E908">
        <f>'Female 30-second Double Under'!K100</f>
        <v>0</v>
      </c>
      <c r="I908" t="str">
        <f t="shared" si="26"/>
        <v>FTDU-Female Single Rope Double Under</v>
      </c>
    </row>
    <row r="909" spans="1:9" x14ac:dyDescent="0.25">
      <c r="A909">
        <f>'Team Info'!$B$3</f>
        <v>0</v>
      </c>
      <c r="B909">
        <f>'Female 30-second Double Under'!H101</f>
        <v>9</v>
      </c>
      <c r="C909" t="str">
        <f>'Female 30-second Double Under'!I101</f>
        <v>FTDU</v>
      </c>
      <c r="D909" t="str">
        <f>'Female 30-second Double Under'!J101</f>
        <v>19-22</v>
      </c>
      <c r="E909">
        <f>'Female 30-second Double Under'!K101</f>
        <v>0</v>
      </c>
      <c r="I909" t="str">
        <f t="shared" si="26"/>
        <v>FTDU-Female Single Rope Double Under</v>
      </c>
    </row>
    <row r="910" spans="1:9" x14ac:dyDescent="0.25">
      <c r="A910">
        <f>'Team Info'!$B$3</f>
        <v>0</v>
      </c>
      <c r="B910">
        <f>'Female 30-second Double Under'!H102</f>
        <v>10</v>
      </c>
      <c r="C910" t="str">
        <f>'Female 30-second Double Under'!I102</f>
        <v>FTDU</v>
      </c>
      <c r="D910" t="str">
        <f>'Female 30-second Double Under'!J102</f>
        <v>19-22</v>
      </c>
      <c r="E910">
        <f>'Female 30-second Double Under'!K102</f>
        <v>0</v>
      </c>
      <c r="I910" t="str">
        <f t="shared" si="26"/>
        <v>FTDU-Female Single Rope Double Under</v>
      </c>
    </row>
    <row r="911" spans="1:9" x14ac:dyDescent="0.25">
      <c r="A911">
        <f>'Team Info'!$B$3</f>
        <v>0</v>
      </c>
      <c r="B911">
        <f>'Female 30-second Double Under'!H103</f>
        <v>11</v>
      </c>
      <c r="C911" t="str">
        <f>'Female 30-second Double Under'!I103</f>
        <v>FTDU</v>
      </c>
      <c r="D911" t="str">
        <f>'Female 30-second Double Under'!J103</f>
        <v>19-22</v>
      </c>
      <c r="E911">
        <f>'Female 30-second Double Under'!K103</f>
        <v>0</v>
      </c>
      <c r="I911" t="str">
        <f t="shared" si="26"/>
        <v>FTDU-Female Single Rope Double Under</v>
      </c>
    </row>
    <row r="912" spans="1:9" x14ac:dyDescent="0.25">
      <c r="A912">
        <f>'Team Info'!$B$3</f>
        <v>0</v>
      </c>
      <c r="B912">
        <f>'Female 30-second Double Under'!H104</f>
        <v>12</v>
      </c>
      <c r="C912" t="str">
        <f>'Female 30-second Double Under'!I104</f>
        <v>FTDU</v>
      </c>
      <c r="D912" t="str">
        <f>'Female 30-second Double Under'!J104</f>
        <v>19-22</v>
      </c>
      <c r="E912">
        <f>'Female 30-second Double Under'!K104</f>
        <v>0</v>
      </c>
      <c r="I912" t="str">
        <f t="shared" si="26"/>
        <v>FTDU-Female Single Rope Double Under</v>
      </c>
    </row>
    <row r="913" spans="1:9" x14ac:dyDescent="0.25">
      <c r="A913">
        <f>'Team Info'!$B$3</f>
        <v>0</v>
      </c>
      <c r="B913">
        <f>'Female 30-second Double Under'!H105</f>
        <v>13</v>
      </c>
      <c r="C913" t="str">
        <f>'Female 30-second Double Under'!I105</f>
        <v>FTDU</v>
      </c>
      <c r="D913" t="str">
        <f>'Female 30-second Double Under'!J105</f>
        <v>19-22</v>
      </c>
      <c r="E913">
        <f>'Female 30-second Double Under'!K105</f>
        <v>0</v>
      </c>
      <c r="I913" t="str">
        <f t="shared" si="26"/>
        <v>FTDU-Female Single Rope Double Under</v>
      </c>
    </row>
    <row r="914" spans="1:9" x14ac:dyDescent="0.25">
      <c r="A914">
        <f>'Team Info'!$B$3</f>
        <v>0</v>
      </c>
      <c r="B914">
        <f>'Female 30-second Double Under'!H106</f>
        <v>14</v>
      </c>
      <c r="C914" t="str">
        <f>'Female 30-second Double Under'!I106</f>
        <v>FTDU</v>
      </c>
      <c r="D914" t="str">
        <f>'Female 30-second Double Under'!J106</f>
        <v>19-22</v>
      </c>
      <c r="E914">
        <f>'Female 30-second Double Under'!K106</f>
        <v>0</v>
      </c>
      <c r="I914" t="str">
        <f t="shared" si="26"/>
        <v>FTDU-Female Single Rope Double Under</v>
      </c>
    </row>
    <row r="915" spans="1:9" x14ac:dyDescent="0.25">
      <c r="A915">
        <f>'Team Info'!$B$3</f>
        <v>0</v>
      </c>
      <c r="B915">
        <f>'Female 30-second Double Under'!H107</f>
        <v>15</v>
      </c>
      <c r="C915" t="str">
        <f>'Female 30-second Double Under'!I107</f>
        <v>FTDU</v>
      </c>
      <c r="D915" t="str">
        <f>'Female 30-second Double Under'!J107</f>
        <v>19-22</v>
      </c>
      <c r="E915">
        <f>'Female 30-second Double Under'!K107</f>
        <v>0</v>
      </c>
      <c r="I915" t="str">
        <f t="shared" si="26"/>
        <v>FTDU-Female Single Rope Double Under</v>
      </c>
    </row>
    <row r="916" spans="1:9" x14ac:dyDescent="0.25">
      <c r="A916">
        <f>'Team Info'!$B$3</f>
        <v>0</v>
      </c>
      <c r="B916">
        <f>'Female 30-second Double Under'!H108</f>
        <v>16</v>
      </c>
      <c r="C916" t="str">
        <f>'Female 30-second Double Under'!I108</f>
        <v>FTDU</v>
      </c>
      <c r="D916" t="str">
        <f>'Female 30-second Double Under'!J108</f>
        <v>19-22</v>
      </c>
      <c r="E916">
        <f>'Female 30-second Double Under'!K108</f>
        <v>0</v>
      </c>
      <c r="I916" t="str">
        <f t="shared" si="26"/>
        <v>FTDU-Female Single Rope Double Under</v>
      </c>
    </row>
    <row r="917" spans="1:9" x14ac:dyDescent="0.25">
      <c r="A917">
        <f>'Team Info'!$B$3</f>
        <v>0</v>
      </c>
      <c r="B917">
        <f>'Female 30-second Double Under'!H109</f>
        <v>17</v>
      </c>
      <c r="C917" t="str">
        <f>'Female 30-second Double Under'!I109</f>
        <v>FTDU</v>
      </c>
      <c r="D917" t="str">
        <f>'Female 30-second Double Under'!J109</f>
        <v>19-22</v>
      </c>
      <c r="E917">
        <f>'Female 30-second Double Under'!K109</f>
        <v>0</v>
      </c>
      <c r="I917" t="str">
        <f t="shared" si="26"/>
        <v>FTDU-Female Single Rope Double Under</v>
      </c>
    </row>
    <row r="918" spans="1:9" x14ac:dyDescent="0.25">
      <c r="A918">
        <f>'Team Info'!$B$3</f>
        <v>0</v>
      </c>
      <c r="B918">
        <f>'Female 30-second Double Under'!H110</f>
        <v>18</v>
      </c>
      <c r="C918" t="str">
        <f>'Female 30-second Double Under'!I110</f>
        <v>FTDU</v>
      </c>
      <c r="D918" t="str">
        <f>'Female 30-second Double Under'!J110</f>
        <v>19-22</v>
      </c>
      <c r="E918">
        <f>'Female 30-second Double Under'!K110</f>
        <v>0</v>
      </c>
      <c r="I918" t="str">
        <f t="shared" si="26"/>
        <v>FTDU-Female Single Rope Double Under</v>
      </c>
    </row>
    <row r="919" spans="1:9" x14ac:dyDescent="0.25">
      <c r="A919">
        <f>'Team Info'!$B$3</f>
        <v>0</v>
      </c>
      <c r="B919">
        <f>'Female 30-second Double Under'!H111</f>
        <v>19</v>
      </c>
      <c r="C919" t="str">
        <f>'Female 30-second Double Under'!I111</f>
        <v>FTDU</v>
      </c>
      <c r="D919" t="str">
        <f>'Female 30-second Double Under'!J111</f>
        <v>19-22</v>
      </c>
      <c r="E919">
        <f>'Female 30-second Double Under'!K111</f>
        <v>0</v>
      </c>
      <c r="I919" t="str">
        <f t="shared" ref="I919:I920" si="27">VLOOKUP(C919,EVENTS,2,FALSE)</f>
        <v>FTDU-Female Single Rope Double Under</v>
      </c>
    </row>
    <row r="920" spans="1:9" x14ac:dyDescent="0.25">
      <c r="A920">
        <f>'Team Info'!$B$3</f>
        <v>0</v>
      </c>
      <c r="B920">
        <f>'Female 30-second Double Under'!H112</f>
        <v>20</v>
      </c>
      <c r="C920" t="str">
        <f>'Female 30-second Double Under'!I112</f>
        <v>FTDU</v>
      </c>
      <c r="D920" t="str">
        <f>'Female 30-second Double Under'!J112</f>
        <v>19-22</v>
      </c>
      <c r="E920">
        <f>'Female 30-second Double Under'!K112</f>
        <v>0</v>
      </c>
      <c r="I920" t="str">
        <f t="shared" si="27"/>
        <v>FTDU-Female Single Rope Double Under</v>
      </c>
    </row>
    <row r="921" spans="1:9" x14ac:dyDescent="0.25">
      <c r="A921">
        <f>'Team Info'!$B$3</f>
        <v>0</v>
      </c>
      <c r="B921">
        <f>'Female 30-second Double Under'!A115</f>
        <v>1</v>
      </c>
      <c r="C921" t="str">
        <f>'Female 30-second Double Under'!B115</f>
        <v>FTDU</v>
      </c>
      <c r="D921" t="str">
        <f>'Female 30-second Double Under'!C115</f>
        <v>23-29</v>
      </c>
      <c r="E921">
        <f>'Female 30-second Double Under'!D115</f>
        <v>0</v>
      </c>
      <c r="I921" t="str">
        <f t="shared" si="24"/>
        <v>FTDU-Female Single Rope Double Under</v>
      </c>
    </row>
    <row r="922" spans="1:9" x14ac:dyDescent="0.25">
      <c r="A922">
        <f>'Team Info'!$B$3</f>
        <v>0</v>
      </c>
      <c r="B922">
        <f>'Female 30-second Double Under'!A116</f>
        <v>2</v>
      </c>
      <c r="C922" t="str">
        <f>'Female 30-second Double Under'!B116</f>
        <v>FTDU</v>
      </c>
      <c r="D922" t="str">
        <f>'Female 30-second Double Under'!C116</f>
        <v>23-29</v>
      </c>
      <c r="E922">
        <f>'Female 30-second Double Under'!D116</f>
        <v>0</v>
      </c>
      <c r="I922" t="str">
        <f t="shared" si="24"/>
        <v>FTDU-Female Single Rope Double Under</v>
      </c>
    </row>
    <row r="923" spans="1:9" x14ac:dyDescent="0.25">
      <c r="A923">
        <f>'Team Info'!$B$3</f>
        <v>0</v>
      </c>
      <c r="B923">
        <f>'Female 30-second Double Under'!A117</f>
        <v>3</v>
      </c>
      <c r="C923" t="str">
        <f>'Female 30-second Double Under'!B117</f>
        <v>FTDU</v>
      </c>
      <c r="D923" t="str">
        <f>'Female 30-second Double Under'!C117</f>
        <v>23-29</v>
      </c>
      <c r="E923">
        <f>'Female 30-second Double Under'!D117</f>
        <v>0</v>
      </c>
      <c r="I923" t="str">
        <f t="shared" si="24"/>
        <v>FTDU-Female Single Rope Double Under</v>
      </c>
    </row>
    <row r="924" spans="1:9" x14ac:dyDescent="0.25">
      <c r="A924">
        <f>'Team Info'!$B$3</f>
        <v>0</v>
      </c>
      <c r="B924">
        <f>'Female 30-second Double Under'!A118</f>
        <v>4</v>
      </c>
      <c r="C924" t="str">
        <f>'Female 30-second Double Under'!B118</f>
        <v>FTDU</v>
      </c>
      <c r="D924" t="str">
        <f>'Female 30-second Double Under'!C118</f>
        <v>23-29</v>
      </c>
      <c r="E924">
        <f>'Female 30-second Double Under'!D118</f>
        <v>0</v>
      </c>
      <c r="I924" t="str">
        <f t="shared" si="24"/>
        <v>FTDU-Female Single Rope Double Under</v>
      </c>
    </row>
    <row r="925" spans="1:9" x14ac:dyDescent="0.25">
      <c r="A925">
        <f>'Team Info'!$B$3</f>
        <v>0</v>
      </c>
      <c r="B925">
        <f>'Female 30-second Double Under'!A119</f>
        <v>5</v>
      </c>
      <c r="C925" t="str">
        <f>'Female 30-second Double Under'!B119</f>
        <v>FTDU</v>
      </c>
      <c r="D925" t="str">
        <f>'Female 30-second Double Under'!C119</f>
        <v>23-29</v>
      </c>
      <c r="E925">
        <f>'Female 30-second Double Under'!D119</f>
        <v>0</v>
      </c>
      <c r="I925" t="str">
        <f t="shared" si="24"/>
        <v>FTDU-Female Single Rope Double Under</v>
      </c>
    </row>
    <row r="926" spans="1:9" x14ac:dyDescent="0.25">
      <c r="A926">
        <f>'Team Info'!$B$3</f>
        <v>0</v>
      </c>
      <c r="B926">
        <f>'Female 30-second Double Under'!A120</f>
        <v>6</v>
      </c>
      <c r="C926" t="str">
        <f>'Female 30-second Double Under'!B120</f>
        <v>FTDU</v>
      </c>
      <c r="D926" t="str">
        <f>'Female 30-second Double Under'!C120</f>
        <v>23-29</v>
      </c>
      <c r="E926">
        <f>'Female 30-second Double Under'!D120</f>
        <v>0</v>
      </c>
      <c r="I926" t="str">
        <f t="shared" si="24"/>
        <v>FTDU-Female Single Rope Double Under</v>
      </c>
    </row>
    <row r="927" spans="1:9" x14ac:dyDescent="0.25">
      <c r="A927">
        <f>'Team Info'!$B$3</f>
        <v>0</v>
      </c>
      <c r="B927">
        <f>'Female 30-second Double Under'!A121</f>
        <v>7</v>
      </c>
      <c r="C927" t="str">
        <f>'Female 30-second Double Under'!B121</f>
        <v>FTDU</v>
      </c>
      <c r="D927" t="str">
        <f>'Female 30-second Double Under'!C121</f>
        <v>23-29</v>
      </c>
      <c r="E927">
        <f>'Female 30-second Double Under'!D121</f>
        <v>0</v>
      </c>
      <c r="I927" t="str">
        <f t="shared" si="24"/>
        <v>FTDU-Female Single Rope Double Under</v>
      </c>
    </row>
    <row r="928" spans="1:9" x14ac:dyDescent="0.25">
      <c r="A928">
        <f>'Team Info'!$B$3</f>
        <v>0</v>
      </c>
      <c r="B928">
        <f>'Female 30-second Double Under'!A122</f>
        <v>8</v>
      </c>
      <c r="C928" t="str">
        <f>'Female 30-second Double Under'!B122</f>
        <v>FTDU</v>
      </c>
      <c r="D928" t="str">
        <f>'Female 30-second Double Under'!C122</f>
        <v>23-29</v>
      </c>
      <c r="E928">
        <f>'Female 30-second Double Under'!D122</f>
        <v>0</v>
      </c>
      <c r="I928" t="str">
        <f t="shared" si="24"/>
        <v>FTDU-Female Single Rope Double Under</v>
      </c>
    </row>
    <row r="929" spans="1:9" x14ac:dyDescent="0.25">
      <c r="A929">
        <f>'Team Info'!$B$3</f>
        <v>0</v>
      </c>
      <c r="B929">
        <f>'Female 30-second Double Under'!H115</f>
        <v>1</v>
      </c>
      <c r="C929" t="str">
        <f>'Female 30-second Double Under'!I115</f>
        <v>FTDU</v>
      </c>
      <c r="D929" t="str">
        <f>'Female 30-second Double Under'!J115</f>
        <v>30-49</v>
      </c>
      <c r="E929">
        <f>'Female 30-second Double Under'!K115</f>
        <v>0</v>
      </c>
      <c r="I929" t="str">
        <f t="shared" si="24"/>
        <v>FTDU-Female Single Rope Double Under</v>
      </c>
    </row>
    <row r="930" spans="1:9" x14ac:dyDescent="0.25">
      <c r="A930">
        <f>'Team Info'!$B$3</f>
        <v>0</v>
      </c>
      <c r="B930">
        <f>'Female 30-second Double Under'!H116</f>
        <v>2</v>
      </c>
      <c r="C930" t="str">
        <f>'Female 30-second Double Under'!I116</f>
        <v>FTDU</v>
      </c>
      <c r="D930" t="str">
        <f>'Female 30-second Double Under'!J116</f>
        <v>30-49</v>
      </c>
      <c r="E930">
        <f>'Female 30-second Double Under'!K116</f>
        <v>0</v>
      </c>
      <c r="I930" t="str">
        <f t="shared" si="24"/>
        <v>FTDU-Female Single Rope Double Under</v>
      </c>
    </row>
    <row r="931" spans="1:9" x14ac:dyDescent="0.25">
      <c r="A931">
        <f>'Team Info'!$B$3</f>
        <v>0</v>
      </c>
      <c r="B931">
        <f>'Female 30-second Double Under'!H117</f>
        <v>3</v>
      </c>
      <c r="C931" t="str">
        <f>'Female 30-second Double Under'!I117</f>
        <v>FTDU</v>
      </c>
      <c r="D931" t="str">
        <f>'Female 30-second Double Under'!J117</f>
        <v>30-49</v>
      </c>
      <c r="E931">
        <f>'Female 30-second Double Under'!K117</f>
        <v>0</v>
      </c>
      <c r="I931" t="str">
        <f t="shared" si="24"/>
        <v>FTDU-Female Single Rope Double Under</v>
      </c>
    </row>
    <row r="932" spans="1:9" x14ac:dyDescent="0.25">
      <c r="A932">
        <f>'Team Info'!$B$3</f>
        <v>0</v>
      </c>
      <c r="B932">
        <f>'Female 30-second Double Under'!H118</f>
        <v>4</v>
      </c>
      <c r="C932" t="str">
        <f>'Female 30-second Double Under'!I118</f>
        <v>FTDU</v>
      </c>
      <c r="D932" t="str">
        <f>'Female 30-second Double Under'!J118</f>
        <v>30-49</v>
      </c>
      <c r="E932">
        <f>'Female 30-second Double Under'!K118</f>
        <v>0</v>
      </c>
      <c r="I932" t="str">
        <f t="shared" si="24"/>
        <v>FTDU-Female Single Rope Double Under</v>
      </c>
    </row>
    <row r="933" spans="1:9" x14ac:dyDescent="0.25">
      <c r="A933">
        <f>'Team Info'!$B$3</f>
        <v>0</v>
      </c>
      <c r="B933">
        <f>'Female 30-second Double Under'!H119</f>
        <v>5</v>
      </c>
      <c r="C933" t="str">
        <f>'Female 30-second Double Under'!I119</f>
        <v>FTDU</v>
      </c>
      <c r="D933" t="str">
        <f>'Female 30-second Double Under'!J119</f>
        <v>30-49</v>
      </c>
      <c r="E933">
        <f>'Female 30-second Double Under'!K119</f>
        <v>0</v>
      </c>
      <c r="I933" t="str">
        <f t="shared" si="24"/>
        <v>FTDU-Female Single Rope Double Under</v>
      </c>
    </row>
    <row r="934" spans="1:9" x14ac:dyDescent="0.25">
      <c r="A934">
        <f>'Team Info'!$B$3</f>
        <v>0</v>
      </c>
      <c r="B934">
        <f>'Female 30-second Double Under'!H120</f>
        <v>6</v>
      </c>
      <c r="C934" t="str">
        <f>'Female 30-second Double Under'!I120</f>
        <v>FTDU</v>
      </c>
      <c r="D934" t="str">
        <f>'Female 30-second Double Under'!J120</f>
        <v>30-49</v>
      </c>
      <c r="E934">
        <f>'Female 30-second Double Under'!K120</f>
        <v>0</v>
      </c>
      <c r="I934" t="str">
        <f t="shared" ref="I934:I936" si="28">VLOOKUP(C934,EVENTS,2,FALSE)</f>
        <v>FTDU-Female Single Rope Double Under</v>
      </c>
    </row>
    <row r="935" spans="1:9" x14ac:dyDescent="0.25">
      <c r="A935">
        <f>'Team Info'!$B$3</f>
        <v>0</v>
      </c>
      <c r="B935">
        <f>'Female 30-second Double Under'!H121</f>
        <v>7</v>
      </c>
      <c r="C935" t="str">
        <f>'Female 30-second Double Under'!I121</f>
        <v>FTDU</v>
      </c>
      <c r="D935" t="str">
        <f>'Female 30-second Double Under'!J121</f>
        <v>30-49</v>
      </c>
      <c r="E935">
        <f>'Female 30-second Double Under'!K121</f>
        <v>0</v>
      </c>
      <c r="I935" t="str">
        <f t="shared" si="28"/>
        <v>FTDU-Female Single Rope Double Under</v>
      </c>
    </row>
    <row r="936" spans="1:9" x14ac:dyDescent="0.25">
      <c r="A936">
        <f>'Team Info'!$B$3</f>
        <v>0</v>
      </c>
      <c r="B936">
        <f>'Female 30-second Double Under'!H122</f>
        <v>8</v>
      </c>
      <c r="C936" t="str">
        <f>'Female 30-second Double Under'!I122</f>
        <v>FTDU</v>
      </c>
      <c r="D936" t="str">
        <f>'Female 30-second Double Under'!J122</f>
        <v>30-49</v>
      </c>
      <c r="E936">
        <f>'Female 30-second Double Under'!K122</f>
        <v>0</v>
      </c>
      <c r="I936" t="str">
        <f t="shared" si="28"/>
        <v>FTDU-Female Single Rope Double Under</v>
      </c>
    </row>
    <row r="937" spans="1:9" x14ac:dyDescent="0.25">
      <c r="A937">
        <f>'Team Info'!$B$3</f>
        <v>0</v>
      </c>
      <c r="B937">
        <f>'Female 30-second Double Under'!A125</f>
        <v>1</v>
      </c>
      <c r="C937" t="str">
        <f>'Female 30-second Double Under'!B125</f>
        <v>FTDU</v>
      </c>
      <c r="D937" t="str">
        <f>'Female 30-second Double Under'!C125</f>
        <v>50-Over</v>
      </c>
      <c r="E937">
        <f>'Female 30-second Double Under'!D125</f>
        <v>0</v>
      </c>
      <c r="I937" t="str">
        <f t="shared" si="24"/>
        <v>FTDU-Female Single Rope Double Under</v>
      </c>
    </row>
    <row r="938" spans="1:9" x14ac:dyDescent="0.25">
      <c r="A938">
        <f>'Team Info'!$B$3</f>
        <v>0</v>
      </c>
      <c r="B938">
        <f>'Female 30-second Double Under'!A126</f>
        <v>2</v>
      </c>
      <c r="C938" t="str">
        <f>'Female 30-second Double Under'!B126</f>
        <v>FTDU</v>
      </c>
      <c r="D938" t="str">
        <f>'Female 30-second Double Under'!C126</f>
        <v>50-Over</v>
      </c>
      <c r="E938">
        <f>'Female 30-second Double Under'!D126</f>
        <v>0</v>
      </c>
      <c r="I938" t="str">
        <f t="shared" si="24"/>
        <v>FTDU-Female Single Rope Double Under</v>
      </c>
    </row>
    <row r="939" spans="1:9" x14ac:dyDescent="0.25">
      <c r="A939">
        <f>'Team Info'!$B$3</f>
        <v>0</v>
      </c>
      <c r="B939">
        <f>'Female 30-second Double Under'!A127</f>
        <v>3</v>
      </c>
      <c r="C939" t="str">
        <f>'Female 30-second Double Under'!B127</f>
        <v>FTDU</v>
      </c>
      <c r="D939" t="str">
        <f>'Female 30-second Double Under'!C127</f>
        <v>50-Over</v>
      </c>
      <c r="E939">
        <f>'Female 30-second Double Under'!D127</f>
        <v>0</v>
      </c>
      <c r="I939" t="str">
        <f t="shared" si="24"/>
        <v>FTDU-Female Single Rope Double Under</v>
      </c>
    </row>
    <row r="940" spans="1:9" x14ac:dyDescent="0.25">
      <c r="A940">
        <f>'Team Info'!$B$3</f>
        <v>0</v>
      </c>
      <c r="B940">
        <f>'Female 30-second Double Under'!A128</f>
        <v>4</v>
      </c>
      <c r="C940" t="str">
        <f>'Female 30-second Double Under'!B128</f>
        <v>FTDU</v>
      </c>
      <c r="D940" t="str">
        <f>'Female 30-second Double Under'!C128</f>
        <v>50-Over</v>
      </c>
      <c r="E940">
        <f>'Female 30-second Double Under'!D128</f>
        <v>0</v>
      </c>
      <c r="I940" t="str">
        <f t="shared" si="24"/>
        <v>FTDU-Female Single Rope Double Under</v>
      </c>
    </row>
    <row r="941" spans="1:9" x14ac:dyDescent="0.25">
      <c r="A941">
        <f>'Team Info'!$B$3</f>
        <v>0</v>
      </c>
      <c r="B941">
        <f>'Female 30-second Double Under'!A129</f>
        <v>5</v>
      </c>
      <c r="C941" t="str">
        <f>'Female 30-second Double Under'!B129</f>
        <v>FTDU</v>
      </c>
      <c r="D941" t="str">
        <f>'Female 30-second Double Under'!C129</f>
        <v>50-Over</v>
      </c>
      <c r="E941">
        <f>'Female 30-second Double Under'!D129</f>
        <v>0</v>
      </c>
      <c r="I941" t="str">
        <f t="shared" si="24"/>
        <v>FTDU-Female Single Rope Double Under</v>
      </c>
    </row>
    <row r="942" spans="1:9" x14ac:dyDescent="0.25">
      <c r="A942">
        <f>'Team Info'!$B$3</f>
        <v>0</v>
      </c>
      <c r="B942">
        <f>'Female SR Endurance Speed'!A5</f>
        <v>1</v>
      </c>
      <c r="C942" t="str">
        <f>'Female SR Endurance Speed'!B5</f>
        <v>FTMS</v>
      </c>
      <c r="D942" t="str">
        <f>'Female SR Endurance Speed'!C5</f>
        <v>8-Under</v>
      </c>
      <c r="E942">
        <f>'Female SR Endurance Speed'!D5</f>
        <v>0</v>
      </c>
      <c r="I942" t="str">
        <f t="shared" ref="I942:I961" si="29">VLOOKUP(C942,EVENTS,2,FALSE)</f>
        <v>FTMS-Female Three Minute Speed</v>
      </c>
    </row>
    <row r="943" spans="1:9" x14ac:dyDescent="0.25">
      <c r="A943">
        <f>'Team Info'!$B$3</f>
        <v>0</v>
      </c>
      <c r="B943">
        <f>'Female SR Endurance Speed'!A6</f>
        <v>2</v>
      </c>
      <c r="C943" t="str">
        <f>'Female SR Endurance Speed'!B6</f>
        <v>FTMS</v>
      </c>
      <c r="D943" t="str">
        <f>'Female SR Endurance Speed'!C6</f>
        <v>8-Under</v>
      </c>
      <c r="E943">
        <f>'Female SR Endurance Speed'!D6</f>
        <v>0</v>
      </c>
      <c r="I943" t="str">
        <f t="shared" si="29"/>
        <v>FTMS-Female Three Minute Speed</v>
      </c>
    </row>
    <row r="944" spans="1:9" x14ac:dyDescent="0.25">
      <c r="A944">
        <f>'Team Info'!$B$3</f>
        <v>0</v>
      </c>
      <c r="B944">
        <f>'Female SR Endurance Speed'!A7</f>
        <v>3</v>
      </c>
      <c r="C944" t="str">
        <f>'Female SR Endurance Speed'!B7</f>
        <v>FTMS</v>
      </c>
      <c r="D944" t="str">
        <f>'Female SR Endurance Speed'!C7</f>
        <v>8-Under</v>
      </c>
      <c r="E944">
        <f>'Female SR Endurance Speed'!D7</f>
        <v>0</v>
      </c>
      <c r="I944" t="str">
        <f t="shared" si="29"/>
        <v>FTMS-Female Three Minute Speed</v>
      </c>
    </row>
    <row r="945" spans="1:9" x14ac:dyDescent="0.25">
      <c r="A945">
        <f>'Team Info'!$B$3</f>
        <v>0</v>
      </c>
      <c r="B945">
        <f>'Female SR Endurance Speed'!A8</f>
        <v>4</v>
      </c>
      <c r="C945" t="str">
        <f>'Female SR Endurance Speed'!B8</f>
        <v>FTMS</v>
      </c>
      <c r="D945" t="str">
        <f>'Female SR Endurance Speed'!C8</f>
        <v>8-Under</v>
      </c>
      <c r="E945">
        <f>'Female SR Endurance Speed'!D8</f>
        <v>0</v>
      </c>
      <c r="I945" t="str">
        <f t="shared" si="29"/>
        <v>FTMS-Female Three Minute Speed</v>
      </c>
    </row>
    <row r="946" spans="1:9" x14ac:dyDescent="0.25">
      <c r="A946">
        <f>'Team Info'!$B$3</f>
        <v>0</v>
      </c>
      <c r="B946">
        <f>'Female SR Endurance Speed'!A9</f>
        <v>5</v>
      </c>
      <c r="C946" t="str">
        <f>'Female SR Endurance Speed'!B9</f>
        <v>FTMS</v>
      </c>
      <c r="D946" t="str">
        <f>'Female SR Endurance Speed'!C9</f>
        <v>8-Under</v>
      </c>
      <c r="E946">
        <f>'Female SR Endurance Speed'!D9</f>
        <v>0</v>
      </c>
      <c r="I946" t="str">
        <f t="shared" si="29"/>
        <v>FTMS-Female Three Minute Speed</v>
      </c>
    </row>
    <row r="947" spans="1:9" x14ac:dyDescent="0.25">
      <c r="A947">
        <f>'Team Info'!$B$3</f>
        <v>0</v>
      </c>
      <c r="B947">
        <f>'Female SR Endurance Speed'!A10</f>
        <v>6</v>
      </c>
      <c r="C947" t="str">
        <f>'Female SR Endurance Speed'!B10</f>
        <v>FTMS</v>
      </c>
      <c r="D947" t="str">
        <f>'Female SR Endurance Speed'!C10</f>
        <v>8-Under</v>
      </c>
      <c r="E947">
        <f>'Female SR Endurance Speed'!D10</f>
        <v>0</v>
      </c>
      <c r="I947" t="str">
        <f t="shared" si="29"/>
        <v>FTMS-Female Three Minute Speed</v>
      </c>
    </row>
    <row r="948" spans="1:9" x14ac:dyDescent="0.25">
      <c r="A948">
        <f>'Team Info'!$B$3</f>
        <v>0</v>
      </c>
      <c r="B948">
        <f>'Female SR Endurance Speed'!A11</f>
        <v>7</v>
      </c>
      <c r="C948" t="str">
        <f>'Female SR Endurance Speed'!B11</f>
        <v>FTMS</v>
      </c>
      <c r="D948" t="str">
        <f>'Female SR Endurance Speed'!C11</f>
        <v>8-Under</v>
      </c>
      <c r="E948">
        <f>'Female SR Endurance Speed'!D11</f>
        <v>0</v>
      </c>
      <c r="I948" t="str">
        <f t="shared" si="29"/>
        <v>FTMS-Female Three Minute Speed</v>
      </c>
    </row>
    <row r="949" spans="1:9" x14ac:dyDescent="0.25">
      <c r="A949">
        <f>'Team Info'!$B$3</f>
        <v>0</v>
      </c>
      <c r="B949">
        <f>'Female SR Endurance Speed'!A12</f>
        <v>8</v>
      </c>
      <c r="C949" t="str">
        <f>'Female SR Endurance Speed'!B12</f>
        <v>FTMS</v>
      </c>
      <c r="D949" t="str">
        <f>'Female SR Endurance Speed'!C12</f>
        <v>8-Under</v>
      </c>
      <c r="E949">
        <f>'Female SR Endurance Speed'!D12</f>
        <v>0</v>
      </c>
      <c r="I949" t="str">
        <f t="shared" si="29"/>
        <v>FTMS-Female Three Minute Speed</v>
      </c>
    </row>
    <row r="950" spans="1:9" x14ac:dyDescent="0.25">
      <c r="A950">
        <f>'Team Info'!$B$3</f>
        <v>0</v>
      </c>
      <c r="B950">
        <f>'Female SR Endurance Speed'!A13</f>
        <v>9</v>
      </c>
      <c r="C950" t="str">
        <f>'Female SR Endurance Speed'!B13</f>
        <v>FTMS</v>
      </c>
      <c r="D950" t="str">
        <f>'Female SR Endurance Speed'!C13</f>
        <v>8-Under</v>
      </c>
      <c r="E950">
        <f>'Female SR Endurance Speed'!D13</f>
        <v>0</v>
      </c>
      <c r="I950" t="str">
        <f t="shared" si="29"/>
        <v>FTMS-Female Three Minute Speed</v>
      </c>
    </row>
    <row r="951" spans="1:9" x14ac:dyDescent="0.25">
      <c r="A951">
        <f>'Team Info'!$B$3</f>
        <v>0</v>
      </c>
      <c r="B951">
        <f>'Female SR Endurance Speed'!A14</f>
        <v>10</v>
      </c>
      <c r="C951" t="str">
        <f>'Female SR Endurance Speed'!B14</f>
        <v>FTMS</v>
      </c>
      <c r="D951" t="str">
        <f>'Female SR Endurance Speed'!C14</f>
        <v>8-Under</v>
      </c>
      <c r="E951">
        <f>'Female SR Endurance Speed'!D14</f>
        <v>0</v>
      </c>
      <c r="I951" t="str">
        <f t="shared" si="29"/>
        <v>FTMS-Female Three Minute Speed</v>
      </c>
    </row>
    <row r="952" spans="1:9" x14ac:dyDescent="0.25">
      <c r="A952">
        <f>'Team Info'!$B$3</f>
        <v>0</v>
      </c>
      <c r="B952">
        <f>'Female SR Endurance Speed'!A15</f>
        <v>11</v>
      </c>
      <c r="C952" t="str">
        <f>'Female SR Endurance Speed'!B15</f>
        <v>FTMS</v>
      </c>
      <c r="D952" t="str">
        <f>'Female SR Endurance Speed'!C15</f>
        <v>8-Under</v>
      </c>
      <c r="E952">
        <f>'Female SR Endurance Speed'!D15</f>
        <v>0</v>
      </c>
      <c r="I952" t="str">
        <f t="shared" si="29"/>
        <v>FTMS-Female Three Minute Speed</v>
      </c>
    </row>
    <row r="953" spans="1:9" x14ac:dyDescent="0.25">
      <c r="A953">
        <f>'Team Info'!$B$3</f>
        <v>0</v>
      </c>
      <c r="B953">
        <f>'Female SR Endurance Speed'!A16</f>
        <v>12</v>
      </c>
      <c r="C953" t="str">
        <f>'Female SR Endurance Speed'!B16</f>
        <v>FTMS</v>
      </c>
      <c r="D953" t="str">
        <f>'Female SR Endurance Speed'!C16</f>
        <v>8-Under</v>
      </c>
      <c r="E953">
        <f>'Female SR Endurance Speed'!D16</f>
        <v>0</v>
      </c>
      <c r="I953" t="str">
        <f t="shared" si="29"/>
        <v>FTMS-Female Three Minute Speed</v>
      </c>
    </row>
    <row r="954" spans="1:9" x14ac:dyDescent="0.25">
      <c r="A954">
        <f>'Team Info'!$B$3</f>
        <v>0</v>
      </c>
      <c r="B954">
        <f>'Female SR Endurance Speed'!A17</f>
        <v>13</v>
      </c>
      <c r="C954" t="str">
        <f>'Female SR Endurance Speed'!B17</f>
        <v>FTMS</v>
      </c>
      <c r="D954" t="str">
        <f>'Female SR Endurance Speed'!C17</f>
        <v>8-Under</v>
      </c>
      <c r="E954">
        <f>'Female SR Endurance Speed'!D17</f>
        <v>0</v>
      </c>
      <c r="I954" t="str">
        <f t="shared" si="29"/>
        <v>FTMS-Female Three Minute Speed</v>
      </c>
    </row>
    <row r="955" spans="1:9" x14ac:dyDescent="0.25">
      <c r="A955">
        <f>'Team Info'!$B$3</f>
        <v>0</v>
      </c>
      <c r="B955">
        <f>'Female SR Endurance Speed'!A18</f>
        <v>14</v>
      </c>
      <c r="C955" t="str">
        <f>'Female SR Endurance Speed'!B18</f>
        <v>FTMS</v>
      </c>
      <c r="D955" t="str">
        <f>'Female SR Endurance Speed'!C18</f>
        <v>8-Under</v>
      </c>
      <c r="E955">
        <f>'Female SR Endurance Speed'!D18</f>
        <v>0</v>
      </c>
      <c r="I955" t="str">
        <f t="shared" si="29"/>
        <v>FTMS-Female Three Minute Speed</v>
      </c>
    </row>
    <row r="956" spans="1:9" x14ac:dyDescent="0.25">
      <c r="A956">
        <f>'Team Info'!$B$3</f>
        <v>0</v>
      </c>
      <c r="B956">
        <f>'Female SR Endurance Speed'!A19</f>
        <v>15</v>
      </c>
      <c r="C956" t="str">
        <f>'Female SR Endurance Speed'!B19</f>
        <v>FTMS</v>
      </c>
      <c r="D956" t="str">
        <f>'Female SR Endurance Speed'!C19</f>
        <v>8-Under</v>
      </c>
      <c r="E956">
        <f>'Female SR Endurance Speed'!D19</f>
        <v>0</v>
      </c>
      <c r="I956" t="str">
        <f t="shared" si="29"/>
        <v>FTMS-Female Three Minute Speed</v>
      </c>
    </row>
    <row r="957" spans="1:9" x14ac:dyDescent="0.25">
      <c r="A957">
        <f>'Team Info'!$B$3</f>
        <v>0</v>
      </c>
      <c r="B957">
        <f>'Female SR Endurance Speed'!A20</f>
        <v>16</v>
      </c>
      <c r="C957" t="str">
        <f>'Female SR Endurance Speed'!B20</f>
        <v>FTMS</v>
      </c>
      <c r="D957" t="str">
        <f>'Female SR Endurance Speed'!C20</f>
        <v>8-Under</v>
      </c>
      <c r="E957">
        <f>'Female SR Endurance Speed'!D20</f>
        <v>0</v>
      </c>
      <c r="I957" t="str">
        <f t="shared" si="29"/>
        <v>FTMS-Female Three Minute Speed</v>
      </c>
    </row>
    <row r="958" spans="1:9" x14ac:dyDescent="0.25">
      <c r="A958">
        <f>'Team Info'!$B$3</f>
        <v>0</v>
      </c>
      <c r="B958">
        <f>'Female SR Endurance Speed'!A21</f>
        <v>17</v>
      </c>
      <c r="C958" t="str">
        <f>'Female SR Endurance Speed'!B21</f>
        <v>FTMS</v>
      </c>
      <c r="D958" t="str">
        <f>'Female SR Endurance Speed'!C21</f>
        <v>8-Under</v>
      </c>
      <c r="E958">
        <f>'Female SR Endurance Speed'!D21</f>
        <v>0</v>
      </c>
      <c r="I958" t="str">
        <f t="shared" si="29"/>
        <v>FTMS-Female Three Minute Speed</v>
      </c>
    </row>
    <row r="959" spans="1:9" x14ac:dyDescent="0.25">
      <c r="A959">
        <f>'Team Info'!$B$3</f>
        <v>0</v>
      </c>
      <c r="B959">
        <f>'Female SR Endurance Speed'!A22</f>
        <v>18</v>
      </c>
      <c r="C959" t="str">
        <f>'Female SR Endurance Speed'!B22</f>
        <v>FTMS</v>
      </c>
      <c r="D959" t="str">
        <f>'Female SR Endurance Speed'!C22</f>
        <v>8-Under</v>
      </c>
      <c r="E959">
        <f>'Female SR Endurance Speed'!D22</f>
        <v>0</v>
      </c>
      <c r="I959" t="str">
        <f t="shared" si="29"/>
        <v>FTMS-Female Three Minute Speed</v>
      </c>
    </row>
    <row r="960" spans="1:9" x14ac:dyDescent="0.25">
      <c r="A960">
        <f>'Team Info'!$B$3</f>
        <v>0</v>
      </c>
      <c r="B960">
        <f>'Female SR Endurance Speed'!A23</f>
        <v>19</v>
      </c>
      <c r="C960" t="str">
        <f>'Female SR Endurance Speed'!B23</f>
        <v>FTMS</v>
      </c>
      <c r="D960" t="str">
        <f>'Female SR Endurance Speed'!C23</f>
        <v>8-Under</v>
      </c>
      <c r="E960">
        <f>'Female SR Endurance Speed'!D23</f>
        <v>0</v>
      </c>
      <c r="I960" t="str">
        <f t="shared" si="29"/>
        <v>FTMS-Female Three Minute Speed</v>
      </c>
    </row>
    <row r="961" spans="1:9" x14ac:dyDescent="0.25">
      <c r="A961">
        <f>'Team Info'!$B$3</f>
        <v>0</v>
      </c>
      <c r="B961">
        <f>'Female SR Endurance Speed'!A24</f>
        <v>20</v>
      </c>
      <c r="C961" t="str">
        <f>'Female SR Endurance Speed'!B24</f>
        <v>FTMS</v>
      </c>
      <c r="D961" t="str">
        <f>'Female SR Endurance Speed'!C24</f>
        <v>8-Under</v>
      </c>
      <c r="E961">
        <f>'Female SR Endurance Speed'!D24</f>
        <v>0</v>
      </c>
      <c r="I961" t="str">
        <f t="shared" si="29"/>
        <v>FTMS-Female Three Minute Speed</v>
      </c>
    </row>
    <row r="962" spans="1:9" x14ac:dyDescent="0.25">
      <c r="A962">
        <f>'Team Info'!$B$3</f>
        <v>0</v>
      </c>
      <c r="B962">
        <f>'Female SR Endurance Speed'!H5</f>
        <v>1</v>
      </c>
      <c r="C962" t="str">
        <f>'Female SR Endurance Speed'!I5</f>
        <v>FTMS</v>
      </c>
      <c r="D962">
        <f>'Female SR Endurance Speed'!J5</f>
        <v>9</v>
      </c>
      <c r="E962">
        <f>'Female SR Endurance Speed'!K5</f>
        <v>0</v>
      </c>
      <c r="I962" t="str">
        <f t="shared" si="24"/>
        <v>FTMS-Female Three Minute Speed</v>
      </c>
    </row>
    <row r="963" spans="1:9" x14ac:dyDescent="0.25">
      <c r="A963">
        <f>'Team Info'!$B$3</f>
        <v>0</v>
      </c>
      <c r="B963">
        <f>'Female SR Endurance Speed'!H6</f>
        <v>2</v>
      </c>
      <c r="C963" t="str">
        <f>'Female SR Endurance Speed'!I6</f>
        <v>FTMS</v>
      </c>
      <c r="D963">
        <f>'Female SR Endurance Speed'!J6</f>
        <v>9</v>
      </c>
      <c r="E963">
        <f>'Female SR Endurance Speed'!K6</f>
        <v>0</v>
      </c>
      <c r="I963" t="str">
        <f t="shared" si="24"/>
        <v>FTMS-Female Three Minute Speed</v>
      </c>
    </row>
    <row r="964" spans="1:9" x14ac:dyDescent="0.25">
      <c r="A964">
        <f>'Team Info'!$B$3</f>
        <v>0</v>
      </c>
      <c r="B964">
        <f>'Female SR Endurance Speed'!H7</f>
        <v>3</v>
      </c>
      <c r="C964" t="str">
        <f>'Female SR Endurance Speed'!I7</f>
        <v>FTMS</v>
      </c>
      <c r="D964">
        <f>'Female SR Endurance Speed'!J7</f>
        <v>9</v>
      </c>
      <c r="E964">
        <f>'Female SR Endurance Speed'!K7</f>
        <v>0</v>
      </c>
      <c r="I964" t="str">
        <f t="shared" si="24"/>
        <v>FTMS-Female Three Minute Speed</v>
      </c>
    </row>
    <row r="965" spans="1:9" x14ac:dyDescent="0.25">
      <c r="A965">
        <f>'Team Info'!$B$3</f>
        <v>0</v>
      </c>
      <c r="B965">
        <f>'Female SR Endurance Speed'!H8</f>
        <v>4</v>
      </c>
      <c r="C965" t="str">
        <f>'Female SR Endurance Speed'!I8</f>
        <v>FTMS</v>
      </c>
      <c r="D965">
        <f>'Female SR Endurance Speed'!J8</f>
        <v>9</v>
      </c>
      <c r="E965">
        <f>'Female SR Endurance Speed'!K8</f>
        <v>0</v>
      </c>
      <c r="I965" t="str">
        <f t="shared" si="24"/>
        <v>FTMS-Female Three Minute Speed</v>
      </c>
    </row>
    <row r="966" spans="1:9" x14ac:dyDescent="0.25">
      <c r="A966">
        <f>'Team Info'!$B$3</f>
        <v>0</v>
      </c>
      <c r="B966">
        <f>'Female SR Endurance Speed'!H9</f>
        <v>5</v>
      </c>
      <c r="C966" t="str">
        <f>'Female SR Endurance Speed'!I9</f>
        <v>FTMS</v>
      </c>
      <c r="D966">
        <f>'Female SR Endurance Speed'!J9</f>
        <v>9</v>
      </c>
      <c r="E966">
        <f>'Female SR Endurance Speed'!K9</f>
        <v>0</v>
      </c>
      <c r="I966" t="str">
        <f t="shared" si="24"/>
        <v>FTMS-Female Three Minute Speed</v>
      </c>
    </row>
    <row r="967" spans="1:9" x14ac:dyDescent="0.25">
      <c r="A967">
        <f>'Team Info'!$B$3</f>
        <v>0</v>
      </c>
      <c r="B967">
        <f>'Female SR Endurance Speed'!H10</f>
        <v>6</v>
      </c>
      <c r="C967" t="str">
        <f>'Female SR Endurance Speed'!I10</f>
        <v>FTMS</v>
      </c>
      <c r="D967">
        <f>'Female SR Endurance Speed'!J10</f>
        <v>9</v>
      </c>
      <c r="E967">
        <f>'Female SR Endurance Speed'!K10</f>
        <v>0</v>
      </c>
      <c r="I967" t="str">
        <f t="shared" ref="I967:I1030" si="30">VLOOKUP(C967,EVENTS,2,FALSE)</f>
        <v>FTMS-Female Three Minute Speed</v>
      </c>
    </row>
    <row r="968" spans="1:9" x14ac:dyDescent="0.25">
      <c r="A968">
        <f>'Team Info'!$B$3</f>
        <v>0</v>
      </c>
      <c r="B968">
        <f>'Female SR Endurance Speed'!H11</f>
        <v>7</v>
      </c>
      <c r="C968" t="str">
        <f>'Female SR Endurance Speed'!I11</f>
        <v>FTMS</v>
      </c>
      <c r="D968">
        <f>'Female SR Endurance Speed'!J11</f>
        <v>9</v>
      </c>
      <c r="E968">
        <f>'Female SR Endurance Speed'!K11</f>
        <v>0</v>
      </c>
      <c r="I968" t="str">
        <f t="shared" si="30"/>
        <v>FTMS-Female Three Minute Speed</v>
      </c>
    </row>
    <row r="969" spans="1:9" x14ac:dyDescent="0.25">
      <c r="A969">
        <f>'Team Info'!$B$3</f>
        <v>0</v>
      </c>
      <c r="B969">
        <f>'Female SR Endurance Speed'!H12</f>
        <v>8</v>
      </c>
      <c r="C969" t="str">
        <f>'Female SR Endurance Speed'!I12</f>
        <v>FTMS</v>
      </c>
      <c r="D969">
        <f>'Female SR Endurance Speed'!J12</f>
        <v>9</v>
      </c>
      <c r="E969">
        <f>'Female SR Endurance Speed'!K12</f>
        <v>0</v>
      </c>
      <c r="I969" t="str">
        <f t="shared" si="30"/>
        <v>FTMS-Female Three Minute Speed</v>
      </c>
    </row>
    <row r="970" spans="1:9" x14ac:dyDescent="0.25">
      <c r="A970">
        <f>'Team Info'!$B$3</f>
        <v>0</v>
      </c>
      <c r="B970">
        <f>'Female SR Endurance Speed'!H13</f>
        <v>9</v>
      </c>
      <c r="C970" t="str">
        <f>'Female SR Endurance Speed'!I13</f>
        <v>FTMS</v>
      </c>
      <c r="D970">
        <f>'Female SR Endurance Speed'!J13</f>
        <v>9</v>
      </c>
      <c r="E970">
        <f>'Female SR Endurance Speed'!K13</f>
        <v>0</v>
      </c>
      <c r="I970" t="str">
        <f t="shared" si="30"/>
        <v>FTMS-Female Three Minute Speed</v>
      </c>
    </row>
    <row r="971" spans="1:9" x14ac:dyDescent="0.25">
      <c r="A971">
        <f>'Team Info'!$B$3</f>
        <v>0</v>
      </c>
      <c r="B971">
        <f>'Female SR Endurance Speed'!H14</f>
        <v>10</v>
      </c>
      <c r="C971" t="str">
        <f>'Female SR Endurance Speed'!I14</f>
        <v>FTMS</v>
      </c>
      <c r="D971">
        <f>'Female SR Endurance Speed'!J14</f>
        <v>9</v>
      </c>
      <c r="E971">
        <f>'Female SR Endurance Speed'!K14</f>
        <v>0</v>
      </c>
      <c r="I971" t="str">
        <f t="shared" si="30"/>
        <v>FTMS-Female Three Minute Speed</v>
      </c>
    </row>
    <row r="972" spans="1:9" x14ac:dyDescent="0.25">
      <c r="A972">
        <f>'Team Info'!$B$3</f>
        <v>0</v>
      </c>
      <c r="B972">
        <f>'Female SR Endurance Speed'!H15</f>
        <v>11</v>
      </c>
      <c r="C972" t="str">
        <f>'Female SR Endurance Speed'!I15</f>
        <v>FTMS</v>
      </c>
      <c r="D972">
        <f>'Female SR Endurance Speed'!J15</f>
        <v>9</v>
      </c>
      <c r="E972">
        <f>'Female SR Endurance Speed'!K15</f>
        <v>0</v>
      </c>
      <c r="I972" t="str">
        <f t="shared" si="30"/>
        <v>FTMS-Female Three Minute Speed</v>
      </c>
    </row>
    <row r="973" spans="1:9" x14ac:dyDescent="0.25">
      <c r="A973">
        <f>'Team Info'!$B$3</f>
        <v>0</v>
      </c>
      <c r="B973">
        <f>'Female SR Endurance Speed'!H16</f>
        <v>12</v>
      </c>
      <c r="C973" t="str">
        <f>'Female SR Endurance Speed'!I16</f>
        <v>FTMS</v>
      </c>
      <c r="D973">
        <f>'Female SR Endurance Speed'!J16</f>
        <v>9</v>
      </c>
      <c r="E973">
        <f>'Female SR Endurance Speed'!K16</f>
        <v>0</v>
      </c>
      <c r="I973" t="str">
        <f t="shared" si="30"/>
        <v>FTMS-Female Three Minute Speed</v>
      </c>
    </row>
    <row r="974" spans="1:9" x14ac:dyDescent="0.25">
      <c r="A974">
        <f>'Team Info'!$B$3</f>
        <v>0</v>
      </c>
      <c r="B974">
        <f>'Female SR Endurance Speed'!H17</f>
        <v>13</v>
      </c>
      <c r="C974" t="str">
        <f>'Female SR Endurance Speed'!I17</f>
        <v>FTMS</v>
      </c>
      <c r="D974">
        <f>'Female SR Endurance Speed'!J17</f>
        <v>9</v>
      </c>
      <c r="E974">
        <f>'Female SR Endurance Speed'!K17</f>
        <v>0</v>
      </c>
      <c r="I974" t="str">
        <f t="shared" si="30"/>
        <v>FTMS-Female Three Minute Speed</v>
      </c>
    </row>
    <row r="975" spans="1:9" x14ac:dyDescent="0.25">
      <c r="A975">
        <f>'Team Info'!$B$3</f>
        <v>0</v>
      </c>
      <c r="B975">
        <f>'Female SR Endurance Speed'!H18</f>
        <v>14</v>
      </c>
      <c r="C975" t="str">
        <f>'Female SR Endurance Speed'!I18</f>
        <v>FTMS</v>
      </c>
      <c r="D975">
        <f>'Female SR Endurance Speed'!J18</f>
        <v>9</v>
      </c>
      <c r="E975">
        <f>'Female SR Endurance Speed'!K18</f>
        <v>0</v>
      </c>
      <c r="I975" t="str">
        <f t="shared" si="30"/>
        <v>FTMS-Female Three Minute Speed</v>
      </c>
    </row>
    <row r="976" spans="1:9" x14ac:dyDescent="0.25">
      <c r="A976">
        <f>'Team Info'!$B$3</f>
        <v>0</v>
      </c>
      <c r="B976">
        <f>'Female SR Endurance Speed'!H19</f>
        <v>15</v>
      </c>
      <c r="C976" t="str">
        <f>'Female SR Endurance Speed'!I19</f>
        <v>FTMS</v>
      </c>
      <c r="D976">
        <f>'Female SR Endurance Speed'!J19</f>
        <v>9</v>
      </c>
      <c r="E976">
        <f>'Female SR Endurance Speed'!K19</f>
        <v>0</v>
      </c>
      <c r="I976" t="str">
        <f t="shared" si="30"/>
        <v>FTMS-Female Three Minute Speed</v>
      </c>
    </row>
    <row r="977" spans="1:9" x14ac:dyDescent="0.25">
      <c r="A977">
        <f>'Team Info'!$B$3</f>
        <v>0</v>
      </c>
      <c r="B977">
        <f>'Female SR Endurance Speed'!H20</f>
        <v>16</v>
      </c>
      <c r="C977" t="str">
        <f>'Female SR Endurance Speed'!I20</f>
        <v>FTMS</v>
      </c>
      <c r="D977">
        <f>'Female SR Endurance Speed'!J20</f>
        <v>9</v>
      </c>
      <c r="E977">
        <f>'Female SR Endurance Speed'!K20</f>
        <v>0</v>
      </c>
      <c r="I977" t="str">
        <f t="shared" si="30"/>
        <v>FTMS-Female Three Minute Speed</v>
      </c>
    </row>
    <row r="978" spans="1:9" x14ac:dyDescent="0.25">
      <c r="A978">
        <f>'Team Info'!$B$3</f>
        <v>0</v>
      </c>
      <c r="B978">
        <f>'Female SR Endurance Speed'!H21</f>
        <v>17</v>
      </c>
      <c r="C978" t="str">
        <f>'Female SR Endurance Speed'!I21</f>
        <v>FTMS</v>
      </c>
      <c r="D978">
        <f>'Female SR Endurance Speed'!J21</f>
        <v>9</v>
      </c>
      <c r="E978">
        <f>'Female SR Endurance Speed'!K21</f>
        <v>0</v>
      </c>
      <c r="I978" t="str">
        <f t="shared" si="30"/>
        <v>FTMS-Female Three Minute Speed</v>
      </c>
    </row>
    <row r="979" spans="1:9" x14ac:dyDescent="0.25">
      <c r="A979">
        <f>'Team Info'!$B$3</f>
        <v>0</v>
      </c>
      <c r="B979">
        <f>'Female SR Endurance Speed'!H22</f>
        <v>18</v>
      </c>
      <c r="C979" t="str">
        <f>'Female SR Endurance Speed'!I22</f>
        <v>FTMS</v>
      </c>
      <c r="D979">
        <f>'Female SR Endurance Speed'!J22</f>
        <v>9</v>
      </c>
      <c r="E979">
        <f>'Female SR Endurance Speed'!K22</f>
        <v>0</v>
      </c>
      <c r="I979" t="str">
        <f t="shared" si="30"/>
        <v>FTMS-Female Three Minute Speed</v>
      </c>
    </row>
    <row r="980" spans="1:9" x14ac:dyDescent="0.25">
      <c r="A980">
        <f>'Team Info'!$B$3</f>
        <v>0</v>
      </c>
      <c r="B980">
        <f>'Female SR Endurance Speed'!H23</f>
        <v>19</v>
      </c>
      <c r="C980" t="str">
        <f>'Female SR Endurance Speed'!I23</f>
        <v>FTMS</v>
      </c>
      <c r="D980">
        <f>'Female SR Endurance Speed'!J23</f>
        <v>9</v>
      </c>
      <c r="E980">
        <f>'Female SR Endurance Speed'!K23</f>
        <v>0</v>
      </c>
      <c r="I980" t="str">
        <f t="shared" si="30"/>
        <v>FTMS-Female Three Minute Speed</v>
      </c>
    </row>
    <row r="981" spans="1:9" x14ac:dyDescent="0.25">
      <c r="A981">
        <f>'Team Info'!$B$3</f>
        <v>0</v>
      </c>
      <c r="B981">
        <f>'Female SR Endurance Speed'!H24</f>
        <v>20</v>
      </c>
      <c r="C981" t="str">
        <f>'Female SR Endurance Speed'!I24</f>
        <v>FTMS</v>
      </c>
      <c r="D981">
        <f>'Female SR Endurance Speed'!J24</f>
        <v>9</v>
      </c>
      <c r="E981">
        <f>'Female SR Endurance Speed'!K24</f>
        <v>0</v>
      </c>
      <c r="I981" t="str">
        <f t="shared" si="30"/>
        <v>FTMS-Female Three Minute Speed</v>
      </c>
    </row>
    <row r="982" spans="1:9" x14ac:dyDescent="0.25">
      <c r="A982">
        <f>'Team Info'!$B$3</f>
        <v>0</v>
      </c>
      <c r="B982">
        <f>'Female SR Endurance Speed'!A27</f>
        <v>1</v>
      </c>
      <c r="C982" t="str">
        <f>'Female SR Endurance Speed'!B27</f>
        <v>FTMS</v>
      </c>
      <c r="D982">
        <f>'Female SR Endurance Speed'!C27</f>
        <v>10</v>
      </c>
      <c r="E982">
        <f>'Female SR Endurance Speed'!D27</f>
        <v>0</v>
      </c>
      <c r="I982" t="str">
        <f t="shared" si="30"/>
        <v>FTMS-Female Three Minute Speed</v>
      </c>
    </row>
    <row r="983" spans="1:9" x14ac:dyDescent="0.25">
      <c r="A983">
        <f>'Team Info'!$B$3</f>
        <v>0</v>
      </c>
      <c r="B983">
        <f>'Female SR Endurance Speed'!A28</f>
        <v>2</v>
      </c>
      <c r="C983" t="str">
        <f>'Female SR Endurance Speed'!B28</f>
        <v>FTMS</v>
      </c>
      <c r="D983">
        <f>'Female SR Endurance Speed'!C28</f>
        <v>10</v>
      </c>
      <c r="E983">
        <f>'Female SR Endurance Speed'!D28</f>
        <v>0</v>
      </c>
      <c r="I983" t="str">
        <f t="shared" si="30"/>
        <v>FTMS-Female Three Minute Speed</v>
      </c>
    </row>
    <row r="984" spans="1:9" x14ac:dyDescent="0.25">
      <c r="A984">
        <f>'Team Info'!$B$3</f>
        <v>0</v>
      </c>
      <c r="B984">
        <f>'Female SR Endurance Speed'!A29</f>
        <v>3</v>
      </c>
      <c r="C984" t="str">
        <f>'Female SR Endurance Speed'!B29</f>
        <v>FTMS</v>
      </c>
      <c r="D984">
        <f>'Female SR Endurance Speed'!C29</f>
        <v>10</v>
      </c>
      <c r="E984">
        <f>'Female SR Endurance Speed'!D29</f>
        <v>0</v>
      </c>
      <c r="I984" t="str">
        <f t="shared" si="30"/>
        <v>FTMS-Female Three Minute Speed</v>
      </c>
    </row>
    <row r="985" spans="1:9" x14ac:dyDescent="0.25">
      <c r="A985">
        <f>'Team Info'!$B$3</f>
        <v>0</v>
      </c>
      <c r="B985">
        <f>'Female SR Endurance Speed'!A30</f>
        <v>4</v>
      </c>
      <c r="C985" t="str">
        <f>'Female SR Endurance Speed'!B30</f>
        <v>FTMS</v>
      </c>
      <c r="D985">
        <f>'Female SR Endurance Speed'!C30</f>
        <v>10</v>
      </c>
      <c r="E985">
        <f>'Female SR Endurance Speed'!D30</f>
        <v>0</v>
      </c>
      <c r="I985" t="str">
        <f t="shared" si="30"/>
        <v>FTMS-Female Three Minute Speed</v>
      </c>
    </row>
    <row r="986" spans="1:9" x14ac:dyDescent="0.25">
      <c r="A986">
        <f>'Team Info'!$B$3</f>
        <v>0</v>
      </c>
      <c r="B986">
        <f>'Female SR Endurance Speed'!A31</f>
        <v>5</v>
      </c>
      <c r="C986" t="str">
        <f>'Female SR Endurance Speed'!B31</f>
        <v>FTMS</v>
      </c>
      <c r="D986">
        <f>'Female SR Endurance Speed'!C31</f>
        <v>10</v>
      </c>
      <c r="E986">
        <f>'Female SR Endurance Speed'!D31</f>
        <v>0</v>
      </c>
      <c r="I986" t="str">
        <f t="shared" si="30"/>
        <v>FTMS-Female Three Minute Speed</v>
      </c>
    </row>
    <row r="987" spans="1:9" x14ac:dyDescent="0.25">
      <c r="A987">
        <f>'Team Info'!$B$3</f>
        <v>0</v>
      </c>
      <c r="B987">
        <f>'Female SR Endurance Speed'!A32</f>
        <v>6</v>
      </c>
      <c r="C987" t="str">
        <f>'Female SR Endurance Speed'!B32</f>
        <v>FTMS</v>
      </c>
      <c r="D987">
        <f>'Female SR Endurance Speed'!C32</f>
        <v>10</v>
      </c>
      <c r="E987">
        <f>'Female SR Endurance Speed'!D32</f>
        <v>0</v>
      </c>
      <c r="I987" t="str">
        <f t="shared" si="30"/>
        <v>FTMS-Female Three Minute Speed</v>
      </c>
    </row>
    <row r="988" spans="1:9" x14ac:dyDescent="0.25">
      <c r="A988">
        <f>'Team Info'!$B$3</f>
        <v>0</v>
      </c>
      <c r="B988">
        <f>'Female SR Endurance Speed'!A33</f>
        <v>7</v>
      </c>
      <c r="C988" t="str">
        <f>'Female SR Endurance Speed'!B33</f>
        <v>FTMS</v>
      </c>
      <c r="D988">
        <f>'Female SR Endurance Speed'!C33</f>
        <v>10</v>
      </c>
      <c r="E988">
        <f>'Female SR Endurance Speed'!D33</f>
        <v>0</v>
      </c>
      <c r="I988" t="str">
        <f t="shared" si="30"/>
        <v>FTMS-Female Three Minute Speed</v>
      </c>
    </row>
    <row r="989" spans="1:9" x14ac:dyDescent="0.25">
      <c r="A989">
        <f>'Team Info'!$B$3</f>
        <v>0</v>
      </c>
      <c r="B989">
        <f>'Female SR Endurance Speed'!A34</f>
        <v>8</v>
      </c>
      <c r="C989" t="str">
        <f>'Female SR Endurance Speed'!B34</f>
        <v>FTMS</v>
      </c>
      <c r="D989">
        <f>'Female SR Endurance Speed'!C34</f>
        <v>10</v>
      </c>
      <c r="E989">
        <f>'Female SR Endurance Speed'!D34</f>
        <v>0</v>
      </c>
      <c r="I989" t="str">
        <f t="shared" si="30"/>
        <v>FTMS-Female Three Minute Speed</v>
      </c>
    </row>
    <row r="990" spans="1:9" x14ac:dyDescent="0.25">
      <c r="A990">
        <f>'Team Info'!$B$3</f>
        <v>0</v>
      </c>
      <c r="B990">
        <f>'Female SR Endurance Speed'!A35</f>
        <v>9</v>
      </c>
      <c r="C990" t="str">
        <f>'Female SR Endurance Speed'!B35</f>
        <v>FTMS</v>
      </c>
      <c r="D990">
        <f>'Female SR Endurance Speed'!C35</f>
        <v>10</v>
      </c>
      <c r="E990">
        <f>'Female SR Endurance Speed'!D35</f>
        <v>0</v>
      </c>
      <c r="I990" t="str">
        <f t="shared" si="30"/>
        <v>FTMS-Female Three Minute Speed</v>
      </c>
    </row>
    <row r="991" spans="1:9" x14ac:dyDescent="0.25">
      <c r="A991">
        <f>'Team Info'!$B$3</f>
        <v>0</v>
      </c>
      <c r="B991">
        <f>'Female SR Endurance Speed'!A36</f>
        <v>10</v>
      </c>
      <c r="C991" t="str">
        <f>'Female SR Endurance Speed'!B36</f>
        <v>FTMS</v>
      </c>
      <c r="D991">
        <f>'Female SR Endurance Speed'!C36</f>
        <v>10</v>
      </c>
      <c r="E991">
        <f>'Female SR Endurance Speed'!D36</f>
        <v>0</v>
      </c>
      <c r="I991" t="str">
        <f t="shared" si="30"/>
        <v>FTMS-Female Three Minute Speed</v>
      </c>
    </row>
    <row r="992" spans="1:9" x14ac:dyDescent="0.25">
      <c r="A992">
        <f>'Team Info'!$B$3</f>
        <v>0</v>
      </c>
      <c r="B992">
        <f>'Female SR Endurance Speed'!A37</f>
        <v>11</v>
      </c>
      <c r="C992" t="str">
        <f>'Female SR Endurance Speed'!B37</f>
        <v>FTMS</v>
      </c>
      <c r="D992">
        <f>'Female SR Endurance Speed'!C37</f>
        <v>10</v>
      </c>
      <c r="E992">
        <f>'Female SR Endurance Speed'!D37</f>
        <v>0</v>
      </c>
      <c r="I992" t="str">
        <f t="shared" si="30"/>
        <v>FTMS-Female Three Minute Speed</v>
      </c>
    </row>
    <row r="993" spans="1:9" x14ac:dyDescent="0.25">
      <c r="A993">
        <f>'Team Info'!$B$3</f>
        <v>0</v>
      </c>
      <c r="B993">
        <f>'Female SR Endurance Speed'!A38</f>
        <v>12</v>
      </c>
      <c r="C993" t="str">
        <f>'Female SR Endurance Speed'!B38</f>
        <v>FTMS</v>
      </c>
      <c r="D993">
        <f>'Female SR Endurance Speed'!C38</f>
        <v>10</v>
      </c>
      <c r="E993">
        <f>'Female SR Endurance Speed'!D38</f>
        <v>0</v>
      </c>
      <c r="I993" t="str">
        <f t="shared" si="30"/>
        <v>FTMS-Female Three Minute Speed</v>
      </c>
    </row>
    <row r="994" spans="1:9" x14ac:dyDescent="0.25">
      <c r="A994">
        <f>'Team Info'!$B$3</f>
        <v>0</v>
      </c>
      <c r="B994">
        <f>'Female SR Endurance Speed'!A39</f>
        <v>13</v>
      </c>
      <c r="C994" t="str">
        <f>'Female SR Endurance Speed'!B39</f>
        <v>FTMS</v>
      </c>
      <c r="D994">
        <f>'Female SR Endurance Speed'!C39</f>
        <v>10</v>
      </c>
      <c r="E994">
        <f>'Female SR Endurance Speed'!D39</f>
        <v>0</v>
      </c>
      <c r="I994" t="str">
        <f t="shared" si="30"/>
        <v>FTMS-Female Three Minute Speed</v>
      </c>
    </row>
    <row r="995" spans="1:9" x14ac:dyDescent="0.25">
      <c r="A995">
        <f>'Team Info'!$B$3</f>
        <v>0</v>
      </c>
      <c r="B995">
        <f>'Female SR Endurance Speed'!A40</f>
        <v>14</v>
      </c>
      <c r="C995" t="str">
        <f>'Female SR Endurance Speed'!B40</f>
        <v>FTMS</v>
      </c>
      <c r="D995">
        <f>'Female SR Endurance Speed'!C40</f>
        <v>10</v>
      </c>
      <c r="E995">
        <f>'Female SR Endurance Speed'!D40</f>
        <v>0</v>
      </c>
      <c r="I995" t="str">
        <f t="shared" si="30"/>
        <v>FTMS-Female Three Minute Speed</v>
      </c>
    </row>
    <row r="996" spans="1:9" x14ac:dyDescent="0.25">
      <c r="A996">
        <f>'Team Info'!$B$3</f>
        <v>0</v>
      </c>
      <c r="B996">
        <f>'Female SR Endurance Speed'!A41</f>
        <v>15</v>
      </c>
      <c r="C996" t="str">
        <f>'Female SR Endurance Speed'!B41</f>
        <v>FTMS</v>
      </c>
      <c r="D996">
        <f>'Female SR Endurance Speed'!C41</f>
        <v>10</v>
      </c>
      <c r="E996">
        <f>'Female SR Endurance Speed'!D41</f>
        <v>0</v>
      </c>
      <c r="I996" t="str">
        <f t="shared" si="30"/>
        <v>FTMS-Female Three Minute Speed</v>
      </c>
    </row>
    <row r="997" spans="1:9" x14ac:dyDescent="0.25">
      <c r="A997">
        <f>'Team Info'!$B$3</f>
        <v>0</v>
      </c>
      <c r="B997">
        <f>'Female SR Endurance Speed'!A42</f>
        <v>16</v>
      </c>
      <c r="C997" t="str">
        <f>'Female SR Endurance Speed'!B42</f>
        <v>FTMS</v>
      </c>
      <c r="D997">
        <f>'Female SR Endurance Speed'!C42</f>
        <v>10</v>
      </c>
      <c r="E997">
        <f>'Female SR Endurance Speed'!D42</f>
        <v>0</v>
      </c>
      <c r="I997" t="str">
        <f t="shared" si="30"/>
        <v>FTMS-Female Three Minute Speed</v>
      </c>
    </row>
    <row r="998" spans="1:9" x14ac:dyDescent="0.25">
      <c r="A998">
        <f>'Team Info'!$B$3</f>
        <v>0</v>
      </c>
      <c r="B998">
        <f>'Female SR Endurance Speed'!A43</f>
        <v>17</v>
      </c>
      <c r="C998" t="str">
        <f>'Female SR Endurance Speed'!B43</f>
        <v>FTMS</v>
      </c>
      <c r="D998">
        <f>'Female SR Endurance Speed'!C43</f>
        <v>10</v>
      </c>
      <c r="E998">
        <f>'Female SR Endurance Speed'!D43</f>
        <v>0</v>
      </c>
      <c r="I998" t="str">
        <f t="shared" si="30"/>
        <v>FTMS-Female Three Minute Speed</v>
      </c>
    </row>
    <row r="999" spans="1:9" x14ac:dyDescent="0.25">
      <c r="A999">
        <f>'Team Info'!$B$3</f>
        <v>0</v>
      </c>
      <c r="B999">
        <f>'Female SR Endurance Speed'!A44</f>
        <v>18</v>
      </c>
      <c r="C999" t="str">
        <f>'Female SR Endurance Speed'!B44</f>
        <v>FTMS</v>
      </c>
      <c r="D999">
        <f>'Female SR Endurance Speed'!C44</f>
        <v>10</v>
      </c>
      <c r="E999">
        <f>'Female SR Endurance Speed'!D44</f>
        <v>0</v>
      </c>
      <c r="I999" t="str">
        <f t="shared" si="30"/>
        <v>FTMS-Female Three Minute Speed</v>
      </c>
    </row>
    <row r="1000" spans="1:9" x14ac:dyDescent="0.25">
      <c r="A1000">
        <f>'Team Info'!$B$3</f>
        <v>0</v>
      </c>
      <c r="B1000">
        <f>'Female SR Endurance Speed'!A45</f>
        <v>19</v>
      </c>
      <c r="C1000" t="str">
        <f>'Female SR Endurance Speed'!B45</f>
        <v>FTMS</v>
      </c>
      <c r="D1000">
        <f>'Female SR Endurance Speed'!C45</f>
        <v>10</v>
      </c>
      <c r="E1000">
        <f>'Female SR Endurance Speed'!D45</f>
        <v>0</v>
      </c>
      <c r="I1000" t="str">
        <f t="shared" si="30"/>
        <v>FTMS-Female Three Minute Speed</v>
      </c>
    </row>
    <row r="1001" spans="1:9" x14ac:dyDescent="0.25">
      <c r="A1001">
        <f>'Team Info'!$B$3</f>
        <v>0</v>
      </c>
      <c r="B1001">
        <f>'Female SR Endurance Speed'!A46</f>
        <v>20</v>
      </c>
      <c r="C1001" t="str">
        <f>'Female SR Endurance Speed'!B46</f>
        <v>FTMS</v>
      </c>
      <c r="D1001">
        <f>'Female SR Endurance Speed'!C46</f>
        <v>10</v>
      </c>
      <c r="E1001">
        <f>'Female SR Endurance Speed'!D46</f>
        <v>0</v>
      </c>
      <c r="I1001" t="str">
        <f t="shared" si="30"/>
        <v>FTMS-Female Three Minute Speed</v>
      </c>
    </row>
    <row r="1002" spans="1:9" x14ac:dyDescent="0.25">
      <c r="A1002">
        <f>'Team Info'!$B$3</f>
        <v>0</v>
      </c>
      <c r="B1002">
        <f>'Female SR Endurance Speed'!H27</f>
        <v>1</v>
      </c>
      <c r="C1002" t="str">
        <f>'Female SR Endurance Speed'!I27</f>
        <v>FTMS</v>
      </c>
      <c r="D1002">
        <f>'Female SR Endurance Speed'!J27</f>
        <v>11</v>
      </c>
      <c r="E1002">
        <f>'Female SR Endurance Speed'!K27</f>
        <v>0</v>
      </c>
      <c r="I1002" t="str">
        <f t="shared" si="30"/>
        <v>FTMS-Female Three Minute Speed</v>
      </c>
    </row>
    <row r="1003" spans="1:9" x14ac:dyDescent="0.25">
      <c r="A1003">
        <f>'Team Info'!$B$3</f>
        <v>0</v>
      </c>
      <c r="B1003">
        <f>'Female SR Endurance Speed'!H28</f>
        <v>2</v>
      </c>
      <c r="C1003" t="str">
        <f>'Female SR Endurance Speed'!I28</f>
        <v>FTMS</v>
      </c>
      <c r="D1003">
        <f>'Female SR Endurance Speed'!J28</f>
        <v>11</v>
      </c>
      <c r="E1003">
        <f>'Female SR Endurance Speed'!K28</f>
        <v>0</v>
      </c>
      <c r="I1003" t="str">
        <f t="shared" si="30"/>
        <v>FTMS-Female Three Minute Speed</v>
      </c>
    </row>
    <row r="1004" spans="1:9" x14ac:dyDescent="0.25">
      <c r="A1004">
        <f>'Team Info'!$B$3</f>
        <v>0</v>
      </c>
      <c r="B1004">
        <f>'Female SR Endurance Speed'!H29</f>
        <v>3</v>
      </c>
      <c r="C1004" t="str">
        <f>'Female SR Endurance Speed'!I29</f>
        <v>FTMS</v>
      </c>
      <c r="D1004">
        <f>'Female SR Endurance Speed'!J29</f>
        <v>11</v>
      </c>
      <c r="E1004">
        <f>'Female SR Endurance Speed'!K29</f>
        <v>0</v>
      </c>
      <c r="I1004" t="str">
        <f t="shared" si="30"/>
        <v>FTMS-Female Three Minute Speed</v>
      </c>
    </row>
    <row r="1005" spans="1:9" x14ac:dyDescent="0.25">
      <c r="A1005">
        <f>'Team Info'!$B$3</f>
        <v>0</v>
      </c>
      <c r="B1005">
        <f>'Female SR Endurance Speed'!H30</f>
        <v>4</v>
      </c>
      <c r="C1005" t="str">
        <f>'Female SR Endurance Speed'!I30</f>
        <v>FTMS</v>
      </c>
      <c r="D1005">
        <f>'Female SR Endurance Speed'!J30</f>
        <v>11</v>
      </c>
      <c r="E1005">
        <f>'Female SR Endurance Speed'!K30</f>
        <v>0</v>
      </c>
      <c r="I1005" t="str">
        <f t="shared" si="30"/>
        <v>FTMS-Female Three Minute Speed</v>
      </c>
    </row>
    <row r="1006" spans="1:9" x14ac:dyDescent="0.25">
      <c r="A1006">
        <f>'Team Info'!$B$3</f>
        <v>0</v>
      </c>
      <c r="B1006">
        <f>'Female SR Endurance Speed'!H31</f>
        <v>5</v>
      </c>
      <c r="C1006" t="str">
        <f>'Female SR Endurance Speed'!I31</f>
        <v>FTMS</v>
      </c>
      <c r="D1006">
        <f>'Female SR Endurance Speed'!J31</f>
        <v>11</v>
      </c>
      <c r="E1006">
        <f>'Female SR Endurance Speed'!K31</f>
        <v>0</v>
      </c>
      <c r="I1006" t="str">
        <f t="shared" si="30"/>
        <v>FTMS-Female Three Minute Speed</v>
      </c>
    </row>
    <row r="1007" spans="1:9" x14ac:dyDescent="0.25">
      <c r="A1007">
        <f>'Team Info'!$B$3</f>
        <v>0</v>
      </c>
      <c r="B1007">
        <f>'Female SR Endurance Speed'!H32</f>
        <v>6</v>
      </c>
      <c r="C1007" t="str">
        <f>'Female SR Endurance Speed'!I32</f>
        <v>FTMS</v>
      </c>
      <c r="D1007">
        <f>'Female SR Endurance Speed'!J32</f>
        <v>11</v>
      </c>
      <c r="E1007">
        <f>'Female SR Endurance Speed'!K32</f>
        <v>0</v>
      </c>
      <c r="I1007" t="str">
        <f t="shared" si="30"/>
        <v>FTMS-Female Three Minute Speed</v>
      </c>
    </row>
    <row r="1008" spans="1:9" x14ac:dyDescent="0.25">
      <c r="A1008">
        <f>'Team Info'!$B$3</f>
        <v>0</v>
      </c>
      <c r="B1008">
        <f>'Female SR Endurance Speed'!H33</f>
        <v>7</v>
      </c>
      <c r="C1008" t="str">
        <f>'Female SR Endurance Speed'!I33</f>
        <v>FTMS</v>
      </c>
      <c r="D1008">
        <f>'Female SR Endurance Speed'!J33</f>
        <v>11</v>
      </c>
      <c r="E1008">
        <f>'Female SR Endurance Speed'!K33</f>
        <v>0</v>
      </c>
      <c r="I1008" t="str">
        <f t="shared" si="30"/>
        <v>FTMS-Female Three Minute Speed</v>
      </c>
    </row>
    <row r="1009" spans="1:9" x14ac:dyDescent="0.25">
      <c r="A1009">
        <f>'Team Info'!$B$3</f>
        <v>0</v>
      </c>
      <c r="B1009">
        <f>'Female SR Endurance Speed'!H34</f>
        <v>8</v>
      </c>
      <c r="C1009" t="str">
        <f>'Female SR Endurance Speed'!I34</f>
        <v>FTMS</v>
      </c>
      <c r="D1009">
        <f>'Female SR Endurance Speed'!J34</f>
        <v>11</v>
      </c>
      <c r="E1009">
        <f>'Female SR Endurance Speed'!K34</f>
        <v>0</v>
      </c>
      <c r="I1009" t="str">
        <f t="shared" si="30"/>
        <v>FTMS-Female Three Minute Speed</v>
      </c>
    </row>
    <row r="1010" spans="1:9" x14ac:dyDescent="0.25">
      <c r="A1010">
        <f>'Team Info'!$B$3</f>
        <v>0</v>
      </c>
      <c r="B1010">
        <f>'Female SR Endurance Speed'!H35</f>
        <v>9</v>
      </c>
      <c r="C1010" t="str">
        <f>'Female SR Endurance Speed'!I35</f>
        <v>FTMS</v>
      </c>
      <c r="D1010">
        <f>'Female SR Endurance Speed'!J35</f>
        <v>11</v>
      </c>
      <c r="E1010">
        <f>'Female SR Endurance Speed'!K35</f>
        <v>0</v>
      </c>
      <c r="I1010" t="str">
        <f t="shared" si="30"/>
        <v>FTMS-Female Three Minute Speed</v>
      </c>
    </row>
    <row r="1011" spans="1:9" x14ac:dyDescent="0.25">
      <c r="A1011">
        <f>'Team Info'!$B$3</f>
        <v>0</v>
      </c>
      <c r="B1011">
        <f>'Female SR Endurance Speed'!H36</f>
        <v>10</v>
      </c>
      <c r="C1011" t="str">
        <f>'Female SR Endurance Speed'!I36</f>
        <v>FTMS</v>
      </c>
      <c r="D1011">
        <f>'Female SR Endurance Speed'!J36</f>
        <v>11</v>
      </c>
      <c r="E1011">
        <f>'Female SR Endurance Speed'!K36</f>
        <v>0</v>
      </c>
      <c r="I1011" t="str">
        <f t="shared" si="30"/>
        <v>FTMS-Female Three Minute Speed</v>
      </c>
    </row>
    <row r="1012" spans="1:9" x14ac:dyDescent="0.25">
      <c r="A1012">
        <f>'Team Info'!$B$3</f>
        <v>0</v>
      </c>
      <c r="B1012">
        <f>'Female SR Endurance Speed'!H37</f>
        <v>11</v>
      </c>
      <c r="C1012" t="str">
        <f>'Female SR Endurance Speed'!I37</f>
        <v>FTMS</v>
      </c>
      <c r="D1012">
        <f>'Female SR Endurance Speed'!J37</f>
        <v>11</v>
      </c>
      <c r="E1012">
        <f>'Female SR Endurance Speed'!K37</f>
        <v>0</v>
      </c>
      <c r="I1012" t="str">
        <f t="shared" si="30"/>
        <v>FTMS-Female Three Minute Speed</v>
      </c>
    </row>
    <row r="1013" spans="1:9" x14ac:dyDescent="0.25">
      <c r="A1013">
        <f>'Team Info'!$B$3</f>
        <v>0</v>
      </c>
      <c r="B1013">
        <f>'Female SR Endurance Speed'!H38</f>
        <v>12</v>
      </c>
      <c r="C1013" t="str">
        <f>'Female SR Endurance Speed'!I38</f>
        <v>FTMS</v>
      </c>
      <c r="D1013">
        <f>'Female SR Endurance Speed'!J38</f>
        <v>11</v>
      </c>
      <c r="E1013">
        <f>'Female SR Endurance Speed'!K38</f>
        <v>0</v>
      </c>
      <c r="I1013" t="str">
        <f t="shared" si="30"/>
        <v>FTMS-Female Three Minute Speed</v>
      </c>
    </row>
    <row r="1014" spans="1:9" x14ac:dyDescent="0.25">
      <c r="A1014">
        <f>'Team Info'!$B$3</f>
        <v>0</v>
      </c>
      <c r="B1014">
        <f>'Female SR Endurance Speed'!H39</f>
        <v>13</v>
      </c>
      <c r="C1014" t="str">
        <f>'Female SR Endurance Speed'!I39</f>
        <v>FTMS</v>
      </c>
      <c r="D1014">
        <f>'Female SR Endurance Speed'!J39</f>
        <v>11</v>
      </c>
      <c r="E1014">
        <f>'Female SR Endurance Speed'!K39</f>
        <v>0</v>
      </c>
      <c r="I1014" t="str">
        <f t="shared" si="30"/>
        <v>FTMS-Female Three Minute Speed</v>
      </c>
    </row>
    <row r="1015" spans="1:9" x14ac:dyDescent="0.25">
      <c r="A1015">
        <f>'Team Info'!$B$3</f>
        <v>0</v>
      </c>
      <c r="B1015">
        <f>'Female SR Endurance Speed'!H40</f>
        <v>14</v>
      </c>
      <c r="C1015" t="str">
        <f>'Female SR Endurance Speed'!I40</f>
        <v>FTMS</v>
      </c>
      <c r="D1015">
        <f>'Female SR Endurance Speed'!J40</f>
        <v>11</v>
      </c>
      <c r="E1015">
        <f>'Female SR Endurance Speed'!K40</f>
        <v>0</v>
      </c>
      <c r="I1015" t="str">
        <f t="shared" si="30"/>
        <v>FTMS-Female Three Minute Speed</v>
      </c>
    </row>
    <row r="1016" spans="1:9" x14ac:dyDescent="0.25">
      <c r="A1016">
        <f>'Team Info'!$B$3</f>
        <v>0</v>
      </c>
      <c r="B1016">
        <f>'Female SR Endurance Speed'!H41</f>
        <v>15</v>
      </c>
      <c r="C1016" t="str">
        <f>'Female SR Endurance Speed'!I41</f>
        <v>FTMS</v>
      </c>
      <c r="D1016">
        <f>'Female SR Endurance Speed'!J41</f>
        <v>11</v>
      </c>
      <c r="E1016">
        <f>'Female SR Endurance Speed'!K41</f>
        <v>0</v>
      </c>
      <c r="I1016" t="str">
        <f t="shared" si="30"/>
        <v>FTMS-Female Three Minute Speed</v>
      </c>
    </row>
    <row r="1017" spans="1:9" x14ac:dyDescent="0.25">
      <c r="A1017">
        <f>'Team Info'!$B$3</f>
        <v>0</v>
      </c>
      <c r="B1017">
        <f>'Female SR Endurance Speed'!H42</f>
        <v>16</v>
      </c>
      <c r="C1017" t="str">
        <f>'Female SR Endurance Speed'!I42</f>
        <v>FTMS</v>
      </c>
      <c r="D1017">
        <f>'Female SR Endurance Speed'!J42</f>
        <v>11</v>
      </c>
      <c r="E1017">
        <f>'Female SR Endurance Speed'!K42</f>
        <v>0</v>
      </c>
      <c r="I1017" t="str">
        <f t="shared" si="30"/>
        <v>FTMS-Female Three Minute Speed</v>
      </c>
    </row>
    <row r="1018" spans="1:9" x14ac:dyDescent="0.25">
      <c r="A1018">
        <f>'Team Info'!$B$3</f>
        <v>0</v>
      </c>
      <c r="B1018">
        <f>'Female SR Endurance Speed'!H43</f>
        <v>17</v>
      </c>
      <c r="C1018" t="str">
        <f>'Female SR Endurance Speed'!I43</f>
        <v>FTMS</v>
      </c>
      <c r="D1018">
        <f>'Female SR Endurance Speed'!J43</f>
        <v>11</v>
      </c>
      <c r="E1018">
        <f>'Female SR Endurance Speed'!K43</f>
        <v>0</v>
      </c>
      <c r="I1018" t="str">
        <f t="shared" si="30"/>
        <v>FTMS-Female Three Minute Speed</v>
      </c>
    </row>
    <row r="1019" spans="1:9" x14ac:dyDescent="0.25">
      <c r="A1019">
        <f>'Team Info'!$B$3</f>
        <v>0</v>
      </c>
      <c r="B1019">
        <f>'Female SR Endurance Speed'!H44</f>
        <v>18</v>
      </c>
      <c r="C1019" t="str">
        <f>'Female SR Endurance Speed'!I44</f>
        <v>FTMS</v>
      </c>
      <c r="D1019">
        <f>'Female SR Endurance Speed'!J44</f>
        <v>11</v>
      </c>
      <c r="E1019">
        <f>'Female SR Endurance Speed'!K44</f>
        <v>0</v>
      </c>
      <c r="I1019" t="str">
        <f t="shared" si="30"/>
        <v>FTMS-Female Three Minute Speed</v>
      </c>
    </row>
    <row r="1020" spans="1:9" x14ac:dyDescent="0.25">
      <c r="A1020">
        <f>'Team Info'!$B$3</f>
        <v>0</v>
      </c>
      <c r="B1020">
        <f>'Female SR Endurance Speed'!H45</f>
        <v>19</v>
      </c>
      <c r="C1020" t="str">
        <f>'Female SR Endurance Speed'!I45</f>
        <v>FTMS</v>
      </c>
      <c r="D1020">
        <f>'Female SR Endurance Speed'!J45</f>
        <v>11</v>
      </c>
      <c r="E1020">
        <f>'Female SR Endurance Speed'!K45</f>
        <v>0</v>
      </c>
      <c r="I1020" t="str">
        <f t="shared" si="30"/>
        <v>FTMS-Female Three Minute Speed</v>
      </c>
    </row>
    <row r="1021" spans="1:9" x14ac:dyDescent="0.25">
      <c r="A1021">
        <f>'Team Info'!$B$3</f>
        <v>0</v>
      </c>
      <c r="B1021">
        <f>'Female SR Endurance Speed'!H46</f>
        <v>20</v>
      </c>
      <c r="C1021" t="str">
        <f>'Female SR Endurance Speed'!I46</f>
        <v>FTMS</v>
      </c>
      <c r="D1021">
        <f>'Female SR Endurance Speed'!J46</f>
        <v>11</v>
      </c>
      <c r="E1021">
        <f>'Female SR Endurance Speed'!K46</f>
        <v>0</v>
      </c>
      <c r="I1021" t="str">
        <f t="shared" si="30"/>
        <v>FTMS-Female Three Minute Speed</v>
      </c>
    </row>
    <row r="1022" spans="1:9" x14ac:dyDescent="0.25">
      <c r="A1022">
        <f>'Team Info'!$B$3</f>
        <v>0</v>
      </c>
      <c r="B1022">
        <f>'Female SR Endurance Speed'!A49</f>
        <v>1</v>
      </c>
      <c r="C1022" t="str">
        <f>'Female SR Endurance Speed'!B49</f>
        <v>FTMS</v>
      </c>
      <c r="D1022">
        <f>'Female SR Endurance Speed'!C49</f>
        <v>12</v>
      </c>
      <c r="E1022">
        <f>'Female SR Endurance Speed'!D49</f>
        <v>0</v>
      </c>
      <c r="I1022" t="str">
        <f t="shared" si="30"/>
        <v>FTMS-Female Three Minute Speed</v>
      </c>
    </row>
    <row r="1023" spans="1:9" x14ac:dyDescent="0.25">
      <c r="A1023">
        <f>'Team Info'!$B$3</f>
        <v>0</v>
      </c>
      <c r="B1023">
        <f>'Female SR Endurance Speed'!A50</f>
        <v>2</v>
      </c>
      <c r="C1023" t="str">
        <f>'Female SR Endurance Speed'!B50</f>
        <v>FTMS</v>
      </c>
      <c r="D1023">
        <f>'Female SR Endurance Speed'!C50</f>
        <v>12</v>
      </c>
      <c r="E1023">
        <f>'Female SR Endurance Speed'!D50</f>
        <v>0</v>
      </c>
      <c r="I1023" t="str">
        <f t="shared" si="30"/>
        <v>FTMS-Female Three Minute Speed</v>
      </c>
    </row>
    <row r="1024" spans="1:9" x14ac:dyDescent="0.25">
      <c r="A1024">
        <f>'Team Info'!$B$3</f>
        <v>0</v>
      </c>
      <c r="B1024">
        <f>'Female SR Endurance Speed'!A51</f>
        <v>3</v>
      </c>
      <c r="C1024" t="str">
        <f>'Female SR Endurance Speed'!B51</f>
        <v>FTMS</v>
      </c>
      <c r="D1024">
        <f>'Female SR Endurance Speed'!C51</f>
        <v>12</v>
      </c>
      <c r="E1024">
        <f>'Female SR Endurance Speed'!D51</f>
        <v>0</v>
      </c>
      <c r="I1024" t="str">
        <f t="shared" si="30"/>
        <v>FTMS-Female Three Minute Speed</v>
      </c>
    </row>
    <row r="1025" spans="1:9" x14ac:dyDescent="0.25">
      <c r="A1025">
        <f>'Team Info'!$B$3</f>
        <v>0</v>
      </c>
      <c r="B1025">
        <f>'Female SR Endurance Speed'!A52</f>
        <v>4</v>
      </c>
      <c r="C1025" t="str">
        <f>'Female SR Endurance Speed'!B52</f>
        <v>FTMS</v>
      </c>
      <c r="D1025">
        <f>'Female SR Endurance Speed'!C52</f>
        <v>12</v>
      </c>
      <c r="E1025">
        <f>'Female SR Endurance Speed'!D52</f>
        <v>0</v>
      </c>
      <c r="I1025" t="str">
        <f t="shared" si="30"/>
        <v>FTMS-Female Three Minute Speed</v>
      </c>
    </row>
    <row r="1026" spans="1:9" x14ac:dyDescent="0.25">
      <c r="A1026">
        <f>'Team Info'!$B$3</f>
        <v>0</v>
      </c>
      <c r="B1026">
        <f>'Female SR Endurance Speed'!A53</f>
        <v>5</v>
      </c>
      <c r="C1026" t="str">
        <f>'Female SR Endurance Speed'!B53</f>
        <v>FTMS</v>
      </c>
      <c r="D1026">
        <f>'Female SR Endurance Speed'!C53</f>
        <v>12</v>
      </c>
      <c r="E1026">
        <f>'Female SR Endurance Speed'!D53</f>
        <v>0</v>
      </c>
      <c r="I1026" t="str">
        <f t="shared" si="30"/>
        <v>FTMS-Female Three Minute Speed</v>
      </c>
    </row>
    <row r="1027" spans="1:9" x14ac:dyDescent="0.25">
      <c r="A1027">
        <f>'Team Info'!$B$3</f>
        <v>0</v>
      </c>
      <c r="B1027">
        <f>'Female SR Endurance Speed'!A54</f>
        <v>6</v>
      </c>
      <c r="C1027" t="str">
        <f>'Female SR Endurance Speed'!B54</f>
        <v>FTMS</v>
      </c>
      <c r="D1027">
        <f>'Female SR Endurance Speed'!C54</f>
        <v>12</v>
      </c>
      <c r="E1027">
        <f>'Female SR Endurance Speed'!D54</f>
        <v>0</v>
      </c>
      <c r="I1027" t="str">
        <f t="shared" si="30"/>
        <v>FTMS-Female Three Minute Speed</v>
      </c>
    </row>
    <row r="1028" spans="1:9" x14ac:dyDescent="0.25">
      <c r="A1028">
        <f>'Team Info'!$B$3</f>
        <v>0</v>
      </c>
      <c r="B1028">
        <f>'Female SR Endurance Speed'!A55</f>
        <v>7</v>
      </c>
      <c r="C1028" t="str">
        <f>'Female SR Endurance Speed'!B55</f>
        <v>FTMS</v>
      </c>
      <c r="D1028">
        <f>'Female SR Endurance Speed'!C55</f>
        <v>12</v>
      </c>
      <c r="E1028">
        <f>'Female SR Endurance Speed'!D55</f>
        <v>0</v>
      </c>
      <c r="I1028" t="str">
        <f t="shared" si="30"/>
        <v>FTMS-Female Three Minute Speed</v>
      </c>
    </row>
    <row r="1029" spans="1:9" x14ac:dyDescent="0.25">
      <c r="A1029">
        <f>'Team Info'!$B$3</f>
        <v>0</v>
      </c>
      <c r="B1029">
        <f>'Female SR Endurance Speed'!A56</f>
        <v>8</v>
      </c>
      <c r="C1029" t="str">
        <f>'Female SR Endurance Speed'!B56</f>
        <v>FTMS</v>
      </c>
      <c r="D1029">
        <f>'Female SR Endurance Speed'!C56</f>
        <v>12</v>
      </c>
      <c r="E1029">
        <f>'Female SR Endurance Speed'!D56</f>
        <v>0</v>
      </c>
      <c r="I1029" t="str">
        <f t="shared" si="30"/>
        <v>FTMS-Female Three Minute Speed</v>
      </c>
    </row>
    <row r="1030" spans="1:9" x14ac:dyDescent="0.25">
      <c r="A1030">
        <f>'Team Info'!$B$3</f>
        <v>0</v>
      </c>
      <c r="B1030">
        <f>'Female SR Endurance Speed'!A57</f>
        <v>9</v>
      </c>
      <c r="C1030" t="str">
        <f>'Female SR Endurance Speed'!B57</f>
        <v>FTMS</v>
      </c>
      <c r="D1030">
        <f>'Female SR Endurance Speed'!C57</f>
        <v>12</v>
      </c>
      <c r="E1030">
        <f>'Female SR Endurance Speed'!D57</f>
        <v>0</v>
      </c>
      <c r="I1030" t="str">
        <f t="shared" si="30"/>
        <v>FTMS-Female Three Minute Speed</v>
      </c>
    </row>
    <row r="1031" spans="1:9" x14ac:dyDescent="0.25">
      <c r="A1031">
        <f>'Team Info'!$B$3</f>
        <v>0</v>
      </c>
      <c r="B1031">
        <f>'Female SR Endurance Speed'!A58</f>
        <v>10</v>
      </c>
      <c r="C1031" t="str">
        <f>'Female SR Endurance Speed'!B58</f>
        <v>FTMS</v>
      </c>
      <c r="D1031">
        <f>'Female SR Endurance Speed'!C58</f>
        <v>12</v>
      </c>
      <c r="E1031">
        <f>'Female SR Endurance Speed'!D58</f>
        <v>0</v>
      </c>
      <c r="I1031" t="str">
        <f t="shared" ref="I1031:I1094" si="31">VLOOKUP(C1031,EVENTS,2,FALSE)</f>
        <v>FTMS-Female Three Minute Speed</v>
      </c>
    </row>
    <row r="1032" spans="1:9" x14ac:dyDescent="0.25">
      <c r="A1032">
        <f>'Team Info'!$B$3</f>
        <v>0</v>
      </c>
      <c r="B1032">
        <f>'Female SR Endurance Speed'!A59</f>
        <v>11</v>
      </c>
      <c r="C1032" t="str">
        <f>'Female SR Endurance Speed'!B59</f>
        <v>FTMS</v>
      </c>
      <c r="D1032">
        <f>'Female SR Endurance Speed'!C59</f>
        <v>12</v>
      </c>
      <c r="E1032">
        <f>'Female SR Endurance Speed'!D59</f>
        <v>0</v>
      </c>
      <c r="I1032" t="str">
        <f t="shared" si="31"/>
        <v>FTMS-Female Three Minute Speed</v>
      </c>
    </row>
    <row r="1033" spans="1:9" x14ac:dyDescent="0.25">
      <c r="A1033">
        <f>'Team Info'!$B$3</f>
        <v>0</v>
      </c>
      <c r="B1033">
        <f>'Female SR Endurance Speed'!A60</f>
        <v>12</v>
      </c>
      <c r="C1033" t="str">
        <f>'Female SR Endurance Speed'!B60</f>
        <v>FTMS</v>
      </c>
      <c r="D1033">
        <f>'Female SR Endurance Speed'!C60</f>
        <v>12</v>
      </c>
      <c r="E1033">
        <f>'Female SR Endurance Speed'!D60</f>
        <v>0</v>
      </c>
      <c r="I1033" t="str">
        <f t="shared" si="31"/>
        <v>FTMS-Female Three Minute Speed</v>
      </c>
    </row>
    <row r="1034" spans="1:9" x14ac:dyDescent="0.25">
      <c r="A1034">
        <f>'Team Info'!$B$3</f>
        <v>0</v>
      </c>
      <c r="B1034">
        <f>'Female SR Endurance Speed'!A61</f>
        <v>13</v>
      </c>
      <c r="C1034" t="str">
        <f>'Female SR Endurance Speed'!B61</f>
        <v>FTMS</v>
      </c>
      <c r="D1034">
        <f>'Female SR Endurance Speed'!C61</f>
        <v>12</v>
      </c>
      <c r="E1034">
        <f>'Female SR Endurance Speed'!D61</f>
        <v>0</v>
      </c>
      <c r="I1034" t="str">
        <f t="shared" si="31"/>
        <v>FTMS-Female Three Minute Speed</v>
      </c>
    </row>
    <row r="1035" spans="1:9" x14ac:dyDescent="0.25">
      <c r="A1035">
        <f>'Team Info'!$B$3</f>
        <v>0</v>
      </c>
      <c r="B1035">
        <f>'Female SR Endurance Speed'!A62</f>
        <v>14</v>
      </c>
      <c r="C1035" t="str">
        <f>'Female SR Endurance Speed'!B62</f>
        <v>FTMS</v>
      </c>
      <c r="D1035">
        <f>'Female SR Endurance Speed'!C62</f>
        <v>12</v>
      </c>
      <c r="E1035">
        <f>'Female SR Endurance Speed'!D62</f>
        <v>0</v>
      </c>
      <c r="I1035" t="str">
        <f t="shared" si="31"/>
        <v>FTMS-Female Three Minute Speed</v>
      </c>
    </row>
    <row r="1036" spans="1:9" x14ac:dyDescent="0.25">
      <c r="A1036">
        <f>'Team Info'!$B$3</f>
        <v>0</v>
      </c>
      <c r="B1036">
        <f>'Female SR Endurance Speed'!A63</f>
        <v>15</v>
      </c>
      <c r="C1036" t="str">
        <f>'Female SR Endurance Speed'!B63</f>
        <v>FTMS</v>
      </c>
      <c r="D1036">
        <f>'Female SR Endurance Speed'!C63</f>
        <v>12</v>
      </c>
      <c r="E1036">
        <f>'Female SR Endurance Speed'!D63</f>
        <v>0</v>
      </c>
      <c r="I1036" t="str">
        <f t="shared" si="31"/>
        <v>FTMS-Female Three Minute Speed</v>
      </c>
    </row>
    <row r="1037" spans="1:9" x14ac:dyDescent="0.25">
      <c r="A1037">
        <f>'Team Info'!$B$3</f>
        <v>0</v>
      </c>
      <c r="B1037">
        <f>'Female SR Endurance Speed'!A64</f>
        <v>16</v>
      </c>
      <c r="C1037" t="str">
        <f>'Female SR Endurance Speed'!B64</f>
        <v>FTMS</v>
      </c>
      <c r="D1037">
        <f>'Female SR Endurance Speed'!C64</f>
        <v>12</v>
      </c>
      <c r="E1037">
        <f>'Female SR Endurance Speed'!D64</f>
        <v>0</v>
      </c>
      <c r="I1037" t="str">
        <f t="shared" si="31"/>
        <v>FTMS-Female Three Minute Speed</v>
      </c>
    </row>
    <row r="1038" spans="1:9" x14ac:dyDescent="0.25">
      <c r="A1038">
        <f>'Team Info'!$B$3</f>
        <v>0</v>
      </c>
      <c r="B1038">
        <f>'Female SR Endurance Speed'!A65</f>
        <v>17</v>
      </c>
      <c r="C1038" t="str">
        <f>'Female SR Endurance Speed'!B65</f>
        <v>FTMS</v>
      </c>
      <c r="D1038">
        <f>'Female SR Endurance Speed'!C65</f>
        <v>12</v>
      </c>
      <c r="E1038">
        <f>'Female SR Endurance Speed'!D65</f>
        <v>0</v>
      </c>
      <c r="I1038" t="str">
        <f t="shared" si="31"/>
        <v>FTMS-Female Three Minute Speed</v>
      </c>
    </row>
    <row r="1039" spans="1:9" x14ac:dyDescent="0.25">
      <c r="A1039">
        <f>'Team Info'!$B$3</f>
        <v>0</v>
      </c>
      <c r="B1039">
        <f>'Female SR Endurance Speed'!A66</f>
        <v>18</v>
      </c>
      <c r="C1039" t="str">
        <f>'Female SR Endurance Speed'!B66</f>
        <v>FTMS</v>
      </c>
      <c r="D1039">
        <f>'Female SR Endurance Speed'!C66</f>
        <v>12</v>
      </c>
      <c r="E1039">
        <f>'Female SR Endurance Speed'!D66</f>
        <v>0</v>
      </c>
      <c r="I1039" t="str">
        <f t="shared" si="31"/>
        <v>FTMS-Female Three Minute Speed</v>
      </c>
    </row>
    <row r="1040" spans="1:9" x14ac:dyDescent="0.25">
      <c r="A1040">
        <f>'Team Info'!$B$3</f>
        <v>0</v>
      </c>
      <c r="B1040">
        <f>'Female SR Endurance Speed'!A67</f>
        <v>19</v>
      </c>
      <c r="C1040" t="str">
        <f>'Female SR Endurance Speed'!B67</f>
        <v>FTMS</v>
      </c>
      <c r="D1040">
        <f>'Female SR Endurance Speed'!C67</f>
        <v>12</v>
      </c>
      <c r="E1040">
        <f>'Female SR Endurance Speed'!D67</f>
        <v>0</v>
      </c>
      <c r="I1040" t="str">
        <f t="shared" si="31"/>
        <v>FTMS-Female Three Minute Speed</v>
      </c>
    </row>
    <row r="1041" spans="1:9" x14ac:dyDescent="0.25">
      <c r="A1041">
        <f>'Team Info'!$B$3</f>
        <v>0</v>
      </c>
      <c r="B1041">
        <f>'Female SR Endurance Speed'!A68</f>
        <v>20</v>
      </c>
      <c r="C1041" t="str">
        <f>'Female SR Endurance Speed'!B68</f>
        <v>FTMS</v>
      </c>
      <c r="D1041">
        <f>'Female SR Endurance Speed'!C68</f>
        <v>12</v>
      </c>
      <c r="E1041">
        <f>'Female SR Endurance Speed'!D68</f>
        <v>0</v>
      </c>
      <c r="I1041" t="str">
        <f t="shared" si="31"/>
        <v>FTMS-Female Three Minute Speed</v>
      </c>
    </row>
    <row r="1042" spans="1:9" x14ac:dyDescent="0.25">
      <c r="A1042">
        <f>'Team Info'!$B$3</f>
        <v>0</v>
      </c>
      <c r="B1042">
        <f>'Female SR Endurance Speed'!H49</f>
        <v>1</v>
      </c>
      <c r="C1042" t="str">
        <f>'Female SR Endurance Speed'!I49</f>
        <v>FTMS</v>
      </c>
      <c r="D1042">
        <f>'Female SR Endurance Speed'!J49</f>
        <v>13</v>
      </c>
      <c r="E1042">
        <f>'Female SR Endurance Speed'!K49</f>
        <v>0</v>
      </c>
      <c r="I1042" t="str">
        <f t="shared" si="31"/>
        <v>FTMS-Female Three Minute Speed</v>
      </c>
    </row>
    <row r="1043" spans="1:9" x14ac:dyDescent="0.25">
      <c r="A1043">
        <f>'Team Info'!$B$3</f>
        <v>0</v>
      </c>
      <c r="B1043">
        <f>'Female SR Endurance Speed'!H50</f>
        <v>2</v>
      </c>
      <c r="C1043" t="str">
        <f>'Female SR Endurance Speed'!I50</f>
        <v>FTMS</v>
      </c>
      <c r="D1043">
        <f>'Female SR Endurance Speed'!J50</f>
        <v>13</v>
      </c>
      <c r="E1043">
        <f>'Female SR Endurance Speed'!K50</f>
        <v>0</v>
      </c>
      <c r="I1043" t="str">
        <f t="shared" si="31"/>
        <v>FTMS-Female Three Minute Speed</v>
      </c>
    </row>
    <row r="1044" spans="1:9" x14ac:dyDescent="0.25">
      <c r="A1044">
        <f>'Team Info'!$B$3</f>
        <v>0</v>
      </c>
      <c r="B1044">
        <f>'Female SR Endurance Speed'!H51</f>
        <v>3</v>
      </c>
      <c r="C1044" t="str">
        <f>'Female SR Endurance Speed'!I51</f>
        <v>FTMS</v>
      </c>
      <c r="D1044">
        <f>'Female SR Endurance Speed'!J51</f>
        <v>13</v>
      </c>
      <c r="E1044">
        <f>'Female SR Endurance Speed'!K51</f>
        <v>0</v>
      </c>
      <c r="I1044" t="str">
        <f t="shared" si="31"/>
        <v>FTMS-Female Three Minute Speed</v>
      </c>
    </row>
    <row r="1045" spans="1:9" x14ac:dyDescent="0.25">
      <c r="A1045">
        <f>'Team Info'!$B$3</f>
        <v>0</v>
      </c>
      <c r="B1045">
        <f>'Female SR Endurance Speed'!H52</f>
        <v>4</v>
      </c>
      <c r="C1045" t="str">
        <f>'Female SR Endurance Speed'!I52</f>
        <v>FTMS</v>
      </c>
      <c r="D1045">
        <f>'Female SR Endurance Speed'!J52</f>
        <v>13</v>
      </c>
      <c r="E1045">
        <f>'Female SR Endurance Speed'!K52</f>
        <v>0</v>
      </c>
      <c r="I1045" t="str">
        <f t="shared" si="31"/>
        <v>FTMS-Female Three Minute Speed</v>
      </c>
    </row>
    <row r="1046" spans="1:9" x14ac:dyDescent="0.25">
      <c r="A1046">
        <f>'Team Info'!$B$3</f>
        <v>0</v>
      </c>
      <c r="B1046">
        <f>'Female SR Endurance Speed'!H53</f>
        <v>5</v>
      </c>
      <c r="C1046" t="str">
        <f>'Female SR Endurance Speed'!I53</f>
        <v>FTMS</v>
      </c>
      <c r="D1046">
        <f>'Female SR Endurance Speed'!J53</f>
        <v>13</v>
      </c>
      <c r="E1046">
        <f>'Female SR Endurance Speed'!K53</f>
        <v>0</v>
      </c>
      <c r="I1046" t="str">
        <f t="shared" si="31"/>
        <v>FTMS-Female Three Minute Speed</v>
      </c>
    </row>
    <row r="1047" spans="1:9" x14ac:dyDescent="0.25">
      <c r="A1047">
        <f>'Team Info'!$B$3</f>
        <v>0</v>
      </c>
      <c r="B1047">
        <f>'Female SR Endurance Speed'!H54</f>
        <v>6</v>
      </c>
      <c r="C1047" t="str">
        <f>'Female SR Endurance Speed'!I54</f>
        <v>FTMS</v>
      </c>
      <c r="D1047">
        <f>'Female SR Endurance Speed'!J54</f>
        <v>13</v>
      </c>
      <c r="E1047">
        <f>'Female SR Endurance Speed'!K54</f>
        <v>0</v>
      </c>
      <c r="I1047" t="str">
        <f t="shared" si="31"/>
        <v>FTMS-Female Three Minute Speed</v>
      </c>
    </row>
    <row r="1048" spans="1:9" x14ac:dyDescent="0.25">
      <c r="A1048">
        <f>'Team Info'!$B$3</f>
        <v>0</v>
      </c>
      <c r="B1048">
        <f>'Female SR Endurance Speed'!H55</f>
        <v>7</v>
      </c>
      <c r="C1048" t="str">
        <f>'Female SR Endurance Speed'!I55</f>
        <v>FTMS</v>
      </c>
      <c r="D1048">
        <f>'Female SR Endurance Speed'!J55</f>
        <v>13</v>
      </c>
      <c r="E1048">
        <f>'Female SR Endurance Speed'!K55</f>
        <v>0</v>
      </c>
      <c r="I1048" t="str">
        <f t="shared" si="31"/>
        <v>FTMS-Female Three Minute Speed</v>
      </c>
    </row>
    <row r="1049" spans="1:9" x14ac:dyDescent="0.25">
      <c r="A1049">
        <f>'Team Info'!$B$3</f>
        <v>0</v>
      </c>
      <c r="B1049">
        <f>'Female SR Endurance Speed'!H56</f>
        <v>8</v>
      </c>
      <c r="C1049" t="str">
        <f>'Female SR Endurance Speed'!I56</f>
        <v>FTMS</v>
      </c>
      <c r="D1049">
        <f>'Female SR Endurance Speed'!J56</f>
        <v>13</v>
      </c>
      <c r="E1049">
        <f>'Female SR Endurance Speed'!K56</f>
        <v>0</v>
      </c>
      <c r="I1049" t="str">
        <f t="shared" si="31"/>
        <v>FTMS-Female Three Minute Speed</v>
      </c>
    </row>
    <row r="1050" spans="1:9" x14ac:dyDescent="0.25">
      <c r="A1050">
        <f>'Team Info'!$B$3</f>
        <v>0</v>
      </c>
      <c r="B1050">
        <f>'Female SR Endurance Speed'!H57</f>
        <v>9</v>
      </c>
      <c r="C1050" t="str">
        <f>'Female SR Endurance Speed'!I57</f>
        <v>FTMS</v>
      </c>
      <c r="D1050">
        <f>'Female SR Endurance Speed'!J57</f>
        <v>13</v>
      </c>
      <c r="E1050">
        <f>'Female SR Endurance Speed'!K57</f>
        <v>0</v>
      </c>
      <c r="I1050" t="str">
        <f t="shared" si="31"/>
        <v>FTMS-Female Three Minute Speed</v>
      </c>
    </row>
    <row r="1051" spans="1:9" x14ac:dyDescent="0.25">
      <c r="A1051">
        <f>'Team Info'!$B$3</f>
        <v>0</v>
      </c>
      <c r="B1051">
        <f>'Female SR Endurance Speed'!H58</f>
        <v>10</v>
      </c>
      <c r="C1051" t="str">
        <f>'Female SR Endurance Speed'!I58</f>
        <v>FTMS</v>
      </c>
      <c r="D1051">
        <f>'Female SR Endurance Speed'!J58</f>
        <v>13</v>
      </c>
      <c r="E1051">
        <f>'Female SR Endurance Speed'!K58</f>
        <v>0</v>
      </c>
      <c r="I1051" t="str">
        <f t="shared" si="31"/>
        <v>FTMS-Female Three Minute Speed</v>
      </c>
    </row>
    <row r="1052" spans="1:9" x14ac:dyDescent="0.25">
      <c r="A1052">
        <f>'Team Info'!$B$3</f>
        <v>0</v>
      </c>
      <c r="B1052">
        <f>'Female SR Endurance Speed'!H59</f>
        <v>11</v>
      </c>
      <c r="C1052" t="str">
        <f>'Female SR Endurance Speed'!I59</f>
        <v>FTMS</v>
      </c>
      <c r="D1052">
        <f>'Female SR Endurance Speed'!J59</f>
        <v>13</v>
      </c>
      <c r="E1052">
        <f>'Female SR Endurance Speed'!K59</f>
        <v>0</v>
      </c>
      <c r="I1052" t="str">
        <f t="shared" si="31"/>
        <v>FTMS-Female Three Minute Speed</v>
      </c>
    </row>
    <row r="1053" spans="1:9" x14ac:dyDescent="0.25">
      <c r="A1053">
        <f>'Team Info'!$B$3</f>
        <v>0</v>
      </c>
      <c r="B1053">
        <f>'Female SR Endurance Speed'!H60</f>
        <v>12</v>
      </c>
      <c r="C1053" t="str">
        <f>'Female SR Endurance Speed'!I60</f>
        <v>FTMS</v>
      </c>
      <c r="D1053">
        <f>'Female SR Endurance Speed'!J60</f>
        <v>13</v>
      </c>
      <c r="E1053">
        <f>'Female SR Endurance Speed'!K60</f>
        <v>0</v>
      </c>
      <c r="I1053" t="str">
        <f t="shared" si="31"/>
        <v>FTMS-Female Three Minute Speed</v>
      </c>
    </row>
    <row r="1054" spans="1:9" x14ac:dyDescent="0.25">
      <c r="A1054">
        <f>'Team Info'!$B$3</f>
        <v>0</v>
      </c>
      <c r="B1054">
        <f>'Female SR Endurance Speed'!H61</f>
        <v>13</v>
      </c>
      <c r="C1054" t="str">
        <f>'Female SR Endurance Speed'!I61</f>
        <v>FTMS</v>
      </c>
      <c r="D1054">
        <f>'Female SR Endurance Speed'!J61</f>
        <v>13</v>
      </c>
      <c r="E1054">
        <f>'Female SR Endurance Speed'!K61</f>
        <v>0</v>
      </c>
      <c r="I1054" t="str">
        <f t="shared" si="31"/>
        <v>FTMS-Female Three Minute Speed</v>
      </c>
    </row>
    <row r="1055" spans="1:9" x14ac:dyDescent="0.25">
      <c r="A1055">
        <f>'Team Info'!$B$3</f>
        <v>0</v>
      </c>
      <c r="B1055">
        <f>'Female SR Endurance Speed'!H62</f>
        <v>14</v>
      </c>
      <c r="C1055" t="str">
        <f>'Female SR Endurance Speed'!I62</f>
        <v>FTMS</v>
      </c>
      <c r="D1055">
        <f>'Female SR Endurance Speed'!J62</f>
        <v>13</v>
      </c>
      <c r="E1055">
        <f>'Female SR Endurance Speed'!K62</f>
        <v>0</v>
      </c>
      <c r="I1055" t="str">
        <f t="shared" si="31"/>
        <v>FTMS-Female Three Minute Speed</v>
      </c>
    </row>
    <row r="1056" spans="1:9" x14ac:dyDescent="0.25">
      <c r="A1056">
        <f>'Team Info'!$B$3</f>
        <v>0</v>
      </c>
      <c r="B1056">
        <f>'Female SR Endurance Speed'!H63</f>
        <v>15</v>
      </c>
      <c r="C1056" t="str">
        <f>'Female SR Endurance Speed'!I63</f>
        <v>FTMS</v>
      </c>
      <c r="D1056">
        <f>'Female SR Endurance Speed'!J63</f>
        <v>13</v>
      </c>
      <c r="E1056">
        <f>'Female SR Endurance Speed'!K63</f>
        <v>0</v>
      </c>
      <c r="I1056" t="str">
        <f t="shared" si="31"/>
        <v>FTMS-Female Three Minute Speed</v>
      </c>
    </row>
    <row r="1057" spans="1:9" x14ac:dyDescent="0.25">
      <c r="A1057">
        <f>'Team Info'!$B$3</f>
        <v>0</v>
      </c>
      <c r="B1057">
        <f>'Female SR Endurance Speed'!H64</f>
        <v>16</v>
      </c>
      <c r="C1057" t="str">
        <f>'Female SR Endurance Speed'!I64</f>
        <v>FTMS</v>
      </c>
      <c r="D1057">
        <f>'Female SR Endurance Speed'!J64</f>
        <v>13</v>
      </c>
      <c r="E1057">
        <f>'Female SR Endurance Speed'!K64</f>
        <v>0</v>
      </c>
      <c r="I1057" t="str">
        <f t="shared" si="31"/>
        <v>FTMS-Female Three Minute Speed</v>
      </c>
    </row>
    <row r="1058" spans="1:9" x14ac:dyDescent="0.25">
      <c r="A1058">
        <f>'Team Info'!$B$3</f>
        <v>0</v>
      </c>
      <c r="B1058">
        <f>'Female SR Endurance Speed'!H65</f>
        <v>17</v>
      </c>
      <c r="C1058" t="str">
        <f>'Female SR Endurance Speed'!I65</f>
        <v>FTMS</v>
      </c>
      <c r="D1058">
        <f>'Female SR Endurance Speed'!J65</f>
        <v>13</v>
      </c>
      <c r="E1058">
        <f>'Female SR Endurance Speed'!K65</f>
        <v>0</v>
      </c>
      <c r="I1058" t="str">
        <f t="shared" si="31"/>
        <v>FTMS-Female Three Minute Speed</v>
      </c>
    </row>
    <row r="1059" spans="1:9" x14ac:dyDescent="0.25">
      <c r="A1059">
        <f>'Team Info'!$B$3</f>
        <v>0</v>
      </c>
      <c r="B1059">
        <f>'Female SR Endurance Speed'!H66</f>
        <v>18</v>
      </c>
      <c r="C1059" t="str">
        <f>'Female SR Endurance Speed'!I66</f>
        <v>FTMS</v>
      </c>
      <c r="D1059">
        <f>'Female SR Endurance Speed'!J66</f>
        <v>13</v>
      </c>
      <c r="E1059">
        <f>'Female SR Endurance Speed'!K66</f>
        <v>0</v>
      </c>
      <c r="I1059" t="str">
        <f t="shared" si="31"/>
        <v>FTMS-Female Three Minute Speed</v>
      </c>
    </row>
    <row r="1060" spans="1:9" x14ac:dyDescent="0.25">
      <c r="A1060">
        <f>'Team Info'!$B$3</f>
        <v>0</v>
      </c>
      <c r="B1060">
        <f>'Female SR Endurance Speed'!H67</f>
        <v>19</v>
      </c>
      <c r="C1060" t="str">
        <f>'Female SR Endurance Speed'!I67</f>
        <v>FTMS</v>
      </c>
      <c r="D1060">
        <f>'Female SR Endurance Speed'!J67</f>
        <v>13</v>
      </c>
      <c r="E1060">
        <f>'Female SR Endurance Speed'!K67</f>
        <v>0</v>
      </c>
      <c r="I1060" t="str">
        <f t="shared" si="31"/>
        <v>FTMS-Female Three Minute Speed</v>
      </c>
    </row>
    <row r="1061" spans="1:9" x14ac:dyDescent="0.25">
      <c r="A1061">
        <f>'Team Info'!$B$3</f>
        <v>0</v>
      </c>
      <c r="B1061">
        <f>'Female SR Endurance Speed'!H68</f>
        <v>20</v>
      </c>
      <c r="C1061" t="str">
        <f>'Female SR Endurance Speed'!I68</f>
        <v>FTMS</v>
      </c>
      <c r="D1061">
        <f>'Female SR Endurance Speed'!J68</f>
        <v>13</v>
      </c>
      <c r="E1061">
        <f>'Female SR Endurance Speed'!K68</f>
        <v>0</v>
      </c>
      <c r="I1061" t="str">
        <f t="shared" si="31"/>
        <v>FTMS-Female Three Minute Speed</v>
      </c>
    </row>
    <row r="1062" spans="1:9" x14ac:dyDescent="0.25">
      <c r="A1062">
        <f>'Team Info'!$B$3</f>
        <v>0</v>
      </c>
      <c r="B1062">
        <f>'Female SR Endurance Speed'!A71</f>
        <v>1</v>
      </c>
      <c r="C1062" t="str">
        <f>'Female SR Endurance Speed'!B71</f>
        <v>FTMS</v>
      </c>
      <c r="D1062">
        <f>'Female SR Endurance Speed'!C71</f>
        <v>14</v>
      </c>
      <c r="E1062">
        <f>'Female SR Endurance Speed'!D71</f>
        <v>0</v>
      </c>
      <c r="I1062" t="str">
        <f t="shared" si="31"/>
        <v>FTMS-Female Three Minute Speed</v>
      </c>
    </row>
    <row r="1063" spans="1:9" x14ac:dyDescent="0.25">
      <c r="A1063">
        <f>'Team Info'!$B$3</f>
        <v>0</v>
      </c>
      <c r="B1063">
        <f>'Female SR Endurance Speed'!A72</f>
        <v>2</v>
      </c>
      <c r="C1063" t="str">
        <f>'Female SR Endurance Speed'!B72</f>
        <v>FTMS</v>
      </c>
      <c r="D1063">
        <f>'Female SR Endurance Speed'!C72</f>
        <v>14</v>
      </c>
      <c r="E1063">
        <f>'Female SR Endurance Speed'!D72</f>
        <v>0</v>
      </c>
      <c r="I1063" t="str">
        <f t="shared" si="31"/>
        <v>FTMS-Female Three Minute Speed</v>
      </c>
    </row>
    <row r="1064" spans="1:9" x14ac:dyDescent="0.25">
      <c r="A1064">
        <f>'Team Info'!$B$3</f>
        <v>0</v>
      </c>
      <c r="B1064">
        <f>'Female SR Endurance Speed'!A73</f>
        <v>3</v>
      </c>
      <c r="C1064" t="str">
        <f>'Female SR Endurance Speed'!B73</f>
        <v>FTMS</v>
      </c>
      <c r="D1064">
        <f>'Female SR Endurance Speed'!C73</f>
        <v>14</v>
      </c>
      <c r="E1064">
        <f>'Female SR Endurance Speed'!D73</f>
        <v>0</v>
      </c>
      <c r="I1064" t="str">
        <f t="shared" si="31"/>
        <v>FTMS-Female Three Minute Speed</v>
      </c>
    </row>
    <row r="1065" spans="1:9" x14ac:dyDescent="0.25">
      <c r="A1065">
        <f>'Team Info'!$B$3</f>
        <v>0</v>
      </c>
      <c r="B1065">
        <f>'Female SR Endurance Speed'!A74</f>
        <v>4</v>
      </c>
      <c r="C1065" t="str">
        <f>'Female SR Endurance Speed'!B74</f>
        <v>FTMS</v>
      </c>
      <c r="D1065">
        <f>'Female SR Endurance Speed'!C74</f>
        <v>14</v>
      </c>
      <c r="E1065">
        <f>'Female SR Endurance Speed'!D74</f>
        <v>0</v>
      </c>
      <c r="I1065" t="str">
        <f t="shared" si="31"/>
        <v>FTMS-Female Three Minute Speed</v>
      </c>
    </row>
    <row r="1066" spans="1:9" x14ac:dyDescent="0.25">
      <c r="A1066">
        <f>'Team Info'!$B$3</f>
        <v>0</v>
      </c>
      <c r="B1066">
        <f>'Female SR Endurance Speed'!A75</f>
        <v>5</v>
      </c>
      <c r="C1066" t="str">
        <f>'Female SR Endurance Speed'!B75</f>
        <v>FTMS</v>
      </c>
      <c r="D1066">
        <f>'Female SR Endurance Speed'!C75</f>
        <v>14</v>
      </c>
      <c r="E1066">
        <f>'Female SR Endurance Speed'!D75</f>
        <v>0</v>
      </c>
      <c r="I1066" t="str">
        <f t="shared" si="31"/>
        <v>FTMS-Female Three Minute Speed</v>
      </c>
    </row>
    <row r="1067" spans="1:9" x14ac:dyDescent="0.25">
      <c r="A1067">
        <f>'Team Info'!$B$3</f>
        <v>0</v>
      </c>
      <c r="B1067">
        <f>'Female SR Endurance Speed'!A76</f>
        <v>6</v>
      </c>
      <c r="C1067" t="str">
        <f>'Female SR Endurance Speed'!B76</f>
        <v>FTMS</v>
      </c>
      <c r="D1067">
        <f>'Female SR Endurance Speed'!C76</f>
        <v>14</v>
      </c>
      <c r="E1067">
        <f>'Female SR Endurance Speed'!D76</f>
        <v>0</v>
      </c>
      <c r="I1067" t="str">
        <f t="shared" si="31"/>
        <v>FTMS-Female Three Minute Speed</v>
      </c>
    </row>
    <row r="1068" spans="1:9" x14ac:dyDescent="0.25">
      <c r="A1068">
        <f>'Team Info'!$B$3</f>
        <v>0</v>
      </c>
      <c r="B1068">
        <f>'Female SR Endurance Speed'!A77</f>
        <v>7</v>
      </c>
      <c r="C1068" t="str">
        <f>'Female SR Endurance Speed'!B77</f>
        <v>FTMS</v>
      </c>
      <c r="D1068">
        <f>'Female SR Endurance Speed'!C77</f>
        <v>14</v>
      </c>
      <c r="E1068">
        <f>'Female SR Endurance Speed'!D77</f>
        <v>0</v>
      </c>
      <c r="I1068" t="str">
        <f t="shared" si="31"/>
        <v>FTMS-Female Three Minute Speed</v>
      </c>
    </row>
    <row r="1069" spans="1:9" x14ac:dyDescent="0.25">
      <c r="A1069">
        <f>'Team Info'!$B$3</f>
        <v>0</v>
      </c>
      <c r="B1069">
        <f>'Female SR Endurance Speed'!A78</f>
        <v>8</v>
      </c>
      <c r="C1069" t="str">
        <f>'Female SR Endurance Speed'!B78</f>
        <v>FTMS</v>
      </c>
      <c r="D1069">
        <f>'Female SR Endurance Speed'!C78</f>
        <v>14</v>
      </c>
      <c r="E1069">
        <f>'Female SR Endurance Speed'!D78</f>
        <v>0</v>
      </c>
      <c r="I1069" t="str">
        <f t="shared" si="31"/>
        <v>FTMS-Female Three Minute Speed</v>
      </c>
    </row>
    <row r="1070" spans="1:9" x14ac:dyDescent="0.25">
      <c r="A1070">
        <f>'Team Info'!$B$3</f>
        <v>0</v>
      </c>
      <c r="B1070">
        <f>'Female SR Endurance Speed'!A79</f>
        <v>9</v>
      </c>
      <c r="C1070" t="str">
        <f>'Female SR Endurance Speed'!B79</f>
        <v>FTMS</v>
      </c>
      <c r="D1070">
        <f>'Female SR Endurance Speed'!C79</f>
        <v>14</v>
      </c>
      <c r="E1070">
        <f>'Female SR Endurance Speed'!D79</f>
        <v>0</v>
      </c>
      <c r="I1070" t="str">
        <f t="shared" si="31"/>
        <v>FTMS-Female Three Minute Speed</v>
      </c>
    </row>
    <row r="1071" spans="1:9" x14ac:dyDescent="0.25">
      <c r="A1071">
        <f>'Team Info'!$B$3</f>
        <v>0</v>
      </c>
      <c r="B1071">
        <f>'Female SR Endurance Speed'!A80</f>
        <v>10</v>
      </c>
      <c r="C1071" t="str">
        <f>'Female SR Endurance Speed'!B80</f>
        <v>FTMS</v>
      </c>
      <c r="D1071">
        <f>'Female SR Endurance Speed'!C80</f>
        <v>14</v>
      </c>
      <c r="E1071">
        <f>'Female SR Endurance Speed'!D80</f>
        <v>0</v>
      </c>
      <c r="I1071" t="str">
        <f t="shared" si="31"/>
        <v>FTMS-Female Three Minute Speed</v>
      </c>
    </row>
    <row r="1072" spans="1:9" x14ac:dyDescent="0.25">
      <c r="A1072">
        <f>'Team Info'!$B$3</f>
        <v>0</v>
      </c>
      <c r="B1072">
        <f>'Female SR Endurance Speed'!A81</f>
        <v>11</v>
      </c>
      <c r="C1072" t="str">
        <f>'Female SR Endurance Speed'!B81</f>
        <v>FTMS</v>
      </c>
      <c r="D1072">
        <f>'Female SR Endurance Speed'!C81</f>
        <v>14</v>
      </c>
      <c r="E1072">
        <f>'Female SR Endurance Speed'!D81</f>
        <v>0</v>
      </c>
      <c r="I1072" t="str">
        <f t="shared" si="31"/>
        <v>FTMS-Female Three Minute Speed</v>
      </c>
    </row>
    <row r="1073" spans="1:9" x14ac:dyDescent="0.25">
      <c r="A1073">
        <f>'Team Info'!$B$3</f>
        <v>0</v>
      </c>
      <c r="B1073">
        <f>'Female SR Endurance Speed'!A82</f>
        <v>12</v>
      </c>
      <c r="C1073" t="str">
        <f>'Female SR Endurance Speed'!B82</f>
        <v>FTMS</v>
      </c>
      <c r="D1073">
        <f>'Female SR Endurance Speed'!C82</f>
        <v>14</v>
      </c>
      <c r="E1073">
        <f>'Female SR Endurance Speed'!D82</f>
        <v>0</v>
      </c>
      <c r="I1073" t="str">
        <f t="shared" si="31"/>
        <v>FTMS-Female Three Minute Speed</v>
      </c>
    </row>
    <row r="1074" spans="1:9" x14ac:dyDescent="0.25">
      <c r="A1074">
        <f>'Team Info'!$B$3</f>
        <v>0</v>
      </c>
      <c r="B1074">
        <f>'Female SR Endurance Speed'!A83</f>
        <v>13</v>
      </c>
      <c r="C1074" t="str">
        <f>'Female SR Endurance Speed'!B83</f>
        <v>FTMS</v>
      </c>
      <c r="D1074">
        <f>'Female SR Endurance Speed'!C83</f>
        <v>14</v>
      </c>
      <c r="E1074">
        <f>'Female SR Endurance Speed'!D83</f>
        <v>0</v>
      </c>
      <c r="I1074" t="str">
        <f t="shared" si="31"/>
        <v>FTMS-Female Three Minute Speed</v>
      </c>
    </row>
    <row r="1075" spans="1:9" x14ac:dyDescent="0.25">
      <c r="A1075">
        <f>'Team Info'!$B$3</f>
        <v>0</v>
      </c>
      <c r="B1075">
        <f>'Female SR Endurance Speed'!A84</f>
        <v>14</v>
      </c>
      <c r="C1075" t="str">
        <f>'Female SR Endurance Speed'!B84</f>
        <v>FTMS</v>
      </c>
      <c r="D1075">
        <f>'Female SR Endurance Speed'!C84</f>
        <v>14</v>
      </c>
      <c r="E1075">
        <f>'Female SR Endurance Speed'!D84</f>
        <v>0</v>
      </c>
      <c r="I1075" t="str">
        <f t="shared" si="31"/>
        <v>FTMS-Female Three Minute Speed</v>
      </c>
    </row>
    <row r="1076" spans="1:9" x14ac:dyDescent="0.25">
      <c r="A1076">
        <f>'Team Info'!$B$3</f>
        <v>0</v>
      </c>
      <c r="B1076">
        <f>'Female SR Endurance Speed'!A85</f>
        <v>15</v>
      </c>
      <c r="C1076" t="str">
        <f>'Female SR Endurance Speed'!B85</f>
        <v>FTMS</v>
      </c>
      <c r="D1076">
        <f>'Female SR Endurance Speed'!C85</f>
        <v>14</v>
      </c>
      <c r="E1076">
        <f>'Female SR Endurance Speed'!D85</f>
        <v>0</v>
      </c>
      <c r="I1076" t="str">
        <f t="shared" si="31"/>
        <v>FTMS-Female Three Minute Speed</v>
      </c>
    </row>
    <row r="1077" spans="1:9" x14ac:dyDescent="0.25">
      <c r="A1077">
        <f>'Team Info'!$B$3</f>
        <v>0</v>
      </c>
      <c r="B1077">
        <f>'Female SR Endurance Speed'!A86</f>
        <v>16</v>
      </c>
      <c r="C1077" t="str">
        <f>'Female SR Endurance Speed'!B86</f>
        <v>FTMS</v>
      </c>
      <c r="D1077">
        <f>'Female SR Endurance Speed'!C86</f>
        <v>14</v>
      </c>
      <c r="E1077">
        <f>'Female SR Endurance Speed'!D86</f>
        <v>0</v>
      </c>
      <c r="I1077" t="str">
        <f t="shared" si="31"/>
        <v>FTMS-Female Three Minute Speed</v>
      </c>
    </row>
    <row r="1078" spans="1:9" x14ac:dyDescent="0.25">
      <c r="A1078">
        <f>'Team Info'!$B$3</f>
        <v>0</v>
      </c>
      <c r="B1078">
        <f>'Female SR Endurance Speed'!A87</f>
        <v>17</v>
      </c>
      <c r="C1078" t="str">
        <f>'Female SR Endurance Speed'!B87</f>
        <v>FTMS</v>
      </c>
      <c r="D1078">
        <f>'Female SR Endurance Speed'!C87</f>
        <v>14</v>
      </c>
      <c r="E1078">
        <f>'Female SR Endurance Speed'!D87</f>
        <v>0</v>
      </c>
      <c r="I1078" t="str">
        <f t="shared" si="31"/>
        <v>FTMS-Female Three Minute Speed</v>
      </c>
    </row>
    <row r="1079" spans="1:9" x14ac:dyDescent="0.25">
      <c r="A1079">
        <f>'Team Info'!$B$3</f>
        <v>0</v>
      </c>
      <c r="B1079">
        <f>'Female SR Endurance Speed'!A88</f>
        <v>18</v>
      </c>
      <c r="C1079" t="str">
        <f>'Female SR Endurance Speed'!B88</f>
        <v>FTMS</v>
      </c>
      <c r="D1079">
        <f>'Female SR Endurance Speed'!C88</f>
        <v>14</v>
      </c>
      <c r="E1079">
        <f>'Female SR Endurance Speed'!D88</f>
        <v>0</v>
      </c>
      <c r="I1079" t="str">
        <f t="shared" si="31"/>
        <v>FTMS-Female Three Minute Speed</v>
      </c>
    </row>
    <row r="1080" spans="1:9" x14ac:dyDescent="0.25">
      <c r="A1080">
        <f>'Team Info'!$B$3</f>
        <v>0</v>
      </c>
      <c r="B1080">
        <f>'Female SR Endurance Speed'!A89</f>
        <v>19</v>
      </c>
      <c r="C1080" t="str">
        <f>'Female SR Endurance Speed'!B89</f>
        <v>FTMS</v>
      </c>
      <c r="D1080">
        <f>'Female SR Endurance Speed'!C89</f>
        <v>14</v>
      </c>
      <c r="E1080">
        <f>'Female SR Endurance Speed'!D89</f>
        <v>0</v>
      </c>
      <c r="I1080" t="str">
        <f t="shared" si="31"/>
        <v>FTMS-Female Three Minute Speed</v>
      </c>
    </row>
    <row r="1081" spans="1:9" x14ac:dyDescent="0.25">
      <c r="A1081">
        <f>'Team Info'!$B$3</f>
        <v>0</v>
      </c>
      <c r="B1081">
        <f>'Female SR Endurance Speed'!A90</f>
        <v>20</v>
      </c>
      <c r="C1081" t="str">
        <f>'Female SR Endurance Speed'!B90</f>
        <v>FTMS</v>
      </c>
      <c r="D1081">
        <f>'Female SR Endurance Speed'!C90</f>
        <v>14</v>
      </c>
      <c r="E1081">
        <f>'Female SR Endurance Speed'!D90</f>
        <v>0</v>
      </c>
      <c r="I1081" t="str">
        <f t="shared" si="31"/>
        <v>FTMS-Female Three Minute Speed</v>
      </c>
    </row>
    <row r="1082" spans="1:9" x14ac:dyDescent="0.25">
      <c r="A1082">
        <f>'Team Info'!$B$3</f>
        <v>0</v>
      </c>
      <c r="B1082">
        <f>'Female SR Endurance Speed'!H71</f>
        <v>1</v>
      </c>
      <c r="C1082" t="str">
        <f>'Female SR Endurance Speed'!I71</f>
        <v>FTMS</v>
      </c>
      <c r="D1082" t="str">
        <f>'Female SR Endurance Speed'!J71</f>
        <v>15-16</v>
      </c>
      <c r="E1082">
        <f>'Female SR Endurance Speed'!K71</f>
        <v>0</v>
      </c>
      <c r="I1082" t="str">
        <f t="shared" si="31"/>
        <v>FTMS-Female Three Minute Speed</v>
      </c>
    </row>
    <row r="1083" spans="1:9" x14ac:dyDescent="0.25">
      <c r="A1083">
        <f>'Team Info'!$B$3</f>
        <v>0</v>
      </c>
      <c r="B1083">
        <f>'Female SR Endurance Speed'!H72</f>
        <v>2</v>
      </c>
      <c r="C1083" t="str">
        <f>'Female SR Endurance Speed'!I72</f>
        <v>FTMS</v>
      </c>
      <c r="D1083" t="str">
        <f>'Female SR Endurance Speed'!J72</f>
        <v>15-16</v>
      </c>
      <c r="E1083">
        <f>'Female SR Endurance Speed'!K72</f>
        <v>0</v>
      </c>
      <c r="I1083" t="str">
        <f t="shared" si="31"/>
        <v>FTMS-Female Three Minute Speed</v>
      </c>
    </row>
    <row r="1084" spans="1:9" x14ac:dyDescent="0.25">
      <c r="A1084">
        <f>'Team Info'!$B$3</f>
        <v>0</v>
      </c>
      <c r="B1084">
        <f>'Female SR Endurance Speed'!H73</f>
        <v>3</v>
      </c>
      <c r="C1084" t="str">
        <f>'Female SR Endurance Speed'!I73</f>
        <v>FTMS</v>
      </c>
      <c r="D1084" t="str">
        <f>'Female SR Endurance Speed'!J73</f>
        <v>15-16</v>
      </c>
      <c r="E1084">
        <f>'Female SR Endurance Speed'!K73</f>
        <v>0</v>
      </c>
      <c r="I1084" t="str">
        <f t="shared" si="31"/>
        <v>FTMS-Female Three Minute Speed</v>
      </c>
    </row>
    <row r="1085" spans="1:9" x14ac:dyDescent="0.25">
      <c r="A1085">
        <f>'Team Info'!$B$3</f>
        <v>0</v>
      </c>
      <c r="B1085">
        <f>'Female SR Endurance Speed'!H74</f>
        <v>4</v>
      </c>
      <c r="C1085" t="str">
        <f>'Female SR Endurance Speed'!I74</f>
        <v>FTMS</v>
      </c>
      <c r="D1085" t="str">
        <f>'Female SR Endurance Speed'!J74</f>
        <v>15-16</v>
      </c>
      <c r="E1085">
        <f>'Female SR Endurance Speed'!K74</f>
        <v>0</v>
      </c>
      <c r="I1085" t="str">
        <f t="shared" si="31"/>
        <v>FTMS-Female Three Minute Speed</v>
      </c>
    </row>
    <row r="1086" spans="1:9" x14ac:dyDescent="0.25">
      <c r="A1086">
        <f>'Team Info'!$B$3</f>
        <v>0</v>
      </c>
      <c r="B1086">
        <f>'Female SR Endurance Speed'!H75</f>
        <v>5</v>
      </c>
      <c r="C1086" t="str">
        <f>'Female SR Endurance Speed'!I75</f>
        <v>FTMS</v>
      </c>
      <c r="D1086" t="str">
        <f>'Female SR Endurance Speed'!J75</f>
        <v>15-16</v>
      </c>
      <c r="E1086">
        <f>'Female SR Endurance Speed'!K75</f>
        <v>0</v>
      </c>
      <c r="I1086" t="str">
        <f t="shared" si="31"/>
        <v>FTMS-Female Three Minute Speed</v>
      </c>
    </row>
    <row r="1087" spans="1:9" x14ac:dyDescent="0.25">
      <c r="A1087">
        <f>'Team Info'!$B$3</f>
        <v>0</v>
      </c>
      <c r="B1087">
        <f>'Female SR Endurance Speed'!H76</f>
        <v>6</v>
      </c>
      <c r="C1087" t="str">
        <f>'Female SR Endurance Speed'!I76</f>
        <v>FTMS</v>
      </c>
      <c r="D1087" t="str">
        <f>'Female SR Endurance Speed'!J76</f>
        <v>15-16</v>
      </c>
      <c r="E1087">
        <f>'Female SR Endurance Speed'!K76</f>
        <v>0</v>
      </c>
      <c r="I1087" t="str">
        <f t="shared" si="31"/>
        <v>FTMS-Female Three Minute Speed</v>
      </c>
    </row>
    <row r="1088" spans="1:9" x14ac:dyDescent="0.25">
      <c r="A1088">
        <f>'Team Info'!$B$3</f>
        <v>0</v>
      </c>
      <c r="B1088">
        <f>'Female SR Endurance Speed'!H77</f>
        <v>7</v>
      </c>
      <c r="C1088" t="str">
        <f>'Female SR Endurance Speed'!I77</f>
        <v>FTMS</v>
      </c>
      <c r="D1088" t="str">
        <f>'Female SR Endurance Speed'!J77</f>
        <v>15-16</v>
      </c>
      <c r="E1088">
        <f>'Female SR Endurance Speed'!K77</f>
        <v>0</v>
      </c>
      <c r="I1088" t="str">
        <f t="shared" si="31"/>
        <v>FTMS-Female Three Minute Speed</v>
      </c>
    </row>
    <row r="1089" spans="1:9" x14ac:dyDescent="0.25">
      <c r="A1089">
        <f>'Team Info'!$B$3</f>
        <v>0</v>
      </c>
      <c r="B1089">
        <f>'Female SR Endurance Speed'!H78</f>
        <v>8</v>
      </c>
      <c r="C1089" t="str">
        <f>'Female SR Endurance Speed'!I78</f>
        <v>FTMS</v>
      </c>
      <c r="D1089" t="str">
        <f>'Female SR Endurance Speed'!J78</f>
        <v>15-16</v>
      </c>
      <c r="E1089">
        <f>'Female SR Endurance Speed'!K78</f>
        <v>0</v>
      </c>
      <c r="I1089" t="str">
        <f t="shared" si="31"/>
        <v>FTMS-Female Three Minute Speed</v>
      </c>
    </row>
    <row r="1090" spans="1:9" x14ac:dyDescent="0.25">
      <c r="A1090">
        <f>'Team Info'!$B$3</f>
        <v>0</v>
      </c>
      <c r="B1090">
        <f>'Female SR Endurance Speed'!H79</f>
        <v>9</v>
      </c>
      <c r="C1090" t="str">
        <f>'Female SR Endurance Speed'!I79</f>
        <v>FTMS</v>
      </c>
      <c r="D1090" t="str">
        <f>'Female SR Endurance Speed'!J79</f>
        <v>15-16</v>
      </c>
      <c r="E1090">
        <f>'Female SR Endurance Speed'!K79</f>
        <v>0</v>
      </c>
      <c r="I1090" t="str">
        <f t="shared" si="31"/>
        <v>FTMS-Female Three Minute Speed</v>
      </c>
    </row>
    <row r="1091" spans="1:9" x14ac:dyDescent="0.25">
      <c r="A1091">
        <f>'Team Info'!$B$3</f>
        <v>0</v>
      </c>
      <c r="B1091">
        <f>'Female SR Endurance Speed'!H80</f>
        <v>10</v>
      </c>
      <c r="C1091" t="str">
        <f>'Female SR Endurance Speed'!I80</f>
        <v>FTMS</v>
      </c>
      <c r="D1091" t="str">
        <f>'Female SR Endurance Speed'!J80</f>
        <v>15-16</v>
      </c>
      <c r="E1091">
        <f>'Female SR Endurance Speed'!K80</f>
        <v>0</v>
      </c>
      <c r="I1091" t="str">
        <f t="shared" si="31"/>
        <v>FTMS-Female Three Minute Speed</v>
      </c>
    </row>
    <row r="1092" spans="1:9" x14ac:dyDescent="0.25">
      <c r="A1092">
        <f>'Team Info'!$B$3</f>
        <v>0</v>
      </c>
      <c r="B1092">
        <f>'Female SR Endurance Speed'!H81</f>
        <v>11</v>
      </c>
      <c r="C1092" t="str">
        <f>'Female SR Endurance Speed'!I81</f>
        <v>FTMS</v>
      </c>
      <c r="D1092" t="str">
        <f>'Female SR Endurance Speed'!J81</f>
        <v>15-16</v>
      </c>
      <c r="E1092">
        <f>'Female SR Endurance Speed'!K81</f>
        <v>0</v>
      </c>
      <c r="I1092" t="str">
        <f t="shared" si="31"/>
        <v>FTMS-Female Three Minute Speed</v>
      </c>
    </row>
    <row r="1093" spans="1:9" x14ac:dyDescent="0.25">
      <c r="A1093">
        <f>'Team Info'!$B$3</f>
        <v>0</v>
      </c>
      <c r="B1093">
        <f>'Female SR Endurance Speed'!H82</f>
        <v>12</v>
      </c>
      <c r="C1093" t="str">
        <f>'Female SR Endurance Speed'!I82</f>
        <v>FTMS</v>
      </c>
      <c r="D1093" t="str">
        <f>'Female SR Endurance Speed'!J82</f>
        <v>15-16</v>
      </c>
      <c r="E1093">
        <f>'Female SR Endurance Speed'!K82</f>
        <v>0</v>
      </c>
      <c r="I1093" t="str">
        <f t="shared" si="31"/>
        <v>FTMS-Female Three Minute Speed</v>
      </c>
    </row>
    <row r="1094" spans="1:9" x14ac:dyDescent="0.25">
      <c r="A1094">
        <f>'Team Info'!$B$3</f>
        <v>0</v>
      </c>
      <c r="B1094">
        <f>'Female SR Endurance Speed'!H83</f>
        <v>13</v>
      </c>
      <c r="C1094" t="str">
        <f>'Female SR Endurance Speed'!I83</f>
        <v>FTMS</v>
      </c>
      <c r="D1094" t="str">
        <f>'Female SR Endurance Speed'!J83</f>
        <v>15-16</v>
      </c>
      <c r="E1094">
        <f>'Female SR Endurance Speed'!K83</f>
        <v>0</v>
      </c>
      <c r="I1094" t="str">
        <f t="shared" si="31"/>
        <v>FTMS-Female Three Minute Speed</v>
      </c>
    </row>
    <row r="1095" spans="1:9" x14ac:dyDescent="0.25">
      <c r="A1095">
        <f>'Team Info'!$B$3</f>
        <v>0</v>
      </c>
      <c r="B1095">
        <f>'Female SR Endurance Speed'!H84</f>
        <v>14</v>
      </c>
      <c r="C1095" t="str">
        <f>'Female SR Endurance Speed'!I84</f>
        <v>FTMS</v>
      </c>
      <c r="D1095" t="str">
        <f>'Female SR Endurance Speed'!J84</f>
        <v>15-16</v>
      </c>
      <c r="E1095">
        <f>'Female SR Endurance Speed'!K84</f>
        <v>0</v>
      </c>
      <c r="I1095" t="str">
        <f t="shared" ref="I1095:I1193" si="32">VLOOKUP(C1095,EVENTS,2,FALSE)</f>
        <v>FTMS-Female Three Minute Speed</v>
      </c>
    </row>
    <row r="1096" spans="1:9" x14ac:dyDescent="0.25">
      <c r="A1096">
        <f>'Team Info'!$B$3</f>
        <v>0</v>
      </c>
      <c r="B1096">
        <f>'Female SR Endurance Speed'!H85</f>
        <v>15</v>
      </c>
      <c r="C1096" t="str">
        <f>'Female SR Endurance Speed'!I85</f>
        <v>FTMS</v>
      </c>
      <c r="D1096" t="str">
        <f>'Female SR Endurance Speed'!J85</f>
        <v>15-16</v>
      </c>
      <c r="E1096">
        <f>'Female SR Endurance Speed'!K85</f>
        <v>0</v>
      </c>
      <c r="I1096" t="str">
        <f t="shared" si="32"/>
        <v>FTMS-Female Three Minute Speed</v>
      </c>
    </row>
    <row r="1097" spans="1:9" x14ac:dyDescent="0.25">
      <c r="A1097">
        <f>'Team Info'!$B$3</f>
        <v>0</v>
      </c>
      <c r="B1097">
        <f>'Female SR Endurance Speed'!H86</f>
        <v>16</v>
      </c>
      <c r="C1097" t="str">
        <f>'Female SR Endurance Speed'!I86</f>
        <v>FTMS</v>
      </c>
      <c r="D1097" t="str">
        <f>'Female SR Endurance Speed'!J86</f>
        <v>15-16</v>
      </c>
      <c r="E1097">
        <f>'Female SR Endurance Speed'!K86</f>
        <v>0</v>
      </c>
      <c r="I1097" t="str">
        <f t="shared" si="32"/>
        <v>FTMS-Female Three Minute Speed</v>
      </c>
    </row>
    <row r="1098" spans="1:9" x14ac:dyDescent="0.25">
      <c r="A1098">
        <f>'Team Info'!$B$3</f>
        <v>0</v>
      </c>
      <c r="B1098">
        <f>'Female SR Endurance Speed'!H87</f>
        <v>17</v>
      </c>
      <c r="C1098" t="str">
        <f>'Female SR Endurance Speed'!I87</f>
        <v>FTMS</v>
      </c>
      <c r="D1098" t="str">
        <f>'Female SR Endurance Speed'!J87</f>
        <v>15-16</v>
      </c>
      <c r="E1098">
        <f>'Female SR Endurance Speed'!K87</f>
        <v>0</v>
      </c>
      <c r="I1098" t="str">
        <f t="shared" si="32"/>
        <v>FTMS-Female Three Minute Speed</v>
      </c>
    </row>
    <row r="1099" spans="1:9" x14ac:dyDescent="0.25">
      <c r="A1099">
        <f>'Team Info'!$B$3</f>
        <v>0</v>
      </c>
      <c r="B1099">
        <f>'Female SR Endurance Speed'!H88</f>
        <v>18</v>
      </c>
      <c r="C1099" t="str">
        <f>'Female SR Endurance Speed'!I88</f>
        <v>FTMS</v>
      </c>
      <c r="D1099" t="str">
        <f>'Female SR Endurance Speed'!J88</f>
        <v>15-16</v>
      </c>
      <c r="E1099">
        <f>'Female SR Endurance Speed'!K88</f>
        <v>0</v>
      </c>
      <c r="I1099" t="str">
        <f t="shared" si="32"/>
        <v>FTMS-Female Three Minute Speed</v>
      </c>
    </row>
    <row r="1100" spans="1:9" x14ac:dyDescent="0.25">
      <c r="A1100">
        <f>'Team Info'!$B$3</f>
        <v>0</v>
      </c>
      <c r="B1100">
        <f>'Female SR Endurance Speed'!H89</f>
        <v>19</v>
      </c>
      <c r="C1100" t="str">
        <f>'Female SR Endurance Speed'!I89</f>
        <v>FTMS</v>
      </c>
      <c r="D1100" t="str">
        <f>'Female SR Endurance Speed'!J89</f>
        <v>15-16</v>
      </c>
      <c r="E1100">
        <f>'Female SR Endurance Speed'!K89</f>
        <v>0</v>
      </c>
      <c r="I1100" t="str">
        <f t="shared" si="32"/>
        <v>FTMS-Female Three Minute Speed</v>
      </c>
    </row>
    <row r="1101" spans="1:9" x14ac:dyDescent="0.25">
      <c r="A1101">
        <f>'Team Info'!$B$3</f>
        <v>0</v>
      </c>
      <c r="B1101">
        <f>'Female SR Endurance Speed'!H90</f>
        <v>20</v>
      </c>
      <c r="C1101" t="str">
        <f>'Female SR Endurance Speed'!I90</f>
        <v>FTMS</v>
      </c>
      <c r="D1101" t="str">
        <f>'Female SR Endurance Speed'!J90</f>
        <v>15-16</v>
      </c>
      <c r="E1101">
        <f>'Female SR Endurance Speed'!K90</f>
        <v>0</v>
      </c>
      <c r="I1101" t="str">
        <f t="shared" si="32"/>
        <v>FTMS-Female Three Minute Speed</v>
      </c>
    </row>
    <row r="1102" spans="1:9" x14ac:dyDescent="0.25">
      <c r="A1102">
        <f>'Team Info'!$B$3</f>
        <v>0</v>
      </c>
      <c r="B1102">
        <f>'Female SR Endurance Speed'!A93</f>
        <v>1</v>
      </c>
      <c r="C1102" t="str">
        <f>'Female SR Endurance Speed'!B93</f>
        <v>FTMS</v>
      </c>
      <c r="D1102" t="str">
        <f>'Female SR Endurance Speed'!C93</f>
        <v>17-18</v>
      </c>
      <c r="E1102">
        <f>'Female SR Endurance Speed'!D93</f>
        <v>0</v>
      </c>
      <c r="I1102" t="str">
        <f t="shared" ref="I1102:I1132" si="33">VLOOKUP(C1102,EVENTS,2,FALSE)</f>
        <v>FTMS-Female Three Minute Speed</v>
      </c>
    </row>
    <row r="1103" spans="1:9" x14ac:dyDescent="0.25">
      <c r="A1103">
        <f>'Team Info'!$B$3</f>
        <v>0</v>
      </c>
      <c r="B1103">
        <f>'Female SR Endurance Speed'!A94</f>
        <v>2</v>
      </c>
      <c r="C1103" t="str">
        <f>'Female SR Endurance Speed'!B94</f>
        <v>FTMS</v>
      </c>
      <c r="D1103" t="str">
        <f>'Female SR Endurance Speed'!C94</f>
        <v>17-18</v>
      </c>
      <c r="E1103">
        <f>'Female SR Endurance Speed'!D94</f>
        <v>0</v>
      </c>
      <c r="I1103" t="str">
        <f t="shared" si="33"/>
        <v>FTMS-Female Three Minute Speed</v>
      </c>
    </row>
    <row r="1104" spans="1:9" x14ac:dyDescent="0.25">
      <c r="A1104">
        <f>'Team Info'!$B$3</f>
        <v>0</v>
      </c>
      <c r="B1104">
        <f>'Female SR Endurance Speed'!A95</f>
        <v>3</v>
      </c>
      <c r="C1104" t="str">
        <f>'Female SR Endurance Speed'!B95</f>
        <v>FTMS</v>
      </c>
      <c r="D1104" t="str">
        <f>'Female SR Endurance Speed'!C95</f>
        <v>17-18</v>
      </c>
      <c r="E1104">
        <f>'Female SR Endurance Speed'!D95</f>
        <v>0</v>
      </c>
      <c r="I1104" t="str">
        <f t="shared" si="33"/>
        <v>FTMS-Female Three Minute Speed</v>
      </c>
    </row>
    <row r="1105" spans="1:9" x14ac:dyDescent="0.25">
      <c r="A1105">
        <f>'Team Info'!$B$3</f>
        <v>0</v>
      </c>
      <c r="B1105">
        <f>'Female SR Endurance Speed'!A96</f>
        <v>4</v>
      </c>
      <c r="C1105" t="str">
        <f>'Female SR Endurance Speed'!B96</f>
        <v>FTMS</v>
      </c>
      <c r="D1105" t="str">
        <f>'Female SR Endurance Speed'!C96</f>
        <v>17-18</v>
      </c>
      <c r="E1105">
        <f>'Female SR Endurance Speed'!D96</f>
        <v>0</v>
      </c>
      <c r="I1105" t="str">
        <f t="shared" si="33"/>
        <v>FTMS-Female Three Minute Speed</v>
      </c>
    </row>
    <row r="1106" spans="1:9" x14ac:dyDescent="0.25">
      <c r="A1106">
        <f>'Team Info'!$B$3</f>
        <v>0</v>
      </c>
      <c r="B1106">
        <f>'Female SR Endurance Speed'!A97</f>
        <v>5</v>
      </c>
      <c r="C1106" t="str">
        <f>'Female SR Endurance Speed'!B97</f>
        <v>FTMS</v>
      </c>
      <c r="D1106" t="str">
        <f>'Female SR Endurance Speed'!C97</f>
        <v>17-18</v>
      </c>
      <c r="E1106">
        <f>'Female SR Endurance Speed'!D97</f>
        <v>0</v>
      </c>
      <c r="I1106" t="str">
        <f t="shared" si="33"/>
        <v>FTMS-Female Three Minute Speed</v>
      </c>
    </row>
    <row r="1107" spans="1:9" x14ac:dyDescent="0.25">
      <c r="A1107">
        <f>'Team Info'!$B$3</f>
        <v>0</v>
      </c>
      <c r="B1107">
        <f>'Female SR Endurance Speed'!A98</f>
        <v>6</v>
      </c>
      <c r="C1107" t="str">
        <f>'Female SR Endurance Speed'!B98</f>
        <v>FTMS</v>
      </c>
      <c r="D1107" t="str">
        <f>'Female SR Endurance Speed'!C98</f>
        <v>17-18</v>
      </c>
      <c r="E1107">
        <f>'Female SR Endurance Speed'!D98</f>
        <v>0</v>
      </c>
      <c r="I1107" t="str">
        <f t="shared" si="33"/>
        <v>FTMS-Female Three Minute Speed</v>
      </c>
    </row>
    <row r="1108" spans="1:9" x14ac:dyDescent="0.25">
      <c r="A1108">
        <f>'Team Info'!$B$3</f>
        <v>0</v>
      </c>
      <c r="B1108">
        <f>'Female SR Endurance Speed'!A99</f>
        <v>7</v>
      </c>
      <c r="C1108" t="str">
        <f>'Female SR Endurance Speed'!B99</f>
        <v>FTMS</v>
      </c>
      <c r="D1108" t="str">
        <f>'Female SR Endurance Speed'!C99</f>
        <v>17-18</v>
      </c>
      <c r="E1108">
        <f>'Female SR Endurance Speed'!D99</f>
        <v>0</v>
      </c>
      <c r="I1108" t="str">
        <f t="shared" si="33"/>
        <v>FTMS-Female Three Minute Speed</v>
      </c>
    </row>
    <row r="1109" spans="1:9" x14ac:dyDescent="0.25">
      <c r="A1109">
        <f>'Team Info'!$B$3</f>
        <v>0</v>
      </c>
      <c r="B1109">
        <f>'Female SR Endurance Speed'!A100</f>
        <v>8</v>
      </c>
      <c r="C1109" t="str">
        <f>'Female SR Endurance Speed'!B100</f>
        <v>FTMS</v>
      </c>
      <c r="D1109" t="str">
        <f>'Female SR Endurance Speed'!C100</f>
        <v>17-18</v>
      </c>
      <c r="E1109">
        <f>'Female SR Endurance Speed'!D100</f>
        <v>0</v>
      </c>
      <c r="I1109" t="str">
        <f t="shared" si="33"/>
        <v>FTMS-Female Three Minute Speed</v>
      </c>
    </row>
    <row r="1110" spans="1:9" x14ac:dyDescent="0.25">
      <c r="A1110">
        <f>'Team Info'!$B$3</f>
        <v>0</v>
      </c>
      <c r="B1110">
        <f>'Female SR Endurance Speed'!A101</f>
        <v>9</v>
      </c>
      <c r="C1110" t="str">
        <f>'Female SR Endurance Speed'!B101</f>
        <v>FTMS</v>
      </c>
      <c r="D1110" t="str">
        <f>'Female SR Endurance Speed'!C101</f>
        <v>17-18</v>
      </c>
      <c r="E1110">
        <f>'Female SR Endurance Speed'!D101</f>
        <v>0</v>
      </c>
      <c r="I1110" t="str">
        <f t="shared" si="33"/>
        <v>FTMS-Female Three Minute Speed</v>
      </c>
    </row>
    <row r="1111" spans="1:9" x14ac:dyDescent="0.25">
      <c r="A1111">
        <f>'Team Info'!$B$3</f>
        <v>0</v>
      </c>
      <c r="B1111">
        <f>'Female SR Endurance Speed'!A102</f>
        <v>10</v>
      </c>
      <c r="C1111" t="str">
        <f>'Female SR Endurance Speed'!B102</f>
        <v>FTMS</v>
      </c>
      <c r="D1111" t="str">
        <f>'Female SR Endurance Speed'!C102</f>
        <v>17-18</v>
      </c>
      <c r="E1111">
        <f>'Female SR Endurance Speed'!D102</f>
        <v>0</v>
      </c>
      <c r="I1111" t="str">
        <f t="shared" si="33"/>
        <v>FTMS-Female Three Minute Speed</v>
      </c>
    </row>
    <row r="1112" spans="1:9" x14ac:dyDescent="0.25">
      <c r="A1112">
        <f>'Team Info'!$B$3</f>
        <v>0</v>
      </c>
      <c r="B1112">
        <f>'Female SR Endurance Speed'!A103</f>
        <v>11</v>
      </c>
      <c r="C1112" t="str">
        <f>'Female SR Endurance Speed'!B103</f>
        <v>FTMS</v>
      </c>
      <c r="D1112" t="str">
        <f>'Female SR Endurance Speed'!C103</f>
        <v>17-18</v>
      </c>
      <c r="E1112">
        <f>'Female SR Endurance Speed'!D103</f>
        <v>0</v>
      </c>
      <c r="I1112" t="str">
        <f t="shared" si="33"/>
        <v>FTMS-Female Three Minute Speed</v>
      </c>
    </row>
    <row r="1113" spans="1:9" x14ac:dyDescent="0.25">
      <c r="A1113">
        <f>'Team Info'!$B$3</f>
        <v>0</v>
      </c>
      <c r="B1113">
        <f>'Female SR Endurance Speed'!A104</f>
        <v>12</v>
      </c>
      <c r="C1113" t="str">
        <f>'Female SR Endurance Speed'!B104</f>
        <v>FTMS</v>
      </c>
      <c r="D1113" t="str">
        <f>'Female SR Endurance Speed'!C104</f>
        <v>17-18</v>
      </c>
      <c r="E1113">
        <f>'Female SR Endurance Speed'!D104</f>
        <v>0</v>
      </c>
      <c r="I1113" t="str">
        <f t="shared" si="33"/>
        <v>FTMS-Female Three Minute Speed</v>
      </c>
    </row>
    <row r="1114" spans="1:9" x14ac:dyDescent="0.25">
      <c r="A1114">
        <f>'Team Info'!$B$3</f>
        <v>0</v>
      </c>
      <c r="B1114">
        <f>'Female SR Endurance Speed'!A105</f>
        <v>13</v>
      </c>
      <c r="C1114" t="str">
        <f>'Female SR Endurance Speed'!B105</f>
        <v>FTMS</v>
      </c>
      <c r="D1114" t="str">
        <f>'Female SR Endurance Speed'!C105</f>
        <v>17-18</v>
      </c>
      <c r="E1114">
        <f>'Female SR Endurance Speed'!D105</f>
        <v>0</v>
      </c>
      <c r="I1114" t="str">
        <f t="shared" si="33"/>
        <v>FTMS-Female Three Minute Speed</v>
      </c>
    </row>
    <row r="1115" spans="1:9" x14ac:dyDescent="0.25">
      <c r="A1115">
        <f>'Team Info'!$B$3</f>
        <v>0</v>
      </c>
      <c r="B1115">
        <f>'Female SR Endurance Speed'!A106</f>
        <v>14</v>
      </c>
      <c r="C1115" t="str">
        <f>'Female SR Endurance Speed'!B106</f>
        <v>FTMS</v>
      </c>
      <c r="D1115" t="str">
        <f>'Female SR Endurance Speed'!C106</f>
        <v>17-18</v>
      </c>
      <c r="E1115">
        <f>'Female SR Endurance Speed'!D106</f>
        <v>0</v>
      </c>
      <c r="I1115" t="str">
        <f t="shared" si="33"/>
        <v>FTMS-Female Three Minute Speed</v>
      </c>
    </row>
    <row r="1116" spans="1:9" x14ac:dyDescent="0.25">
      <c r="A1116">
        <f>'Team Info'!$B$3</f>
        <v>0</v>
      </c>
      <c r="B1116">
        <f>'Female SR Endurance Speed'!A107</f>
        <v>15</v>
      </c>
      <c r="C1116" t="str">
        <f>'Female SR Endurance Speed'!B107</f>
        <v>FTMS</v>
      </c>
      <c r="D1116" t="str">
        <f>'Female SR Endurance Speed'!C107</f>
        <v>17-18</v>
      </c>
      <c r="E1116">
        <f>'Female SR Endurance Speed'!D107</f>
        <v>0</v>
      </c>
      <c r="I1116" t="str">
        <f t="shared" si="33"/>
        <v>FTMS-Female Three Minute Speed</v>
      </c>
    </row>
    <row r="1117" spans="1:9" x14ac:dyDescent="0.25">
      <c r="A1117">
        <f>'Team Info'!$B$3</f>
        <v>0</v>
      </c>
      <c r="B1117">
        <f>'Female SR Endurance Speed'!A108</f>
        <v>16</v>
      </c>
      <c r="C1117" t="str">
        <f>'Female SR Endurance Speed'!B108</f>
        <v>FTMS</v>
      </c>
      <c r="D1117" t="str">
        <f>'Female SR Endurance Speed'!C108</f>
        <v>17-18</v>
      </c>
      <c r="E1117">
        <f>'Female SR Endurance Speed'!D108</f>
        <v>0</v>
      </c>
      <c r="I1117" t="str">
        <f t="shared" si="33"/>
        <v>FTMS-Female Three Minute Speed</v>
      </c>
    </row>
    <row r="1118" spans="1:9" x14ac:dyDescent="0.25">
      <c r="A1118">
        <f>'Team Info'!$B$3</f>
        <v>0</v>
      </c>
      <c r="B1118">
        <f>'Female SR Endurance Speed'!A109</f>
        <v>17</v>
      </c>
      <c r="C1118" t="str">
        <f>'Female SR Endurance Speed'!B109</f>
        <v>FTMS</v>
      </c>
      <c r="D1118" t="str">
        <f>'Female SR Endurance Speed'!C109</f>
        <v>17-18</v>
      </c>
      <c r="E1118">
        <f>'Female SR Endurance Speed'!D109</f>
        <v>0</v>
      </c>
      <c r="I1118" t="str">
        <f t="shared" si="33"/>
        <v>FTMS-Female Three Minute Speed</v>
      </c>
    </row>
    <row r="1119" spans="1:9" x14ac:dyDescent="0.25">
      <c r="A1119">
        <f>'Team Info'!$B$3</f>
        <v>0</v>
      </c>
      <c r="B1119">
        <f>'Female SR Endurance Speed'!A110</f>
        <v>18</v>
      </c>
      <c r="C1119" t="str">
        <f>'Female SR Endurance Speed'!B110</f>
        <v>FTMS</v>
      </c>
      <c r="D1119" t="str">
        <f>'Female SR Endurance Speed'!C110</f>
        <v>17-18</v>
      </c>
      <c r="E1119">
        <f>'Female SR Endurance Speed'!D110</f>
        <v>0</v>
      </c>
      <c r="I1119" t="str">
        <f t="shared" si="33"/>
        <v>FTMS-Female Three Minute Speed</v>
      </c>
    </row>
    <row r="1120" spans="1:9" x14ac:dyDescent="0.25">
      <c r="A1120">
        <f>'Team Info'!$B$3</f>
        <v>0</v>
      </c>
      <c r="B1120">
        <f>'Female SR Endurance Speed'!A111</f>
        <v>19</v>
      </c>
      <c r="C1120" t="str">
        <f>'Female SR Endurance Speed'!B111</f>
        <v>FTMS</v>
      </c>
      <c r="D1120" t="str">
        <f>'Female SR Endurance Speed'!C111</f>
        <v>17-18</v>
      </c>
      <c r="E1120">
        <f>'Female SR Endurance Speed'!D111</f>
        <v>0</v>
      </c>
      <c r="I1120" t="str">
        <f t="shared" si="33"/>
        <v>FTMS-Female Three Minute Speed</v>
      </c>
    </row>
    <row r="1121" spans="1:9" x14ac:dyDescent="0.25">
      <c r="A1121">
        <f>'Team Info'!$B$3</f>
        <v>0</v>
      </c>
      <c r="B1121">
        <f>'Female SR Endurance Speed'!A112</f>
        <v>20</v>
      </c>
      <c r="C1121" t="str">
        <f>'Female SR Endurance Speed'!B112</f>
        <v>FTMS</v>
      </c>
      <c r="D1121" t="str">
        <f>'Female SR Endurance Speed'!C112</f>
        <v>17-18</v>
      </c>
      <c r="E1121">
        <f>'Female SR Endurance Speed'!D112</f>
        <v>0</v>
      </c>
      <c r="I1121" t="str">
        <f t="shared" si="33"/>
        <v>FTMS-Female Three Minute Speed</v>
      </c>
    </row>
    <row r="1122" spans="1:9" x14ac:dyDescent="0.25">
      <c r="A1122">
        <f>'Team Info'!$B$3</f>
        <v>0</v>
      </c>
      <c r="B1122">
        <f>'Female SR Endurance Speed'!H93</f>
        <v>1</v>
      </c>
      <c r="C1122" t="str">
        <f>'Female SR Endurance Speed'!I93</f>
        <v>FTMS</v>
      </c>
      <c r="D1122" t="str">
        <f>'Female SR Endurance Speed'!J93</f>
        <v>19-22</v>
      </c>
      <c r="E1122">
        <f>'Female SR Endurance Speed'!K93</f>
        <v>0</v>
      </c>
      <c r="I1122" t="str">
        <f t="shared" si="33"/>
        <v>FTMS-Female Three Minute Speed</v>
      </c>
    </row>
    <row r="1123" spans="1:9" x14ac:dyDescent="0.25">
      <c r="A1123">
        <f>'Team Info'!$B$3</f>
        <v>0</v>
      </c>
      <c r="B1123">
        <f>'Female SR Endurance Speed'!H94</f>
        <v>2</v>
      </c>
      <c r="C1123" t="str">
        <f>'Female SR Endurance Speed'!I94</f>
        <v>FTMS</v>
      </c>
      <c r="D1123" t="str">
        <f>'Female SR Endurance Speed'!J94</f>
        <v>19-22</v>
      </c>
      <c r="E1123">
        <f>'Female SR Endurance Speed'!K94</f>
        <v>0</v>
      </c>
      <c r="I1123" t="str">
        <f t="shared" si="33"/>
        <v>FTMS-Female Three Minute Speed</v>
      </c>
    </row>
    <row r="1124" spans="1:9" x14ac:dyDescent="0.25">
      <c r="A1124">
        <f>'Team Info'!$B$3</f>
        <v>0</v>
      </c>
      <c r="B1124">
        <f>'Female SR Endurance Speed'!H95</f>
        <v>3</v>
      </c>
      <c r="C1124" t="str">
        <f>'Female SR Endurance Speed'!I95</f>
        <v>FTMS</v>
      </c>
      <c r="D1124" t="str">
        <f>'Female SR Endurance Speed'!J95</f>
        <v>19-22</v>
      </c>
      <c r="E1124">
        <f>'Female SR Endurance Speed'!K95</f>
        <v>0</v>
      </c>
      <c r="I1124" t="str">
        <f t="shared" si="33"/>
        <v>FTMS-Female Three Minute Speed</v>
      </c>
    </row>
    <row r="1125" spans="1:9" x14ac:dyDescent="0.25">
      <c r="A1125">
        <f>'Team Info'!$B$3</f>
        <v>0</v>
      </c>
      <c r="B1125">
        <f>'Female SR Endurance Speed'!H96</f>
        <v>4</v>
      </c>
      <c r="C1125" t="str">
        <f>'Female SR Endurance Speed'!I96</f>
        <v>FTMS</v>
      </c>
      <c r="D1125" t="str">
        <f>'Female SR Endurance Speed'!J96</f>
        <v>19-22</v>
      </c>
      <c r="E1125">
        <f>'Female SR Endurance Speed'!K96</f>
        <v>0</v>
      </c>
      <c r="I1125" t="str">
        <f t="shared" si="33"/>
        <v>FTMS-Female Three Minute Speed</v>
      </c>
    </row>
    <row r="1126" spans="1:9" x14ac:dyDescent="0.25">
      <c r="A1126">
        <f>'Team Info'!$B$3</f>
        <v>0</v>
      </c>
      <c r="B1126">
        <f>'Female SR Endurance Speed'!H97</f>
        <v>5</v>
      </c>
      <c r="C1126" t="str">
        <f>'Female SR Endurance Speed'!I97</f>
        <v>FTMS</v>
      </c>
      <c r="D1126" t="str">
        <f>'Female SR Endurance Speed'!J97</f>
        <v>19-22</v>
      </c>
      <c r="E1126">
        <f>'Female SR Endurance Speed'!K97</f>
        <v>0</v>
      </c>
      <c r="I1126" t="str">
        <f t="shared" si="33"/>
        <v>FTMS-Female Three Minute Speed</v>
      </c>
    </row>
    <row r="1127" spans="1:9" x14ac:dyDescent="0.25">
      <c r="A1127">
        <f>'Team Info'!$B$3</f>
        <v>0</v>
      </c>
      <c r="B1127">
        <f>'Female SR Endurance Speed'!H98</f>
        <v>6</v>
      </c>
      <c r="C1127" t="str">
        <f>'Female SR Endurance Speed'!I98</f>
        <v>FTMS</v>
      </c>
      <c r="D1127" t="str">
        <f>'Female SR Endurance Speed'!J98</f>
        <v>19-22</v>
      </c>
      <c r="E1127">
        <f>'Female SR Endurance Speed'!K98</f>
        <v>0</v>
      </c>
      <c r="I1127" t="str">
        <f t="shared" si="33"/>
        <v>FTMS-Female Three Minute Speed</v>
      </c>
    </row>
    <row r="1128" spans="1:9" x14ac:dyDescent="0.25">
      <c r="A1128">
        <f>'Team Info'!$B$3</f>
        <v>0</v>
      </c>
      <c r="B1128">
        <f>'Female SR Endurance Speed'!H99</f>
        <v>7</v>
      </c>
      <c r="C1128" t="str">
        <f>'Female SR Endurance Speed'!I99</f>
        <v>FTMS</v>
      </c>
      <c r="D1128" t="str">
        <f>'Female SR Endurance Speed'!J99</f>
        <v>19-22</v>
      </c>
      <c r="E1128">
        <f>'Female SR Endurance Speed'!K99</f>
        <v>0</v>
      </c>
      <c r="I1128" t="str">
        <f t="shared" si="33"/>
        <v>FTMS-Female Three Minute Speed</v>
      </c>
    </row>
    <row r="1129" spans="1:9" x14ac:dyDescent="0.25">
      <c r="A1129">
        <f>'Team Info'!$B$3</f>
        <v>0</v>
      </c>
      <c r="B1129">
        <f>'Female SR Endurance Speed'!H100</f>
        <v>8</v>
      </c>
      <c r="C1129" t="str">
        <f>'Female SR Endurance Speed'!I100</f>
        <v>FTMS</v>
      </c>
      <c r="D1129" t="str">
        <f>'Female SR Endurance Speed'!J100</f>
        <v>19-22</v>
      </c>
      <c r="E1129">
        <f>'Female SR Endurance Speed'!K100</f>
        <v>0</v>
      </c>
      <c r="I1129" t="str">
        <f t="shared" si="33"/>
        <v>FTMS-Female Three Minute Speed</v>
      </c>
    </row>
    <row r="1130" spans="1:9" x14ac:dyDescent="0.25">
      <c r="A1130">
        <f>'Team Info'!$B$3</f>
        <v>0</v>
      </c>
      <c r="B1130">
        <f>'Female SR Endurance Speed'!H101</f>
        <v>9</v>
      </c>
      <c r="C1130" t="str">
        <f>'Female SR Endurance Speed'!I101</f>
        <v>FTMS</v>
      </c>
      <c r="D1130" t="str">
        <f>'Female SR Endurance Speed'!J101</f>
        <v>19-22</v>
      </c>
      <c r="E1130">
        <f>'Female SR Endurance Speed'!K101</f>
        <v>0</v>
      </c>
      <c r="I1130" t="str">
        <f t="shared" si="33"/>
        <v>FTMS-Female Three Minute Speed</v>
      </c>
    </row>
    <row r="1131" spans="1:9" x14ac:dyDescent="0.25">
      <c r="A1131">
        <f>'Team Info'!$B$3</f>
        <v>0</v>
      </c>
      <c r="B1131">
        <f>'Female SR Endurance Speed'!H102</f>
        <v>10</v>
      </c>
      <c r="C1131" t="str">
        <f>'Female SR Endurance Speed'!I102</f>
        <v>FTMS</v>
      </c>
      <c r="D1131" t="str">
        <f>'Female SR Endurance Speed'!J102</f>
        <v>19-22</v>
      </c>
      <c r="E1131">
        <f>'Female SR Endurance Speed'!K102</f>
        <v>0</v>
      </c>
      <c r="I1131" t="str">
        <f t="shared" si="33"/>
        <v>FTMS-Female Three Minute Speed</v>
      </c>
    </row>
    <row r="1132" spans="1:9" x14ac:dyDescent="0.25">
      <c r="A1132">
        <f>'Team Info'!$B$3</f>
        <v>0</v>
      </c>
      <c r="B1132">
        <f>'Female SR Endurance Speed'!H103</f>
        <v>11</v>
      </c>
      <c r="C1132" t="str">
        <f>'Female SR Endurance Speed'!I103</f>
        <v>FTMS</v>
      </c>
      <c r="D1132" t="str">
        <f>'Female SR Endurance Speed'!J103</f>
        <v>19-22</v>
      </c>
      <c r="E1132">
        <f>'Female SR Endurance Speed'!K103</f>
        <v>0</v>
      </c>
      <c r="I1132" t="str">
        <f t="shared" si="33"/>
        <v>FTMS-Female Three Minute Speed</v>
      </c>
    </row>
    <row r="1133" spans="1:9" x14ac:dyDescent="0.25">
      <c r="A1133">
        <f>'Team Info'!$B$3</f>
        <v>0</v>
      </c>
      <c r="B1133">
        <f>'Female SR Endurance Speed'!H104</f>
        <v>12</v>
      </c>
      <c r="C1133" t="str">
        <f>'Female SR Endurance Speed'!I104</f>
        <v>FTMS</v>
      </c>
      <c r="D1133" t="str">
        <f>'Female SR Endurance Speed'!J104</f>
        <v>19-22</v>
      </c>
      <c r="E1133">
        <f>'Female SR Endurance Speed'!K104</f>
        <v>0</v>
      </c>
      <c r="I1133" t="str">
        <f t="shared" ref="I1133:I1139" si="34">VLOOKUP(C1133,EVENTS,2,FALSE)</f>
        <v>FTMS-Female Three Minute Speed</v>
      </c>
    </row>
    <row r="1134" spans="1:9" x14ac:dyDescent="0.25">
      <c r="A1134">
        <f>'Team Info'!$B$3</f>
        <v>0</v>
      </c>
      <c r="B1134">
        <f>'Female SR Endurance Speed'!H105</f>
        <v>13</v>
      </c>
      <c r="C1134" t="str">
        <f>'Female SR Endurance Speed'!I105</f>
        <v>FTMS</v>
      </c>
      <c r="D1134" t="str">
        <f>'Female SR Endurance Speed'!J105</f>
        <v>19-22</v>
      </c>
      <c r="E1134">
        <f>'Female SR Endurance Speed'!K105</f>
        <v>0</v>
      </c>
      <c r="I1134" t="str">
        <f t="shared" si="34"/>
        <v>FTMS-Female Three Minute Speed</v>
      </c>
    </row>
    <row r="1135" spans="1:9" x14ac:dyDescent="0.25">
      <c r="A1135">
        <f>'Team Info'!$B$3</f>
        <v>0</v>
      </c>
      <c r="B1135">
        <f>'Female SR Endurance Speed'!H106</f>
        <v>14</v>
      </c>
      <c r="C1135" t="str">
        <f>'Female SR Endurance Speed'!I106</f>
        <v>FTMS</v>
      </c>
      <c r="D1135" t="str">
        <f>'Female SR Endurance Speed'!J106</f>
        <v>19-22</v>
      </c>
      <c r="E1135">
        <f>'Female SR Endurance Speed'!K106</f>
        <v>0</v>
      </c>
      <c r="I1135" t="str">
        <f t="shared" si="34"/>
        <v>FTMS-Female Three Minute Speed</v>
      </c>
    </row>
    <row r="1136" spans="1:9" x14ac:dyDescent="0.25">
      <c r="A1136">
        <f>'Team Info'!$B$3</f>
        <v>0</v>
      </c>
      <c r="B1136">
        <f>'Female SR Endurance Speed'!H107</f>
        <v>15</v>
      </c>
      <c r="C1136" t="str">
        <f>'Female SR Endurance Speed'!I107</f>
        <v>FTMS</v>
      </c>
      <c r="D1136" t="str">
        <f>'Female SR Endurance Speed'!J107</f>
        <v>19-22</v>
      </c>
      <c r="E1136">
        <f>'Female SR Endurance Speed'!K107</f>
        <v>0</v>
      </c>
      <c r="I1136" t="str">
        <f t="shared" si="34"/>
        <v>FTMS-Female Three Minute Speed</v>
      </c>
    </row>
    <row r="1137" spans="1:9" x14ac:dyDescent="0.25">
      <c r="A1137">
        <f>'Team Info'!$B$3</f>
        <v>0</v>
      </c>
      <c r="B1137">
        <f>'Female SR Endurance Speed'!H108</f>
        <v>16</v>
      </c>
      <c r="C1137" t="str">
        <f>'Female SR Endurance Speed'!I108</f>
        <v>FTMS</v>
      </c>
      <c r="D1137" t="str">
        <f>'Female SR Endurance Speed'!J108</f>
        <v>19-22</v>
      </c>
      <c r="E1137">
        <f>'Female SR Endurance Speed'!K108</f>
        <v>0</v>
      </c>
      <c r="I1137" t="str">
        <f t="shared" si="34"/>
        <v>FTMS-Female Three Minute Speed</v>
      </c>
    </row>
    <row r="1138" spans="1:9" x14ac:dyDescent="0.25">
      <c r="A1138">
        <f>'Team Info'!$B$3</f>
        <v>0</v>
      </c>
      <c r="B1138">
        <f>'Female SR Endurance Speed'!H109</f>
        <v>17</v>
      </c>
      <c r="C1138" t="str">
        <f>'Female SR Endurance Speed'!I109</f>
        <v>FTMS</v>
      </c>
      <c r="D1138" t="str">
        <f>'Female SR Endurance Speed'!J109</f>
        <v>19-22</v>
      </c>
      <c r="E1138">
        <f>'Female SR Endurance Speed'!K109</f>
        <v>0</v>
      </c>
      <c r="I1138" t="str">
        <f t="shared" si="34"/>
        <v>FTMS-Female Three Minute Speed</v>
      </c>
    </row>
    <row r="1139" spans="1:9" x14ac:dyDescent="0.25">
      <c r="A1139">
        <f>'Team Info'!$B$3</f>
        <v>0</v>
      </c>
      <c r="B1139">
        <f>'Female SR Endurance Speed'!H110</f>
        <v>18</v>
      </c>
      <c r="C1139" t="str">
        <f>'Female SR Endurance Speed'!I110</f>
        <v>FTMS</v>
      </c>
      <c r="D1139" t="str">
        <f>'Female SR Endurance Speed'!J110</f>
        <v>19-22</v>
      </c>
      <c r="E1139">
        <f>'Female SR Endurance Speed'!K110</f>
        <v>0</v>
      </c>
      <c r="I1139" t="str">
        <f t="shared" si="34"/>
        <v>FTMS-Female Three Minute Speed</v>
      </c>
    </row>
    <row r="1140" spans="1:9" x14ac:dyDescent="0.25">
      <c r="A1140">
        <f>'Team Info'!$B$3</f>
        <v>0</v>
      </c>
      <c r="B1140">
        <f>'Female SR Endurance Speed'!H111</f>
        <v>19</v>
      </c>
      <c r="C1140" t="str">
        <f>'Female SR Endurance Speed'!I111</f>
        <v>FTMS</v>
      </c>
      <c r="D1140" t="str">
        <f>'Female SR Endurance Speed'!J111</f>
        <v>19-22</v>
      </c>
      <c r="E1140">
        <f>'Female SR Endurance Speed'!K111</f>
        <v>0</v>
      </c>
      <c r="I1140" t="str">
        <f t="shared" ref="I1140:I1141" si="35">VLOOKUP(C1140,EVENTS,2,FALSE)</f>
        <v>FTMS-Female Three Minute Speed</v>
      </c>
    </row>
    <row r="1141" spans="1:9" x14ac:dyDescent="0.25">
      <c r="A1141">
        <f>'Team Info'!$B$3</f>
        <v>0</v>
      </c>
      <c r="B1141">
        <f>'Female SR Endurance Speed'!H112</f>
        <v>20</v>
      </c>
      <c r="C1141" t="str">
        <f>'Female SR Endurance Speed'!I112</f>
        <v>FTMS</v>
      </c>
      <c r="D1141" t="str">
        <f>'Female SR Endurance Speed'!J112</f>
        <v>19-22</v>
      </c>
      <c r="E1141">
        <f>'Female SR Endurance Speed'!K112</f>
        <v>0</v>
      </c>
      <c r="I1141" t="str">
        <f t="shared" si="35"/>
        <v>FTMS-Female Three Minute Speed</v>
      </c>
    </row>
    <row r="1142" spans="1:9" x14ac:dyDescent="0.25">
      <c r="A1142">
        <f>'Team Info'!$B$3</f>
        <v>0</v>
      </c>
      <c r="B1142">
        <f>'Female SR Endurance Speed'!A115</f>
        <v>1</v>
      </c>
      <c r="C1142" t="str">
        <f>'Female SR Endurance Speed'!B115</f>
        <v>FTMS</v>
      </c>
      <c r="D1142" t="str">
        <f>'Female SR Endurance Speed'!C115</f>
        <v>23-29</v>
      </c>
      <c r="E1142">
        <f>'Female SR Endurance Speed'!D115</f>
        <v>0</v>
      </c>
      <c r="I1142" t="str">
        <f t="shared" si="32"/>
        <v>FTMS-Female Three Minute Speed</v>
      </c>
    </row>
    <row r="1143" spans="1:9" x14ac:dyDescent="0.25">
      <c r="A1143">
        <f>'Team Info'!$B$3</f>
        <v>0</v>
      </c>
      <c r="B1143">
        <f>'Female SR Endurance Speed'!A116</f>
        <v>2</v>
      </c>
      <c r="C1143" t="str">
        <f>'Female SR Endurance Speed'!B116</f>
        <v>FTMS</v>
      </c>
      <c r="D1143" t="str">
        <f>'Female SR Endurance Speed'!C116</f>
        <v>23-29</v>
      </c>
      <c r="E1143">
        <f>'Female SR Endurance Speed'!D116</f>
        <v>0</v>
      </c>
      <c r="I1143" t="str">
        <f t="shared" si="32"/>
        <v>FTMS-Female Three Minute Speed</v>
      </c>
    </row>
    <row r="1144" spans="1:9" x14ac:dyDescent="0.25">
      <c r="A1144">
        <f>'Team Info'!$B$3</f>
        <v>0</v>
      </c>
      <c r="B1144">
        <f>'Female SR Endurance Speed'!A117</f>
        <v>3</v>
      </c>
      <c r="C1144" t="str">
        <f>'Female SR Endurance Speed'!B117</f>
        <v>FTMS</v>
      </c>
      <c r="D1144" t="str">
        <f>'Female SR Endurance Speed'!C117</f>
        <v>23-29</v>
      </c>
      <c r="E1144">
        <f>'Female SR Endurance Speed'!D117</f>
        <v>0</v>
      </c>
      <c r="I1144" t="str">
        <f t="shared" si="32"/>
        <v>FTMS-Female Three Minute Speed</v>
      </c>
    </row>
    <row r="1145" spans="1:9" x14ac:dyDescent="0.25">
      <c r="A1145">
        <f>'Team Info'!$B$3</f>
        <v>0</v>
      </c>
      <c r="B1145">
        <f>'Female SR Endurance Speed'!A118</f>
        <v>4</v>
      </c>
      <c r="C1145" t="str">
        <f>'Female SR Endurance Speed'!B118</f>
        <v>FTMS</v>
      </c>
      <c r="D1145" t="str">
        <f>'Female SR Endurance Speed'!C118</f>
        <v>23-29</v>
      </c>
      <c r="E1145">
        <f>'Female SR Endurance Speed'!D118</f>
        <v>0</v>
      </c>
      <c r="I1145" t="str">
        <f t="shared" si="32"/>
        <v>FTMS-Female Three Minute Speed</v>
      </c>
    </row>
    <row r="1146" spans="1:9" x14ac:dyDescent="0.25">
      <c r="A1146">
        <f>'Team Info'!$B$3</f>
        <v>0</v>
      </c>
      <c r="B1146">
        <f>'Female SR Endurance Speed'!A119</f>
        <v>5</v>
      </c>
      <c r="C1146" t="str">
        <f>'Female SR Endurance Speed'!B119</f>
        <v>FTMS</v>
      </c>
      <c r="D1146" t="str">
        <f>'Female SR Endurance Speed'!C119</f>
        <v>23-29</v>
      </c>
      <c r="E1146">
        <f>'Female SR Endurance Speed'!D119</f>
        <v>0</v>
      </c>
      <c r="I1146" t="str">
        <f t="shared" si="32"/>
        <v>FTMS-Female Three Minute Speed</v>
      </c>
    </row>
    <row r="1147" spans="1:9" x14ac:dyDescent="0.25">
      <c r="A1147">
        <f>'Team Info'!$B$3</f>
        <v>0</v>
      </c>
      <c r="B1147">
        <f>'Female SR Endurance Speed'!A120</f>
        <v>6</v>
      </c>
      <c r="C1147" t="str">
        <f>'Female SR Endurance Speed'!B120</f>
        <v>FTMS</v>
      </c>
      <c r="D1147" t="str">
        <f>'Female SR Endurance Speed'!C120</f>
        <v>23-29</v>
      </c>
      <c r="E1147">
        <f>'Female SR Endurance Speed'!D120</f>
        <v>0</v>
      </c>
      <c r="I1147" t="str">
        <f t="shared" si="32"/>
        <v>FTMS-Female Three Minute Speed</v>
      </c>
    </row>
    <row r="1148" spans="1:9" x14ac:dyDescent="0.25">
      <c r="A1148">
        <f>'Team Info'!$B$3</f>
        <v>0</v>
      </c>
      <c r="B1148">
        <f>'Female SR Endurance Speed'!A121</f>
        <v>7</v>
      </c>
      <c r="C1148" t="str">
        <f>'Female SR Endurance Speed'!B121</f>
        <v>FTMS</v>
      </c>
      <c r="D1148" t="str">
        <f>'Female SR Endurance Speed'!C121</f>
        <v>23-29</v>
      </c>
      <c r="E1148">
        <f>'Female SR Endurance Speed'!D121</f>
        <v>0</v>
      </c>
      <c r="I1148" t="str">
        <f t="shared" si="32"/>
        <v>FTMS-Female Three Minute Speed</v>
      </c>
    </row>
    <row r="1149" spans="1:9" x14ac:dyDescent="0.25">
      <c r="A1149">
        <f>'Team Info'!$B$3</f>
        <v>0</v>
      </c>
      <c r="B1149">
        <f>'Female SR Endurance Speed'!A122</f>
        <v>8</v>
      </c>
      <c r="C1149" t="str">
        <f>'Female SR Endurance Speed'!B122</f>
        <v>FTMS</v>
      </c>
      <c r="D1149" t="str">
        <f>'Female SR Endurance Speed'!C122</f>
        <v>23-29</v>
      </c>
      <c r="E1149">
        <f>'Female SR Endurance Speed'!D122</f>
        <v>0</v>
      </c>
      <c r="I1149" t="str">
        <f t="shared" si="32"/>
        <v>FTMS-Female Three Minute Speed</v>
      </c>
    </row>
    <row r="1150" spans="1:9" x14ac:dyDescent="0.25">
      <c r="A1150">
        <f>'Team Info'!$B$3</f>
        <v>0</v>
      </c>
      <c r="B1150">
        <f>'Female SR Endurance Speed'!H115</f>
        <v>1</v>
      </c>
      <c r="C1150" t="str">
        <f>'Female SR Endurance Speed'!I115</f>
        <v>FTMS</v>
      </c>
      <c r="D1150" t="str">
        <f>'Female SR Endurance Speed'!J115</f>
        <v>30-49</v>
      </c>
      <c r="E1150">
        <f>'Female SR Endurance Speed'!K115</f>
        <v>0</v>
      </c>
      <c r="I1150" t="str">
        <f t="shared" si="32"/>
        <v>FTMS-Female Three Minute Speed</v>
      </c>
    </row>
    <row r="1151" spans="1:9" x14ac:dyDescent="0.25">
      <c r="A1151">
        <f>'Team Info'!$B$3</f>
        <v>0</v>
      </c>
      <c r="B1151">
        <f>'Female SR Endurance Speed'!H116</f>
        <v>2</v>
      </c>
      <c r="C1151" t="str">
        <f>'Female SR Endurance Speed'!I116</f>
        <v>FTMS</v>
      </c>
      <c r="D1151" t="str">
        <f>'Female SR Endurance Speed'!J116</f>
        <v>30-49</v>
      </c>
      <c r="E1151">
        <f>'Female SR Endurance Speed'!K116</f>
        <v>0</v>
      </c>
      <c r="I1151" t="str">
        <f t="shared" si="32"/>
        <v>FTMS-Female Three Minute Speed</v>
      </c>
    </row>
    <row r="1152" spans="1:9" x14ac:dyDescent="0.25">
      <c r="A1152">
        <f>'Team Info'!$B$3</f>
        <v>0</v>
      </c>
      <c r="B1152">
        <f>'Female SR Endurance Speed'!H117</f>
        <v>3</v>
      </c>
      <c r="C1152" t="str">
        <f>'Female SR Endurance Speed'!I117</f>
        <v>FTMS</v>
      </c>
      <c r="D1152" t="str">
        <f>'Female SR Endurance Speed'!J117</f>
        <v>30-49</v>
      </c>
      <c r="E1152">
        <f>'Female SR Endurance Speed'!K117</f>
        <v>0</v>
      </c>
      <c r="I1152" t="str">
        <f t="shared" si="32"/>
        <v>FTMS-Female Three Minute Speed</v>
      </c>
    </row>
    <row r="1153" spans="1:9" x14ac:dyDescent="0.25">
      <c r="A1153">
        <f>'Team Info'!$B$3</f>
        <v>0</v>
      </c>
      <c r="B1153">
        <f>'Female SR Endurance Speed'!H118</f>
        <v>4</v>
      </c>
      <c r="C1153" t="str">
        <f>'Female SR Endurance Speed'!I118</f>
        <v>FTMS</v>
      </c>
      <c r="D1153" t="str">
        <f>'Female SR Endurance Speed'!J118</f>
        <v>30-49</v>
      </c>
      <c r="E1153">
        <f>'Female SR Endurance Speed'!K118</f>
        <v>0</v>
      </c>
      <c r="I1153" t="str">
        <f t="shared" si="32"/>
        <v>FTMS-Female Three Minute Speed</v>
      </c>
    </row>
    <row r="1154" spans="1:9" x14ac:dyDescent="0.25">
      <c r="A1154">
        <f>'Team Info'!$B$3</f>
        <v>0</v>
      </c>
      <c r="B1154">
        <f>'Female SR Endurance Speed'!H119</f>
        <v>5</v>
      </c>
      <c r="C1154" t="str">
        <f>'Female SR Endurance Speed'!I119</f>
        <v>FTMS</v>
      </c>
      <c r="D1154" t="str">
        <f>'Female SR Endurance Speed'!J119</f>
        <v>30-49</v>
      </c>
      <c r="E1154">
        <f>'Female SR Endurance Speed'!K119</f>
        <v>0</v>
      </c>
      <c r="I1154" t="str">
        <f t="shared" si="32"/>
        <v>FTMS-Female Three Minute Speed</v>
      </c>
    </row>
    <row r="1155" spans="1:9" x14ac:dyDescent="0.25">
      <c r="A1155">
        <f>'Team Info'!$B$3</f>
        <v>0</v>
      </c>
      <c r="B1155">
        <f>'Female SR Endurance Speed'!H120</f>
        <v>6</v>
      </c>
      <c r="C1155" t="str">
        <f>'Female SR Endurance Speed'!I120</f>
        <v>FTMS</v>
      </c>
      <c r="D1155" t="str">
        <f>'Female SR Endurance Speed'!J120</f>
        <v>30-49</v>
      </c>
      <c r="E1155">
        <f>'Female SR Endurance Speed'!K120</f>
        <v>0</v>
      </c>
      <c r="I1155" t="str">
        <f t="shared" ref="I1155:I1157" si="36">VLOOKUP(C1155,EVENTS,2,FALSE)</f>
        <v>FTMS-Female Three Minute Speed</v>
      </c>
    </row>
    <row r="1156" spans="1:9" x14ac:dyDescent="0.25">
      <c r="A1156">
        <f>'Team Info'!$B$3</f>
        <v>0</v>
      </c>
      <c r="B1156">
        <f>'Female SR Endurance Speed'!H121</f>
        <v>7</v>
      </c>
      <c r="C1156" t="str">
        <f>'Female SR Endurance Speed'!I121</f>
        <v>FTMS</v>
      </c>
      <c r="D1156" t="str">
        <f>'Female SR Endurance Speed'!J121</f>
        <v>30-49</v>
      </c>
      <c r="E1156">
        <f>'Female SR Endurance Speed'!K121</f>
        <v>0</v>
      </c>
      <c r="I1156" t="str">
        <f t="shared" si="36"/>
        <v>FTMS-Female Three Minute Speed</v>
      </c>
    </row>
    <row r="1157" spans="1:9" x14ac:dyDescent="0.25">
      <c r="A1157">
        <f>'Team Info'!$B$3</f>
        <v>0</v>
      </c>
      <c r="B1157">
        <f>'Female SR Endurance Speed'!H122</f>
        <v>8</v>
      </c>
      <c r="C1157" t="str">
        <f>'Female SR Endurance Speed'!I122</f>
        <v>FTMS</v>
      </c>
      <c r="D1157" t="str">
        <f>'Female SR Endurance Speed'!J122</f>
        <v>30-49</v>
      </c>
      <c r="E1157">
        <f>'Female SR Endurance Speed'!K122</f>
        <v>0</v>
      </c>
      <c r="I1157" t="str">
        <f t="shared" si="36"/>
        <v>FTMS-Female Three Minute Speed</v>
      </c>
    </row>
    <row r="1158" spans="1:9" x14ac:dyDescent="0.25">
      <c r="A1158">
        <f>'Team Info'!$B$3</f>
        <v>0</v>
      </c>
      <c r="B1158">
        <f>'Female SR Endurance Speed'!A125</f>
        <v>1</v>
      </c>
      <c r="C1158" t="str">
        <f>'Female SR Endurance Speed'!B125</f>
        <v>FTMS</v>
      </c>
      <c r="D1158" t="str">
        <f>'Female SR Endurance Speed'!C125</f>
        <v>50-Over</v>
      </c>
      <c r="E1158">
        <f>'Female SR Endurance Speed'!D125</f>
        <v>0</v>
      </c>
      <c r="I1158" t="str">
        <f t="shared" si="32"/>
        <v>FTMS-Female Three Minute Speed</v>
      </c>
    </row>
    <row r="1159" spans="1:9" x14ac:dyDescent="0.25">
      <c r="A1159">
        <f>'Team Info'!$B$3</f>
        <v>0</v>
      </c>
      <c r="B1159">
        <f>'Female SR Endurance Speed'!A126</f>
        <v>2</v>
      </c>
      <c r="C1159" t="str">
        <f>'Female SR Endurance Speed'!B126</f>
        <v>FTMS</v>
      </c>
      <c r="D1159" t="str">
        <f>'Female SR Endurance Speed'!C126</f>
        <v>50-Over</v>
      </c>
      <c r="E1159">
        <f>'Female SR Endurance Speed'!D126</f>
        <v>0</v>
      </c>
      <c r="I1159" t="str">
        <f t="shared" si="32"/>
        <v>FTMS-Female Three Minute Speed</v>
      </c>
    </row>
    <row r="1160" spans="1:9" x14ac:dyDescent="0.25">
      <c r="A1160">
        <f>'Team Info'!$B$3</f>
        <v>0</v>
      </c>
      <c r="B1160">
        <f>'Female SR Endurance Speed'!A127</f>
        <v>3</v>
      </c>
      <c r="C1160" t="str">
        <f>'Female SR Endurance Speed'!B127</f>
        <v>FTMS</v>
      </c>
      <c r="D1160" t="str">
        <f>'Female SR Endurance Speed'!C127</f>
        <v>50-Over</v>
      </c>
      <c r="E1160">
        <f>'Female SR Endurance Speed'!D127</f>
        <v>0</v>
      </c>
      <c r="I1160" t="str">
        <f t="shared" si="32"/>
        <v>FTMS-Female Three Minute Speed</v>
      </c>
    </row>
    <row r="1161" spans="1:9" x14ac:dyDescent="0.25">
      <c r="A1161">
        <f>'Team Info'!$B$3</f>
        <v>0</v>
      </c>
      <c r="B1161">
        <f>'Female SR Endurance Speed'!A128</f>
        <v>4</v>
      </c>
      <c r="C1161" t="str">
        <f>'Female SR Endurance Speed'!B128</f>
        <v>FTMS</v>
      </c>
      <c r="D1161" t="str">
        <f>'Female SR Endurance Speed'!C128</f>
        <v>50-Over</v>
      </c>
      <c r="E1161">
        <f>'Female SR Endurance Speed'!D128</f>
        <v>0</v>
      </c>
      <c r="I1161" t="str">
        <f t="shared" si="32"/>
        <v>FTMS-Female Three Minute Speed</v>
      </c>
    </row>
    <row r="1162" spans="1:9" x14ac:dyDescent="0.25">
      <c r="A1162">
        <f>'Team Info'!$B$3</f>
        <v>0</v>
      </c>
      <c r="B1162">
        <f>'Female SR Endurance Speed'!A129</f>
        <v>5</v>
      </c>
      <c r="C1162" t="str">
        <f>'Female SR Endurance Speed'!B129</f>
        <v>FTMS</v>
      </c>
      <c r="D1162" t="str">
        <f>'Female SR Endurance Speed'!C129</f>
        <v>50-Over</v>
      </c>
      <c r="E1162">
        <f>'Female SR Endurance Speed'!D129</f>
        <v>0</v>
      </c>
      <c r="I1162" t="str">
        <f t="shared" si="32"/>
        <v>FTMS-Female Three Minute Speed</v>
      </c>
    </row>
    <row r="1163" spans="1:9" x14ac:dyDescent="0.25">
      <c r="A1163">
        <f>'Team Info'!$B$3</f>
        <v>0</v>
      </c>
      <c r="B1163">
        <f>'Female SR 30 Second Speed'!A5</f>
        <v>1</v>
      </c>
      <c r="C1163" t="str">
        <f>'Female SR 30 Second Speed'!B5</f>
        <v>FTSS</v>
      </c>
      <c r="D1163" t="str">
        <f>'Female SR 30 Second Speed'!C5</f>
        <v>8-Under</v>
      </c>
      <c r="E1163">
        <f>'Female SR 30 Second Speed'!D5</f>
        <v>0</v>
      </c>
      <c r="I1163" t="str">
        <f t="shared" ref="I1163:I1182" si="37">VLOOKUP(C1163,EVENTS,2,FALSE)</f>
        <v>FTSS-Female Thirty Second Speed</v>
      </c>
    </row>
    <row r="1164" spans="1:9" x14ac:dyDescent="0.25">
      <c r="A1164">
        <f>'Team Info'!$B$3</f>
        <v>0</v>
      </c>
      <c r="B1164">
        <f>'Female SR 30 Second Speed'!A6</f>
        <v>2</v>
      </c>
      <c r="C1164" t="str">
        <f>'Female SR 30 Second Speed'!B6</f>
        <v>FTSS</v>
      </c>
      <c r="D1164" t="str">
        <f>'Female SR 30 Second Speed'!C6</f>
        <v>8-Under</v>
      </c>
      <c r="E1164">
        <f>'Female SR 30 Second Speed'!D6</f>
        <v>0</v>
      </c>
      <c r="I1164" t="str">
        <f t="shared" si="37"/>
        <v>FTSS-Female Thirty Second Speed</v>
      </c>
    </row>
    <row r="1165" spans="1:9" x14ac:dyDescent="0.25">
      <c r="A1165">
        <f>'Team Info'!$B$3</f>
        <v>0</v>
      </c>
      <c r="B1165">
        <f>'Female SR 30 Second Speed'!A7</f>
        <v>3</v>
      </c>
      <c r="C1165" t="str">
        <f>'Female SR 30 Second Speed'!B7</f>
        <v>FTSS</v>
      </c>
      <c r="D1165" t="str">
        <f>'Female SR 30 Second Speed'!C7</f>
        <v>8-Under</v>
      </c>
      <c r="E1165">
        <f>'Female SR 30 Second Speed'!D7</f>
        <v>0</v>
      </c>
      <c r="I1165" t="str">
        <f t="shared" si="37"/>
        <v>FTSS-Female Thirty Second Speed</v>
      </c>
    </row>
    <row r="1166" spans="1:9" x14ac:dyDescent="0.25">
      <c r="A1166">
        <f>'Team Info'!$B$3</f>
        <v>0</v>
      </c>
      <c r="B1166">
        <f>'Female SR 30 Second Speed'!A8</f>
        <v>4</v>
      </c>
      <c r="C1166" t="str">
        <f>'Female SR 30 Second Speed'!B8</f>
        <v>FTSS</v>
      </c>
      <c r="D1166" t="str">
        <f>'Female SR 30 Second Speed'!C8</f>
        <v>8-Under</v>
      </c>
      <c r="E1166">
        <f>'Female SR 30 Second Speed'!D8</f>
        <v>0</v>
      </c>
      <c r="I1166" t="str">
        <f t="shared" si="37"/>
        <v>FTSS-Female Thirty Second Speed</v>
      </c>
    </row>
    <row r="1167" spans="1:9" x14ac:dyDescent="0.25">
      <c r="A1167">
        <f>'Team Info'!$B$3</f>
        <v>0</v>
      </c>
      <c r="B1167">
        <f>'Female SR 30 Second Speed'!A9</f>
        <v>5</v>
      </c>
      <c r="C1167" t="str">
        <f>'Female SR 30 Second Speed'!B9</f>
        <v>FTSS</v>
      </c>
      <c r="D1167" t="str">
        <f>'Female SR 30 Second Speed'!C9</f>
        <v>8-Under</v>
      </c>
      <c r="E1167">
        <f>'Female SR 30 Second Speed'!D9</f>
        <v>0</v>
      </c>
      <c r="I1167" t="str">
        <f t="shared" si="37"/>
        <v>FTSS-Female Thirty Second Speed</v>
      </c>
    </row>
    <row r="1168" spans="1:9" x14ac:dyDescent="0.25">
      <c r="A1168">
        <f>'Team Info'!$B$3</f>
        <v>0</v>
      </c>
      <c r="B1168">
        <f>'Female SR 30 Second Speed'!A10</f>
        <v>6</v>
      </c>
      <c r="C1168" t="str">
        <f>'Female SR 30 Second Speed'!B10</f>
        <v>FTSS</v>
      </c>
      <c r="D1168" t="str">
        <f>'Female SR 30 Second Speed'!C10</f>
        <v>8-Under</v>
      </c>
      <c r="E1168">
        <f>'Female SR 30 Second Speed'!D10</f>
        <v>0</v>
      </c>
      <c r="I1168" t="str">
        <f t="shared" si="37"/>
        <v>FTSS-Female Thirty Second Speed</v>
      </c>
    </row>
    <row r="1169" spans="1:9" x14ac:dyDescent="0.25">
      <c r="A1169">
        <f>'Team Info'!$B$3</f>
        <v>0</v>
      </c>
      <c r="B1169">
        <f>'Female SR 30 Second Speed'!A11</f>
        <v>7</v>
      </c>
      <c r="C1169" t="str">
        <f>'Female SR 30 Second Speed'!B11</f>
        <v>FTSS</v>
      </c>
      <c r="D1169" t="str">
        <f>'Female SR 30 Second Speed'!C11</f>
        <v>8-Under</v>
      </c>
      <c r="E1169">
        <f>'Female SR 30 Second Speed'!D11</f>
        <v>0</v>
      </c>
      <c r="I1169" t="str">
        <f t="shared" si="37"/>
        <v>FTSS-Female Thirty Second Speed</v>
      </c>
    </row>
    <row r="1170" spans="1:9" x14ac:dyDescent="0.25">
      <c r="A1170">
        <f>'Team Info'!$B$3</f>
        <v>0</v>
      </c>
      <c r="B1170">
        <f>'Female SR 30 Second Speed'!A12</f>
        <v>8</v>
      </c>
      <c r="C1170" t="str">
        <f>'Female SR 30 Second Speed'!B12</f>
        <v>FTSS</v>
      </c>
      <c r="D1170" t="str">
        <f>'Female SR 30 Second Speed'!C12</f>
        <v>8-Under</v>
      </c>
      <c r="E1170">
        <f>'Female SR 30 Second Speed'!D12</f>
        <v>0</v>
      </c>
      <c r="I1170" t="str">
        <f t="shared" si="37"/>
        <v>FTSS-Female Thirty Second Speed</v>
      </c>
    </row>
    <row r="1171" spans="1:9" x14ac:dyDescent="0.25">
      <c r="A1171">
        <f>'Team Info'!$B$3</f>
        <v>0</v>
      </c>
      <c r="B1171">
        <f>'Female SR 30 Second Speed'!A13</f>
        <v>9</v>
      </c>
      <c r="C1171" t="str">
        <f>'Female SR 30 Second Speed'!B13</f>
        <v>FTSS</v>
      </c>
      <c r="D1171" t="str">
        <f>'Female SR 30 Second Speed'!C13</f>
        <v>8-Under</v>
      </c>
      <c r="E1171">
        <f>'Female SR 30 Second Speed'!D13</f>
        <v>0</v>
      </c>
      <c r="I1171" t="str">
        <f t="shared" si="37"/>
        <v>FTSS-Female Thirty Second Speed</v>
      </c>
    </row>
    <row r="1172" spans="1:9" x14ac:dyDescent="0.25">
      <c r="A1172">
        <f>'Team Info'!$B$3</f>
        <v>0</v>
      </c>
      <c r="B1172">
        <f>'Female SR 30 Second Speed'!A14</f>
        <v>10</v>
      </c>
      <c r="C1172" t="str">
        <f>'Female SR 30 Second Speed'!B14</f>
        <v>FTSS</v>
      </c>
      <c r="D1172" t="str">
        <f>'Female SR 30 Second Speed'!C14</f>
        <v>8-Under</v>
      </c>
      <c r="E1172">
        <f>'Female SR 30 Second Speed'!D14</f>
        <v>0</v>
      </c>
      <c r="I1172" t="str">
        <f t="shared" si="37"/>
        <v>FTSS-Female Thirty Second Speed</v>
      </c>
    </row>
    <row r="1173" spans="1:9" x14ac:dyDescent="0.25">
      <c r="A1173">
        <f>'Team Info'!$B$3</f>
        <v>0</v>
      </c>
      <c r="B1173">
        <f>'Female SR 30 Second Speed'!A15</f>
        <v>11</v>
      </c>
      <c r="C1173" t="str">
        <f>'Female SR 30 Second Speed'!B15</f>
        <v>FTSS</v>
      </c>
      <c r="D1173" t="str">
        <f>'Female SR 30 Second Speed'!C15</f>
        <v>8-Under</v>
      </c>
      <c r="E1173">
        <f>'Female SR 30 Second Speed'!D15</f>
        <v>0</v>
      </c>
      <c r="I1173" t="str">
        <f t="shared" si="37"/>
        <v>FTSS-Female Thirty Second Speed</v>
      </c>
    </row>
    <row r="1174" spans="1:9" x14ac:dyDescent="0.25">
      <c r="A1174">
        <f>'Team Info'!$B$3</f>
        <v>0</v>
      </c>
      <c r="B1174">
        <f>'Female SR 30 Second Speed'!A16</f>
        <v>12</v>
      </c>
      <c r="C1174" t="str">
        <f>'Female SR 30 Second Speed'!B16</f>
        <v>FTSS</v>
      </c>
      <c r="D1174" t="str">
        <f>'Female SR 30 Second Speed'!C16</f>
        <v>8-Under</v>
      </c>
      <c r="E1174">
        <f>'Female SR 30 Second Speed'!D16</f>
        <v>0</v>
      </c>
      <c r="I1174" t="str">
        <f t="shared" si="37"/>
        <v>FTSS-Female Thirty Second Speed</v>
      </c>
    </row>
    <row r="1175" spans="1:9" x14ac:dyDescent="0.25">
      <c r="A1175">
        <f>'Team Info'!$B$3</f>
        <v>0</v>
      </c>
      <c r="B1175">
        <f>'Female SR 30 Second Speed'!A17</f>
        <v>13</v>
      </c>
      <c r="C1175" t="str">
        <f>'Female SR 30 Second Speed'!B17</f>
        <v>FTSS</v>
      </c>
      <c r="D1175" t="str">
        <f>'Female SR 30 Second Speed'!C17</f>
        <v>8-Under</v>
      </c>
      <c r="E1175">
        <f>'Female SR 30 Second Speed'!D17</f>
        <v>0</v>
      </c>
      <c r="I1175" t="str">
        <f t="shared" si="37"/>
        <v>FTSS-Female Thirty Second Speed</v>
      </c>
    </row>
    <row r="1176" spans="1:9" x14ac:dyDescent="0.25">
      <c r="A1176">
        <f>'Team Info'!$B$3</f>
        <v>0</v>
      </c>
      <c r="B1176">
        <f>'Female SR 30 Second Speed'!A18</f>
        <v>14</v>
      </c>
      <c r="C1176" t="str">
        <f>'Female SR 30 Second Speed'!B18</f>
        <v>FTSS</v>
      </c>
      <c r="D1176" t="str">
        <f>'Female SR 30 Second Speed'!C18</f>
        <v>8-Under</v>
      </c>
      <c r="E1176">
        <f>'Female SR 30 Second Speed'!D18</f>
        <v>0</v>
      </c>
      <c r="I1176" t="str">
        <f t="shared" si="37"/>
        <v>FTSS-Female Thirty Second Speed</v>
      </c>
    </row>
    <row r="1177" spans="1:9" x14ac:dyDescent="0.25">
      <c r="A1177">
        <f>'Team Info'!$B$3</f>
        <v>0</v>
      </c>
      <c r="B1177">
        <f>'Female SR 30 Second Speed'!A19</f>
        <v>15</v>
      </c>
      <c r="C1177" t="str">
        <f>'Female SR 30 Second Speed'!B19</f>
        <v>FTSS</v>
      </c>
      <c r="D1177" t="str">
        <f>'Female SR 30 Second Speed'!C19</f>
        <v>8-Under</v>
      </c>
      <c r="E1177">
        <f>'Female SR 30 Second Speed'!D19</f>
        <v>0</v>
      </c>
      <c r="I1177" t="str">
        <f t="shared" si="37"/>
        <v>FTSS-Female Thirty Second Speed</v>
      </c>
    </row>
    <row r="1178" spans="1:9" x14ac:dyDescent="0.25">
      <c r="A1178">
        <f>'Team Info'!$B$3</f>
        <v>0</v>
      </c>
      <c r="B1178">
        <f>'Female SR 30 Second Speed'!A20</f>
        <v>16</v>
      </c>
      <c r="C1178" t="str">
        <f>'Female SR 30 Second Speed'!B20</f>
        <v>FTSS</v>
      </c>
      <c r="D1178" t="str">
        <f>'Female SR 30 Second Speed'!C20</f>
        <v>8-Under</v>
      </c>
      <c r="E1178">
        <f>'Female SR 30 Second Speed'!D20</f>
        <v>0</v>
      </c>
      <c r="I1178" t="str">
        <f t="shared" si="37"/>
        <v>FTSS-Female Thirty Second Speed</v>
      </c>
    </row>
    <row r="1179" spans="1:9" x14ac:dyDescent="0.25">
      <c r="A1179">
        <f>'Team Info'!$B$3</f>
        <v>0</v>
      </c>
      <c r="B1179">
        <f>'Female SR 30 Second Speed'!A21</f>
        <v>17</v>
      </c>
      <c r="C1179" t="str">
        <f>'Female SR 30 Second Speed'!B21</f>
        <v>FTSS</v>
      </c>
      <c r="D1179" t="str">
        <f>'Female SR 30 Second Speed'!C21</f>
        <v>8-Under</v>
      </c>
      <c r="E1179">
        <f>'Female SR 30 Second Speed'!D21</f>
        <v>0</v>
      </c>
      <c r="I1179" t="str">
        <f t="shared" si="37"/>
        <v>FTSS-Female Thirty Second Speed</v>
      </c>
    </row>
    <row r="1180" spans="1:9" x14ac:dyDescent="0.25">
      <c r="A1180">
        <f>'Team Info'!$B$3</f>
        <v>0</v>
      </c>
      <c r="B1180">
        <f>'Female SR 30 Second Speed'!A22</f>
        <v>18</v>
      </c>
      <c r="C1180" t="str">
        <f>'Female SR 30 Second Speed'!B22</f>
        <v>FTSS</v>
      </c>
      <c r="D1180" t="str">
        <f>'Female SR 30 Second Speed'!C22</f>
        <v>8-Under</v>
      </c>
      <c r="E1180">
        <f>'Female SR 30 Second Speed'!D22</f>
        <v>0</v>
      </c>
      <c r="I1180" t="str">
        <f t="shared" si="37"/>
        <v>FTSS-Female Thirty Second Speed</v>
      </c>
    </row>
    <row r="1181" spans="1:9" x14ac:dyDescent="0.25">
      <c r="A1181">
        <f>'Team Info'!$B$3</f>
        <v>0</v>
      </c>
      <c r="B1181">
        <f>'Female SR 30 Second Speed'!A23</f>
        <v>19</v>
      </c>
      <c r="C1181" t="str">
        <f>'Female SR 30 Second Speed'!B23</f>
        <v>FTSS</v>
      </c>
      <c r="D1181" t="str">
        <f>'Female SR 30 Second Speed'!C23</f>
        <v>8-Under</v>
      </c>
      <c r="E1181">
        <f>'Female SR 30 Second Speed'!D23</f>
        <v>0</v>
      </c>
      <c r="I1181" t="str">
        <f t="shared" si="37"/>
        <v>FTSS-Female Thirty Second Speed</v>
      </c>
    </row>
    <row r="1182" spans="1:9" x14ac:dyDescent="0.25">
      <c r="A1182">
        <f>'Team Info'!$B$3</f>
        <v>0</v>
      </c>
      <c r="B1182">
        <f>'Female SR 30 Second Speed'!A24</f>
        <v>20</v>
      </c>
      <c r="C1182" t="str">
        <f>'Female SR 30 Second Speed'!B24</f>
        <v>FTSS</v>
      </c>
      <c r="D1182" t="str">
        <f>'Female SR 30 Second Speed'!C24</f>
        <v>8-Under</v>
      </c>
      <c r="E1182">
        <f>'Female SR 30 Second Speed'!D24</f>
        <v>0</v>
      </c>
      <c r="I1182" t="str">
        <f t="shared" si="37"/>
        <v>FTSS-Female Thirty Second Speed</v>
      </c>
    </row>
    <row r="1183" spans="1:9" x14ac:dyDescent="0.25">
      <c r="A1183">
        <f>'Team Info'!$B$3</f>
        <v>0</v>
      </c>
      <c r="B1183">
        <f>'Female SR 30 Second Speed'!H5</f>
        <v>1</v>
      </c>
      <c r="C1183" t="str">
        <f>'Female SR 30 Second Speed'!I5</f>
        <v>FTSS</v>
      </c>
      <c r="D1183">
        <f>'Female SR 30 Second Speed'!J5</f>
        <v>9</v>
      </c>
      <c r="E1183">
        <f>'Female SR 30 Second Speed'!K5</f>
        <v>0</v>
      </c>
      <c r="I1183" t="str">
        <f t="shared" si="32"/>
        <v>FTSS-Female Thirty Second Speed</v>
      </c>
    </row>
    <row r="1184" spans="1:9" x14ac:dyDescent="0.25">
      <c r="A1184">
        <f>'Team Info'!$B$3</f>
        <v>0</v>
      </c>
      <c r="B1184">
        <f>'Female SR 30 Second Speed'!H6</f>
        <v>2</v>
      </c>
      <c r="C1184" t="str">
        <f>'Female SR 30 Second Speed'!I6</f>
        <v>FTSS</v>
      </c>
      <c r="D1184">
        <f>'Female SR 30 Second Speed'!J6</f>
        <v>9</v>
      </c>
      <c r="E1184">
        <f>'Female SR 30 Second Speed'!K6</f>
        <v>0</v>
      </c>
      <c r="I1184" t="str">
        <f t="shared" si="32"/>
        <v>FTSS-Female Thirty Second Speed</v>
      </c>
    </row>
    <row r="1185" spans="1:9" x14ac:dyDescent="0.25">
      <c r="A1185">
        <f>'Team Info'!$B$3</f>
        <v>0</v>
      </c>
      <c r="B1185">
        <f>'Female SR 30 Second Speed'!H7</f>
        <v>3</v>
      </c>
      <c r="C1185" t="str">
        <f>'Female SR 30 Second Speed'!I7</f>
        <v>FTSS</v>
      </c>
      <c r="D1185">
        <f>'Female SR 30 Second Speed'!J7</f>
        <v>9</v>
      </c>
      <c r="E1185">
        <f>'Female SR 30 Second Speed'!K7</f>
        <v>0</v>
      </c>
      <c r="I1185" t="str">
        <f t="shared" si="32"/>
        <v>FTSS-Female Thirty Second Speed</v>
      </c>
    </row>
    <row r="1186" spans="1:9" x14ac:dyDescent="0.25">
      <c r="A1186">
        <f>'Team Info'!$B$3</f>
        <v>0</v>
      </c>
      <c r="B1186">
        <f>'Female SR 30 Second Speed'!H8</f>
        <v>4</v>
      </c>
      <c r="C1186" t="str">
        <f>'Female SR 30 Second Speed'!I8</f>
        <v>FTSS</v>
      </c>
      <c r="D1186">
        <f>'Female SR 30 Second Speed'!J8</f>
        <v>9</v>
      </c>
      <c r="E1186">
        <f>'Female SR 30 Second Speed'!K8</f>
        <v>0</v>
      </c>
      <c r="I1186" t="str">
        <f t="shared" si="32"/>
        <v>FTSS-Female Thirty Second Speed</v>
      </c>
    </row>
    <row r="1187" spans="1:9" x14ac:dyDescent="0.25">
      <c r="A1187">
        <f>'Team Info'!$B$3</f>
        <v>0</v>
      </c>
      <c r="B1187">
        <f>'Female SR 30 Second Speed'!H9</f>
        <v>5</v>
      </c>
      <c r="C1187" t="str">
        <f>'Female SR 30 Second Speed'!I9</f>
        <v>FTSS</v>
      </c>
      <c r="D1187">
        <f>'Female SR 30 Second Speed'!J9</f>
        <v>9</v>
      </c>
      <c r="E1187">
        <f>'Female SR 30 Second Speed'!K9</f>
        <v>0</v>
      </c>
      <c r="I1187" t="str">
        <f t="shared" si="32"/>
        <v>FTSS-Female Thirty Second Speed</v>
      </c>
    </row>
    <row r="1188" spans="1:9" x14ac:dyDescent="0.25">
      <c r="A1188">
        <f>'Team Info'!$B$3</f>
        <v>0</v>
      </c>
      <c r="B1188">
        <f>'Female SR 30 Second Speed'!H10</f>
        <v>6</v>
      </c>
      <c r="C1188" t="str">
        <f>'Female SR 30 Second Speed'!I10</f>
        <v>FTSS</v>
      </c>
      <c r="D1188">
        <f>'Female SR 30 Second Speed'!J10</f>
        <v>9</v>
      </c>
      <c r="E1188">
        <f>'Female SR 30 Second Speed'!K10</f>
        <v>0</v>
      </c>
      <c r="I1188" t="str">
        <f t="shared" si="32"/>
        <v>FTSS-Female Thirty Second Speed</v>
      </c>
    </row>
    <row r="1189" spans="1:9" x14ac:dyDescent="0.25">
      <c r="A1189">
        <f>'Team Info'!$B$3</f>
        <v>0</v>
      </c>
      <c r="B1189">
        <f>'Female SR 30 Second Speed'!H11</f>
        <v>7</v>
      </c>
      <c r="C1189" t="str">
        <f>'Female SR 30 Second Speed'!I11</f>
        <v>FTSS</v>
      </c>
      <c r="D1189">
        <f>'Female SR 30 Second Speed'!J11</f>
        <v>9</v>
      </c>
      <c r="E1189">
        <f>'Female SR 30 Second Speed'!K11</f>
        <v>0</v>
      </c>
      <c r="I1189" t="str">
        <f t="shared" si="32"/>
        <v>FTSS-Female Thirty Second Speed</v>
      </c>
    </row>
    <row r="1190" spans="1:9" x14ac:dyDescent="0.25">
      <c r="A1190">
        <f>'Team Info'!$B$3</f>
        <v>0</v>
      </c>
      <c r="B1190">
        <f>'Female SR 30 Second Speed'!H12</f>
        <v>8</v>
      </c>
      <c r="C1190" t="str">
        <f>'Female SR 30 Second Speed'!I12</f>
        <v>FTSS</v>
      </c>
      <c r="D1190">
        <f>'Female SR 30 Second Speed'!J12</f>
        <v>9</v>
      </c>
      <c r="E1190">
        <f>'Female SR 30 Second Speed'!K12</f>
        <v>0</v>
      </c>
      <c r="I1190" t="str">
        <f t="shared" si="32"/>
        <v>FTSS-Female Thirty Second Speed</v>
      </c>
    </row>
    <row r="1191" spans="1:9" x14ac:dyDescent="0.25">
      <c r="A1191">
        <f>'Team Info'!$B$3</f>
        <v>0</v>
      </c>
      <c r="B1191">
        <f>'Female SR 30 Second Speed'!H13</f>
        <v>9</v>
      </c>
      <c r="C1191" t="str">
        <f>'Female SR 30 Second Speed'!I13</f>
        <v>FTSS</v>
      </c>
      <c r="D1191">
        <f>'Female SR 30 Second Speed'!J13</f>
        <v>9</v>
      </c>
      <c r="E1191">
        <f>'Female SR 30 Second Speed'!K13</f>
        <v>0</v>
      </c>
      <c r="I1191" t="str">
        <f t="shared" si="32"/>
        <v>FTSS-Female Thirty Second Speed</v>
      </c>
    </row>
    <row r="1192" spans="1:9" x14ac:dyDescent="0.25">
      <c r="A1192">
        <f>'Team Info'!$B$3</f>
        <v>0</v>
      </c>
      <c r="B1192">
        <f>'Female SR 30 Second Speed'!H14</f>
        <v>10</v>
      </c>
      <c r="C1192" t="str">
        <f>'Female SR 30 Second Speed'!I14</f>
        <v>FTSS</v>
      </c>
      <c r="D1192">
        <f>'Female SR 30 Second Speed'!J14</f>
        <v>9</v>
      </c>
      <c r="E1192">
        <f>'Female SR 30 Second Speed'!K14</f>
        <v>0</v>
      </c>
      <c r="I1192" t="str">
        <f t="shared" si="32"/>
        <v>FTSS-Female Thirty Second Speed</v>
      </c>
    </row>
    <row r="1193" spans="1:9" x14ac:dyDescent="0.25">
      <c r="A1193">
        <f>'Team Info'!$B$3</f>
        <v>0</v>
      </c>
      <c r="B1193">
        <f>'Female SR 30 Second Speed'!H15</f>
        <v>11</v>
      </c>
      <c r="C1193" t="str">
        <f>'Female SR 30 Second Speed'!I15</f>
        <v>FTSS</v>
      </c>
      <c r="D1193">
        <f>'Female SR 30 Second Speed'!J15</f>
        <v>9</v>
      </c>
      <c r="E1193">
        <f>'Female SR 30 Second Speed'!K15</f>
        <v>0</v>
      </c>
      <c r="I1193" t="str">
        <f t="shared" si="32"/>
        <v>FTSS-Female Thirty Second Speed</v>
      </c>
    </row>
    <row r="1194" spans="1:9" x14ac:dyDescent="0.25">
      <c r="A1194">
        <f>'Team Info'!$B$3</f>
        <v>0</v>
      </c>
      <c r="B1194">
        <f>'Female SR 30 Second Speed'!H16</f>
        <v>12</v>
      </c>
      <c r="C1194" t="str">
        <f>'Female SR 30 Second Speed'!I16</f>
        <v>FTSS</v>
      </c>
      <c r="D1194">
        <f>'Female SR 30 Second Speed'!J16</f>
        <v>9</v>
      </c>
      <c r="E1194">
        <f>'Female SR 30 Second Speed'!K16</f>
        <v>0</v>
      </c>
      <c r="I1194" t="str">
        <f t="shared" ref="I1194:I1257" si="38">VLOOKUP(C1194,EVENTS,2,FALSE)</f>
        <v>FTSS-Female Thirty Second Speed</v>
      </c>
    </row>
    <row r="1195" spans="1:9" x14ac:dyDescent="0.25">
      <c r="A1195">
        <f>'Team Info'!$B$3</f>
        <v>0</v>
      </c>
      <c r="B1195">
        <f>'Female SR 30 Second Speed'!H17</f>
        <v>13</v>
      </c>
      <c r="C1195" t="str">
        <f>'Female SR 30 Second Speed'!I17</f>
        <v>FTSS</v>
      </c>
      <c r="D1195">
        <f>'Female SR 30 Second Speed'!J17</f>
        <v>9</v>
      </c>
      <c r="E1195">
        <f>'Female SR 30 Second Speed'!K17</f>
        <v>0</v>
      </c>
      <c r="I1195" t="str">
        <f t="shared" si="38"/>
        <v>FTSS-Female Thirty Second Speed</v>
      </c>
    </row>
    <row r="1196" spans="1:9" x14ac:dyDescent="0.25">
      <c r="A1196">
        <f>'Team Info'!$B$3</f>
        <v>0</v>
      </c>
      <c r="B1196">
        <f>'Female SR 30 Second Speed'!H18</f>
        <v>14</v>
      </c>
      <c r="C1196" t="str">
        <f>'Female SR 30 Second Speed'!I18</f>
        <v>FTSS</v>
      </c>
      <c r="D1196">
        <f>'Female SR 30 Second Speed'!J18</f>
        <v>9</v>
      </c>
      <c r="E1196">
        <f>'Female SR 30 Second Speed'!K18</f>
        <v>0</v>
      </c>
      <c r="I1196" t="str">
        <f t="shared" si="38"/>
        <v>FTSS-Female Thirty Second Speed</v>
      </c>
    </row>
    <row r="1197" spans="1:9" x14ac:dyDescent="0.25">
      <c r="A1197">
        <f>'Team Info'!$B$3</f>
        <v>0</v>
      </c>
      <c r="B1197">
        <f>'Female SR 30 Second Speed'!H19</f>
        <v>15</v>
      </c>
      <c r="C1197" t="str">
        <f>'Female SR 30 Second Speed'!I19</f>
        <v>FTSS</v>
      </c>
      <c r="D1197">
        <f>'Female SR 30 Second Speed'!J19</f>
        <v>9</v>
      </c>
      <c r="E1197">
        <f>'Female SR 30 Second Speed'!K19</f>
        <v>0</v>
      </c>
      <c r="I1197" t="str">
        <f t="shared" si="38"/>
        <v>FTSS-Female Thirty Second Speed</v>
      </c>
    </row>
    <row r="1198" spans="1:9" x14ac:dyDescent="0.25">
      <c r="A1198">
        <f>'Team Info'!$B$3</f>
        <v>0</v>
      </c>
      <c r="B1198">
        <f>'Female SR 30 Second Speed'!H20</f>
        <v>16</v>
      </c>
      <c r="C1198" t="str">
        <f>'Female SR 30 Second Speed'!I20</f>
        <v>FTSS</v>
      </c>
      <c r="D1198">
        <f>'Female SR 30 Second Speed'!J20</f>
        <v>9</v>
      </c>
      <c r="E1198">
        <f>'Female SR 30 Second Speed'!K20</f>
        <v>0</v>
      </c>
      <c r="I1198" t="str">
        <f t="shared" si="38"/>
        <v>FTSS-Female Thirty Second Speed</v>
      </c>
    </row>
    <row r="1199" spans="1:9" x14ac:dyDescent="0.25">
      <c r="A1199">
        <f>'Team Info'!$B$3</f>
        <v>0</v>
      </c>
      <c r="B1199">
        <f>'Female SR 30 Second Speed'!H21</f>
        <v>17</v>
      </c>
      <c r="C1199" t="str">
        <f>'Female SR 30 Second Speed'!I21</f>
        <v>FTSS</v>
      </c>
      <c r="D1199">
        <f>'Female SR 30 Second Speed'!J21</f>
        <v>9</v>
      </c>
      <c r="E1199">
        <f>'Female SR 30 Second Speed'!K21</f>
        <v>0</v>
      </c>
      <c r="I1199" t="str">
        <f t="shared" si="38"/>
        <v>FTSS-Female Thirty Second Speed</v>
      </c>
    </row>
    <row r="1200" spans="1:9" x14ac:dyDescent="0.25">
      <c r="A1200">
        <f>'Team Info'!$B$3</f>
        <v>0</v>
      </c>
      <c r="B1200">
        <f>'Female SR 30 Second Speed'!H22</f>
        <v>18</v>
      </c>
      <c r="C1200" t="str">
        <f>'Female SR 30 Second Speed'!I22</f>
        <v>FTSS</v>
      </c>
      <c r="D1200">
        <f>'Female SR 30 Second Speed'!J22</f>
        <v>9</v>
      </c>
      <c r="E1200">
        <f>'Female SR 30 Second Speed'!K22</f>
        <v>0</v>
      </c>
      <c r="I1200" t="str">
        <f t="shared" si="38"/>
        <v>FTSS-Female Thirty Second Speed</v>
      </c>
    </row>
    <row r="1201" spans="1:9" x14ac:dyDescent="0.25">
      <c r="A1201">
        <f>'Team Info'!$B$3</f>
        <v>0</v>
      </c>
      <c r="B1201">
        <f>'Female SR 30 Second Speed'!H23</f>
        <v>19</v>
      </c>
      <c r="C1201" t="str">
        <f>'Female SR 30 Second Speed'!I23</f>
        <v>FTSS</v>
      </c>
      <c r="D1201">
        <f>'Female SR 30 Second Speed'!J23</f>
        <v>9</v>
      </c>
      <c r="E1201">
        <f>'Female SR 30 Second Speed'!K23</f>
        <v>0</v>
      </c>
      <c r="I1201" t="str">
        <f t="shared" si="38"/>
        <v>FTSS-Female Thirty Second Speed</v>
      </c>
    </row>
    <row r="1202" spans="1:9" x14ac:dyDescent="0.25">
      <c r="A1202">
        <f>'Team Info'!$B$3</f>
        <v>0</v>
      </c>
      <c r="B1202">
        <f>'Female SR 30 Second Speed'!H24</f>
        <v>20</v>
      </c>
      <c r="C1202" t="str">
        <f>'Female SR 30 Second Speed'!I24</f>
        <v>FTSS</v>
      </c>
      <c r="D1202">
        <f>'Female SR 30 Second Speed'!J24</f>
        <v>9</v>
      </c>
      <c r="E1202">
        <f>'Female SR 30 Second Speed'!K24</f>
        <v>0</v>
      </c>
      <c r="I1202" t="str">
        <f t="shared" si="38"/>
        <v>FTSS-Female Thirty Second Speed</v>
      </c>
    </row>
    <row r="1203" spans="1:9" x14ac:dyDescent="0.25">
      <c r="A1203">
        <f>'Team Info'!$B$3</f>
        <v>0</v>
      </c>
      <c r="B1203">
        <f>'Female SR 30 Second Speed'!A27</f>
        <v>1</v>
      </c>
      <c r="C1203" t="str">
        <f>'Female SR 30 Second Speed'!B27</f>
        <v>FTSS</v>
      </c>
      <c r="D1203">
        <f>'Female SR 30 Second Speed'!C27</f>
        <v>10</v>
      </c>
      <c r="E1203">
        <f>'Female SR 30 Second Speed'!D27</f>
        <v>0</v>
      </c>
      <c r="I1203" t="str">
        <f t="shared" si="38"/>
        <v>FTSS-Female Thirty Second Speed</v>
      </c>
    </row>
    <row r="1204" spans="1:9" x14ac:dyDescent="0.25">
      <c r="A1204">
        <f>'Team Info'!$B$3</f>
        <v>0</v>
      </c>
      <c r="B1204">
        <f>'Female SR 30 Second Speed'!A28</f>
        <v>2</v>
      </c>
      <c r="C1204" t="str">
        <f>'Female SR 30 Second Speed'!B28</f>
        <v>FTSS</v>
      </c>
      <c r="D1204">
        <f>'Female SR 30 Second Speed'!C28</f>
        <v>10</v>
      </c>
      <c r="E1204">
        <f>'Female SR 30 Second Speed'!D28</f>
        <v>0</v>
      </c>
      <c r="I1204" t="str">
        <f t="shared" si="38"/>
        <v>FTSS-Female Thirty Second Speed</v>
      </c>
    </row>
    <row r="1205" spans="1:9" x14ac:dyDescent="0.25">
      <c r="A1205">
        <f>'Team Info'!$B$3</f>
        <v>0</v>
      </c>
      <c r="B1205">
        <f>'Female SR 30 Second Speed'!A29</f>
        <v>3</v>
      </c>
      <c r="C1205" t="str">
        <f>'Female SR 30 Second Speed'!B29</f>
        <v>FTSS</v>
      </c>
      <c r="D1205">
        <f>'Female SR 30 Second Speed'!C29</f>
        <v>10</v>
      </c>
      <c r="E1205">
        <f>'Female SR 30 Second Speed'!D29</f>
        <v>0</v>
      </c>
      <c r="I1205" t="str">
        <f t="shared" si="38"/>
        <v>FTSS-Female Thirty Second Speed</v>
      </c>
    </row>
    <row r="1206" spans="1:9" x14ac:dyDescent="0.25">
      <c r="A1206">
        <f>'Team Info'!$B$3</f>
        <v>0</v>
      </c>
      <c r="B1206">
        <f>'Female SR 30 Second Speed'!A30</f>
        <v>4</v>
      </c>
      <c r="C1206" t="str">
        <f>'Female SR 30 Second Speed'!B30</f>
        <v>FTSS</v>
      </c>
      <c r="D1206">
        <f>'Female SR 30 Second Speed'!C30</f>
        <v>10</v>
      </c>
      <c r="E1206">
        <f>'Female SR 30 Second Speed'!D30</f>
        <v>0</v>
      </c>
      <c r="I1206" t="str">
        <f t="shared" si="38"/>
        <v>FTSS-Female Thirty Second Speed</v>
      </c>
    </row>
    <row r="1207" spans="1:9" x14ac:dyDescent="0.25">
      <c r="A1207">
        <f>'Team Info'!$B$3</f>
        <v>0</v>
      </c>
      <c r="B1207">
        <f>'Female SR 30 Second Speed'!A31</f>
        <v>5</v>
      </c>
      <c r="C1207" t="str">
        <f>'Female SR 30 Second Speed'!B31</f>
        <v>FTSS</v>
      </c>
      <c r="D1207">
        <f>'Female SR 30 Second Speed'!C31</f>
        <v>10</v>
      </c>
      <c r="E1207">
        <f>'Female SR 30 Second Speed'!D31</f>
        <v>0</v>
      </c>
      <c r="I1207" t="str">
        <f t="shared" si="38"/>
        <v>FTSS-Female Thirty Second Speed</v>
      </c>
    </row>
    <row r="1208" spans="1:9" x14ac:dyDescent="0.25">
      <c r="A1208">
        <f>'Team Info'!$B$3</f>
        <v>0</v>
      </c>
      <c r="B1208">
        <f>'Female SR 30 Second Speed'!A32</f>
        <v>6</v>
      </c>
      <c r="C1208" t="str">
        <f>'Female SR 30 Second Speed'!B32</f>
        <v>FTSS</v>
      </c>
      <c r="D1208">
        <f>'Female SR 30 Second Speed'!C32</f>
        <v>10</v>
      </c>
      <c r="E1208">
        <f>'Female SR 30 Second Speed'!D32</f>
        <v>0</v>
      </c>
      <c r="I1208" t="str">
        <f t="shared" si="38"/>
        <v>FTSS-Female Thirty Second Speed</v>
      </c>
    </row>
    <row r="1209" spans="1:9" x14ac:dyDescent="0.25">
      <c r="A1209">
        <f>'Team Info'!$B$3</f>
        <v>0</v>
      </c>
      <c r="B1209">
        <f>'Female SR 30 Second Speed'!A33</f>
        <v>7</v>
      </c>
      <c r="C1209" t="str">
        <f>'Female SR 30 Second Speed'!B33</f>
        <v>FTSS</v>
      </c>
      <c r="D1209">
        <f>'Female SR 30 Second Speed'!C33</f>
        <v>10</v>
      </c>
      <c r="E1209">
        <f>'Female SR 30 Second Speed'!D33</f>
        <v>0</v>
      </c>
      <c r="I1209" t="str">
        <f t="shared" si="38"/>
        <v>FTSS-Female Thirty Second Speed</v>
      </c>
    </row>
    <row r="1210" spans="1:9" x14ac:dyDescent="0.25">
      <c r="A1210">
        <f>'Team Info'!$B$3</f>
        <v>0</v>
      </c>
      <c r="B1210">
        <f>'Female SR 30 Second Speed'!A34</f>
        <v>8</v>
      </c>
      <c r="C1210" t="str">
        <f>'Female SR 30 Second Speed'!B34</f>
        <v>FTSS</v>
      </c>
      <c r="D1210">
        <f>'Female SR 30 Second Speed'!C34</f>
        <v>10</v>
      </c>
      <c r="E1210">
        <f>'Female SR 30 Second Speed'!D34</f>
        <v>0</v>
      </c>
      <c r="I1210" t="str">
        <f t="shared" si="38"/>
        <v>FTSS-Female Thirty Second Speed</v>
      </c>
    </row>
    <row r="1211" spans="1:9" x14ac:dyDescent="0.25">
      <c r="A1211">
        <f>'Team Info'!$B$3</f>
        <v>0</v>
      </c>
      <c r="B1211">
        <f>'Female SR 30 Second Speed'!A35</f>
        <v>9</v>
      </c>
      <c r="C1211" t="str">
        <f>'Female SR 30 Second Speed'!B35</f>
        <v>FTSS</v>
      </c>
      <c r="D1211">
        <f>'Female SR 30 Second Speed'!C35</f>
        <v>10</v>
      </c>
      <c r="E1211">
        <f>'Female SR 30 Second Speed'!D35</f>
        <v>0</v>
      </c>
      <c r="I1211" t="str">
        <f t="shared" si="38"/>
        <v>FTSS-Female Thirty Second Speed</v>
      </c>
    </row>
    <row r="1212" spans="1:9" x14ac:dyDescent="0.25">
      <c r="A1212">
        <f>'Team Info'!$B$3</f>
        <v>0</v>
      </c>
      <c r="B1212">
        <f>'Female SR 30 Second Speed'!A36</f>
        <v>10</v>
      </c>
      <c r="C1212" t="str">
        <f>'Female SR 30 Second Speed'!B36</f>
        <v>FTSS</v>
      </c>
      <c r="D1212">
        <f>'Female SR 30 Second Speed'!C36</f>
        <v>10</v>
      </c>
      <c r="E1212">
        <f>'Female SR 30 Second Speed'!D36</f>
        <v>0</v>
      </c>
      <c r="I1212" t="str">
        <f t="shared" si="38"/>
        <v>FTSS-Female Thirty Second Speed</v>
      </c>
    </row>
    <row r="1213" spans="1:9" x14ac:dyDescent="0.25">
      <c r="A1213">
        <f>'Team Info'!$B$3</f>
        <v>0</v>
      </c>
      <c r="B1213">
        <f>'Female SR 30 Second Speed'!A37</f>
        <v>11</v>
      </c>
      <c r="C1213" t="str">
        <f>'Female SR 30 Second Speed'!B37</f>
        <v>FTSS</v>
      </c>
      <c r="D1213">
        <f>'Female SR 30 Second Speed'!C37</f>
        <v>10</v>
      </c>
      <c r="E1213">
        <f>'Female SR 30 Second Speed'!D37</f>
        <v>0</v>
      </c>
      <c r="I1213" t="str">
        <f t="shared" si="38"/>
        <v>FTSS-Female Thirty Second Speed</v>
      </c>
    </row>
    <row r="1214" spans="1:9" x14ac:dyDescent="0.25">
      <c r="A1214">
        <f>'Team Info'!$B$3</f>
        <v>0</v>
      </c>
      <c r="B1214">
        <f>'Female SR 30 Second Speed'!A38</f>
        <v>12</v>
      </c>
      <c r="C1214" t="str">
        <f>'Female SR 30 Second Speed'!B38</f>
        <v>FTSS</v>
      </c>
      <c r="D1214">
        <f>'Female SR 30 Second Speed'!C38</f>
        <v>10</v>
      </c>
      <c r="E1214">
        <f>'Female SR 30 Second Speed'!D38</f>
        <v>0</v>
      </c>
      <c r="I1214" t="str">
        <f t="shared" si="38"/>
        <v>FTSS-Female Thirty Second Speed</v>
      </c>
    </row>
    <row r="1215" spans="1:9" x14ac:dyDescent="0.25">
      <c r="A1215">
        <f>'Team Info'!$B$3</f>
        <v>0</v>
      </c>
      <c r="B1215">
        <f>'Female SR 30 Second Speed'!A39</f>
        <v>13</v>
      </c>
      <c r="C1215" t="str">
        <f>'Female SR 30 Second Speed'!B39</f>
        <v>FTSS</v>
      </c>
      <c r="D1215">
        <f>'Female SR 30 Second Speed'!C39</f>
        <v>10</v>
      </c>
      <c r="E1215">
        <f>'Female SR 30 Second Speed'!D39</f>
        <v>0</v>
      </c>
      <c r="I1215" t="str">
        <f t="shared" si="38"/>
        <v>FTSS-Female Thirty Second Speed</v>
      </c>
    </row>
    <row r="1216" spans="1:9" x14ac:dyDescent="0.25">
      <c r="A1216">
        <f>'Team Info'!$B$3</f>
        <v>0</v>
      </c>
      <c r="B1216">
        <f>'Female SR 30 Second Speed'!A40</f>
        <v>14</v>
      </c>
      <c r="C1216" t="str">
        <f>'Female SR 30 Second Speed'!B40</f>
        <v>FTSS</v>
      </c>
      <c r="D1216">
        <f>'Female SR 30 Second Speed'!C40</f>
        <v>10</v>
      </c>
      <c r="E1216">
        <f>'Female SR 30 Second Speed'!D40</f>
        <v>0</v>
      </c>
      <c r="I1216" t="str">
        <f t="shared" si="38"/>
        <v>FTSS-Female Thirty Second Speed</v>
      </c>
    </row>
    <row r="1217" spans="1:9" x14ac:dyDescent="0.25">
      <c r="A1217">
        <f>'Team Info'!$B$3</f>
        <v>0</v>
      </c>
      <c r="B1217">
        <f>'Female SR 30 Second Speed'!A41</f>
        <v>15</v>
      </c>
      <c r="C1217" t="str">
        <f>'Female SR 30 Second Speed'!B41</f>
        <v>FTSS</v>
      </c>
      <c r="D1217">
        <f>'Female SR 30 Second Speed'!C41</f>
        <v>10</v>
      </c>
      <c r="E1217">
        <f>'Female SR 30 Second Speed'!D41</f>
        <v>0</v>
      </c>
      <c r="I1217" t="str">
        <f t="shared" si="38"/>
        <v>FTSS-Female Thirty Second Speed</v>
      </c>
    </row>
    <row r="1218" spans="1:9" x14ac:dyDescent="0.25">
      <c r="A1218">
        <f>'Team Info'!$B$3</f>
        <v>0</v>
      </c>
      <c r="B1218">
        <f>'Female SR 30 Second Speed'!A42</f>
        <v>16</v>
      </c>
      <c r="C1218" t="str">
        <f>'Female SR 30 Second Speed'!B42</f>
        <v>FTSS</v>
      </c>
      <c r="D1218">
        <f>'Female SR 30 Second Speed'!C42</f>
        <v>10</v>
      </c>
      <c r="E1218">
        <f>'Female SR 30 Second Speed'!D42</f>
        <v>0</v>
      </c>
      <c r="I1218" t="str">
        <f t="shared" si="38"/>
        <v>FTSS-Female Thirty Second Speed</v>
      </c>
    </row>
    <row r="1219" spans="1:9" x14ac:dyDescent="0.25">
      <c r="A1219">
        <f>'Team Info'!$B$3</f>
        <v>0</v>
      </c>
      <c r="B1219">
        <f>'Female SR 30 Second Speed'!A43</f>
        <v>17</v>
      </c>
      <c r="C1219" t="str">
        <f>'Female SR 30 Second Speed'!B43</f>
        <v>FTSS</v>
      </c>
      <c r="D1219">
        <f>'Female SR 30 Second Speed'!C43</f>
        <v>10</v>
      </c>
      <c r="E1219">
        <f>'Female SR 30 Second Speed'!D43</f>
        <v>0</v>
      </c>
      <c r="I1219" t="str">
        <f t="shared" si="38"/>
        <v>FTSS-Female Thirty Second Speed</v>
      </c>
    </row>
    <row r="1220" spans="1:9" x14ac:dyDescent="0.25">
      <c r="A1220">
        <f>'Team Info'!$B$3</f>
        <v>0</v>
      </c>
      <c r="B1220">
        <f>'Female SR 30 Second Speed'!A44</f>
        <v>18</v>
      </c>
      <c r="C1220" t="str">
        <f>'Female SR 30 Second Speed'!B44</f>
        <v>FTSS</v>
      </c>
      <c r="D1220">
        <f>'Female SR 30 Second Speed'!C44</f>
        <v>10</v>
      </c>
      <c r="E1220">
        <f>'Female SR 30 Second Speed'!D44</f>
        <v>0</v>
      </c>
      <c r="I1220" t="str">
        <f t="shared" si="38"/>
        <v>FTSS-Female Thirty Second Speed</v>
      </c>
    </row>
    <row r="1221" spans="1:9" x14ac:dyDescent="0.25">
      <c r="A1221">
        <f>'Team Info'!$B$3</f>
        <v>0</v>
      </c>
      <c r="B1221">
        <f>'Female SR 30 Second Speed'!A45</f>
        <v>19</v>
      </c>
      <c r="C1221" t="str">
        <f>'Female SR 30 Second Speed'!B45</f>
        <v>FTSS</v>
      </c>
      <c r="D1221">
        <f>'Female SR 30 Second Speed'!C45</f>
        <v>10</v>
      </c>
      <c r="E1221">
        <f>'Female SR 30 Second Speed'!D45</f>
        <v>0</v>
      </c>
      <c r="I1221" t="str">
        <f t="shared" si="38"/>
        <v>FTSS-Female Thirty Second Speed</v>
      </c>
    </row>
    <row r="1222" spans="1:9" x14ac:dyDescent="0.25">
      <c r="A1222">
        <f>'Team Info'!$B$3</f>
        <v>0</v>
      </c>
      <c r="B1222">
        <f>'Female SR 30 Second Speed'!A46</f>
        <v>20</v>
      </c>
      <c r="C1222" t="str">
        <f>'Female SR 30 Second Speed'!B46</f>
        <v>FTSS</v>
      </c>
      <c r="D1222">
        <f>'Female SR 30 Second Speed'!C46</f>
        <v>10</v>
      </c>
      <c r="E1222">
        <f>'Female SR 30 Second Speed'!D46</f>
        <v>0</v>
      </c>
      <c r="I1222" t="str">
        <f t="shared" si="38"/>
        <v>FTSS-Female Thirty Second Speed</v>
      </c>
    </row>
    <row r="1223" spans="1:9" x14ac:dyDescent="0.25">
      <c r="A1223">
        <f>'Team Info'!$B$3</f>
        <v>0</v>
      </c>
      <c r="B1223">
        <f>'Female SR 30 Second Speed'!H27</f>
        <v>1</v>
      </c>
      <c r="C1223" t="str">
        <f>'Female SR 30 Second Speed'!I27</f>
        <v>FTSS</v>
      </c>
      <c r="D1223">
        <f>'Female SR 30 Second Speed'!J27</f>
        <v>11</v>
      </c>
      <c r="E1223">
        <f>'Female SR 30 Second Speed'!K27</f>
        <v>0</v>
      </c>
      <c r="I1223" t="str">
        <f t="shared" si="38"/>
        <v>FTSS-Female Thirty Second Speed</v>
      </c>
    </row>
    <row r="1224" spans="1:9" x14ac:dyDescent="0.25">
      <c r="A1224">
        <f>'Team Info'!$B$3</f>
        <v>0</v>
      </c>
      <c r="B1224">
        <f>'Female SR 30 Second Speed'!H28</f>
        <v>2</v>
      </c>
      <c r="C1224" t="str">
        <f>'Female SR 30 Second Speed'!I28</f>
        <v>FTSS</v>
      </c>
      <c r="D1224">
        <f>'Female SR 30 Second Speed'!J28</f>
        <v>11</v>
      </c>
      <c r="E1224">
        <f>'Female SR 30 Second Speed'!K28</f>
        <v>0</v>
      </c>
      <c r="I1224" t="str">
        <f t="shared" si="38"/>
        <v>FTSS-Female Thirty Second Speed</v>
      </c>
    </row>
    <row r="1225" spans="1:9" x14ac:dyDescent="0.25">
      <c r="A1225">
        <f>'Team Info'!$B$3</f>
        <v>0</v>
      </c>
      <c r="B1225">
        <f>'Female SR 30 Second Speed'!H29</f>
        <v>3</v>
      </c>
      <c r="C1225" t="str">
        <f>'Female SR 30 Second Speed'!I29</f>
        <v>FTSS</v>
      </c>
      <c r="D1225">
        <f>'Female SR 30 Second Speed'!J29</f>
        <v>11</v>
      </c>
      <c r="E1225">
        <f>'Female SR 30 Second Speed'!K29</f>
        <v>0</v>
      </c>
      <c r="I1225" t="str">
        <f t="shared" si="38"/>
        <v>FTSS-Female Thirty Second Speed</v>
      </c>
    </row>
    <row r="1226" spans="1:9" x14ac:dyDescent="0.25">
      <c r="A1226">
        <f>'Team Info'!$B$3</f>
        <v>0</v>
      </c>
      <c r="B1226">
        <f>'Female SR 30 Second Speed'!H30</f>
        <v>4</v>
      </c>
      <c r="C1226" t="str">
        <f>'Female SR 30 Second Speed'!I30</f>
        <v>FTSS</v>
      </c>
      <c r="D1226">
        <f>'Female SR 30 Second Speed'!J30</f>
        <v>11</v>
      </c>
      <c r="E1226">
        <f>'Female SR 30 Second Speed'!K30</f>
        <v>0</v>
      </c>
      <c r="I1226" t="str">
        <f t="shared" si="38"/>
        <v>FTSS-Female Thirty Second Speed</v>
      </c>
    </row>
    <row r="1227" spans="1:9" x14ac:dyDescent="0.25">
      <c r="A1227">
        <f>'Team Info'!$B$3</f>
        <v>0</v>
      </c>
      <c r="B1227">
        <f>'Female SR 30 Second Speed'!H31</f>
        <v>5</v>
      </c>
      <c r="C1227" t="str">
        <f>'Female SR 30 Second Speed'!I31</f>
        <v>FTSS</v>
      </c>
      <c r="D1227">
        <f>'Female SR 30 Second Speed'!J31</f>
        <v>11</v>
      </c>
      <c r="E1227">
        <f>'Female SR 30 Second Speed'!K31</f>
        <v>0</v>
      </c>
      <c r="I1227" t="str">
        <f t="shared" si="38"/>
        <v>FTSS-Female Thirty Second Speed</v>
      </c>
    </row>
    <row r="1228" spans="1:9" x14ac:dyDescent="0.25">
      <c r="A1228">
        <f>'Team Info'!$B$3</f>
        <v>0</v>
      </c>
      <c r="B1228">
        <f>'Female SR 30 Second Speed'!H32</f>
        <v>6</v>
      </c>
      <c r="C1228" t="str">
        <f>'Female SR 30 Second Speed'!I32</f>
        <v>FTSS</v>
      </c>
      <c r="D1228">
        <f>'Female SR 30 Second Speed'!J32</f>
        <v>11</v>
      </c>
      <c r="E1228">
        <f>'Female SR 30 Second Speed'!K32</f>
        <v>0</v>
      </c>
      <c r="I1228" t="str">
        <f t="shared" si="38"/>
        <v>FTSS-Female Thirty Second Speed</v>
      </c>
    </row>
    <row r="1229" spans="1:9" x14ac:dyDescent="0.25">
      <c r="A1229">
        <f>'Team Info'!$B$3</f>
        <v>0</v>
      </c>
      <c r="B1229">
        <f>'Female SR 30 Second Speed'!H33</f>
        <v>7</v>
      </c>
      <c r="C1229" t="str">
        <f>'Female SR 30 Second Speed'!I33</f>
        <v>FTSS</v>
      </c>
      <c r="D1229">
        <f>'Female SR 30 Second Speed'!J33</f>
        <v>11</v>
      </c>
      <c r="E1229">
        <f>'Female SR 30 Second Speed'!K33</f>
        <v>0</v>
      </c>
      <c r="I1229" t="str">
        <f t="shared" si="38"/>
        <v>FTSS-Female Thirty Second Speed</v>
      </c>
    </row>
    <row r="1230" spans="1:9" x14ac:dyDescent="0.25">
      <c r="A1230">
        <f>'Team Info'!$B$3</f>
        <v>0</v>
      </c>
      <c r="B1230">
        <f>'Female SR 30 Second Speed'!H34</f>
        <v>8</v>
      </c>
      <c r="C1230" t="str">
        <f>'Female SR 30 Second Speed'!I34</f>
        <v>FTSS</v>
      </c>
      <c r="D1230">
        <f>'Female SR 30 Second Speed'!J34</f>
        <v>11</v>
      </c>
      <c r="E1230">
        <f>'Female SR 30 Second Speed'!K34</f>
        <v>0</v>
      </c>
      <c r="I1230" t="str">
        <f t="shared" si="38"/>
        <v>FTSS-Female Thirty Second Speed</v>
      </c>
    </row>
    <row r="1231" spans="1:9" x14ac:dyDescent="0.25">
      <c r="A1231">
        <f>'Team Info'!$B$3</f>
        <v>0</v>
      </c>
      <c r="B1231">
        <f>'Female SR 30 Second Speed'!H35</f>
        <v>9</v>
      </c>
      <c r="C1231" t="str">
        <f>'Female SR 30 Second Speed'!I35</f>
        <v>FTSS</v>
      </c>
      <c r="D1231">
        <f>'Female SR 30 Second Speed'!J35</f>
        <v>11</v>
      </c>
      <c r="E1231">
        <f>'Female SR 30 Second Speed'!K35</f>
        <v>0</v>
      </c>
      <c r="I1231" t="str">
        <f t="shared" si="38"/>
        <v>FTSS-Female Thirty Second Speed</v>
      </c>
    </row>
    <row r="1232" spans="1:9" x14ac:dyDescent="0.25">
      <c r="A1232">
        <f>'Team Info'!$B$3</f>
        <v>0</v>
      </c>
      <c r="B1232">
        <f>'Female SR 30 Second Speed'!H36</f>
        <v>10</v>
      </c>
      <c r="C1232" t="str">
        <f>'Female SR 30 Second Speed'!I36</f>
        <v>FTSS</v>
      </c>
      <c r="D1232">
        <f>'Female SR 30 Second Speed'!J36</f>
        <v>11</v>
      </c>
      <c r="E1232">
        <f>'Female SR 30 Second Speed'!K36</f>
        <v>0</v>
      </c>
      <c r="I1232" t="str">
        <f t="shared" si="38"/>
        <v>FTSS-Female Thirty Second Speed</v>
      </c>
    </row>
    <row r="1233" spans="1:9" x14ac:dyDescent="0.25">
      <c r="A1233">
        <f>'Team Info'!$B$3</f>
        <v>0</v>
      </c>
      <c r="B1233">
        <f>'Female SR 30 Second Speed'!H37</f>
        <v>11</v>
      </c>
      <c r="C1233" t="str">
        <f>'Female SR 30 Second Speed'!I37</f>
        <v>FTSS</v>
      </c>
      <c r="D1233">
        <f>'Female SR 30 Second Speed'!J37</f>
        <v>11</v>
      </c>
      <c r="E1233">
        <f>'Female SR 30 Second Speed'!K37</f>
        <v>0</v>
      </c>
      <c r="I1233" t="str">
        <f t="shared" si="38"/>
        <v>FTSS-Female Thirty Second Speed</v>
      </c>
    </row>
    <row r="1234" spans="1:9" x14ac:dyDescent="0.25">
      <c r="A1234">
        <f>'Team Info'!$B$3</f>
        <v>0</v>
      </c>
      <c r="B1234">
        <f>'Female SR 30 Second Speed'!H38</f>
        <v>12</v>
      </c>
      <c r="C1234" t="str">
        <f>'Female SR 30 Second Speed'!I38</f>
        <v>FTSS</v>
      </c>
      <c r="D1234">
        <f>'Female SR 30 Second Speed'!J38</f>
        <v>11</v>
      </c>
      <c r="E1234">
        <f>'Female SR 30 Second Speed'!K38</f>
        <v>0</v>
      </c>
      <c r="I1234" t="str">
        <f t="shared" si="38"/>
        <v>FTSS-Female Thirty Second Speed</v>
      </c>
    </row>
    <row r="1235" spans="1:9" x14ac:dyDescent="0.25">
      <c r="A1235">
        <f>'Team Info'!$B$3</f>
        <v>0</v>
      </c>
      <c r="B1235">
        <f>'Female SR 30 Second Speed'!H39</f>
        <v>13</v>
      </c>
      <c r="C1235" t="str">
        <f>'Female SR 30 Second Speed'!I39</f>
        <v>FTSS</v>
      </c>
      <c r="D1235">
        <f>'Female SR 30 Second Speed'!J39</f>
        <v>11</v>
      </c>
      <c r="E1235">
        <f>'Female SR 30 Second Speed'!K39</f>
        <v>0</v>
      </c>
      <c r="I1235" t="str">
        <f t="shared" si="38"/>
        <v>FTSS-Female Thirty Second Speed</v>
      </c>
    </row>
    <row r="1236" spans="1:9" x14ac:dyDescent="0.25">
      <c r="A1236">
        <f>'Team Info'!$B$3</f>
        <v>0</v>
      </c>
      <c r="B1236">
        <f>'Female SR 30 Second Speed'!H40</f>
        <v>14</v>
      </c>
      <c r="C1236" t="str">
        <f>'Female SR 30 Second Speed'!I40</f>
        <v>FTSS</v>
      </c>
      <c r="D1236">
        <f>'Female SR 30 Second Speed'!J40</f>
        <v>11</v>
      </c>
      <c r="E1236">
        <f>'Female SR 30 Second Speed'!K40</f>
        <v>0</v>
      </c>
      <c r="I1236" t="str">
        <f t="shared" si="38"/>
        <v>FTSS-Female Thirty Second Speed</v>
      </c>
    </row>
    <row r="1237" spans="1:9" x14ac:dyDescent="0.25">
      <c r="A1237">
        <f>'Team Info'!$B$3</f>
        <v>0</v>
      </c>
      <c r="B1237">
        <f>'Female SR 30 Second Speed'!H41</f>
        <v>15</v>
      </c>
      <c r="C1237" t="str">
        <f>'Female SR 30 Second Speed'!I41</f>
        <v>FTSS</v>
      </c>
      <c r="D1237">
        <f>'Female SR 30 Second Speed'!J41</f>
        <v>11</v>
      </c>
      <c r="E1237">
        <f>'Female SR 30 Second Speed'!K41</f>
        <v>0</v>
      </c>
      <c r="I1237" t="str">
        <f t="shared" si="38"/>
        <v>FTSS-Female Thirty Second Speed</v>
      </c>
    </row>
    <row r="1238" spans="1:9" x14ac:dyDescent="0.25">
      <c r="A1238">
        <f>'Team Info'!$B$3</f>
        <v>0</v>
      </c>
      <c r="B1238">
        <f>'Female SR 30 Second Speed'!H42</f>
        <v>16</v>
      </c>
      <c r="C1238" t="str">
        <f>'Female SR 30 Second Speed'!I42</f>
        <v>FTSS</v>
      </c>
      <c r="D1238">
        <f>'Female SR 30 Second Speed'!J42</f>
        <v>11</v>
      </c>
      <c r="E1238">
        <f>'Female SR 30 Second Speed'!K42</f>
        <v>0</v>
      </c>
      <c r="I1238" t="str">
        <f t="shared" si="38"/>
        <v>FTSS-Female Thirty Second Speed</v>
      </c>
    </row>
    <row r="1239" spans="1:9" x14ac:dyDescent="0.25">
      <c r="A1239">
        <f>'Team Info'!$B$3</f>
        <v>0</v>
      </c>
      <c r="B1239">
        <f>'Female SR 30 Second Speed'!H43</f>
        <v>17</v>
      </c>
      <c r="C1239" t="str">
        <f>'Female SR 30 Second Speed'!I43</f>
        <v>FTSS</v>
      </c>
      <c r="D1239">
        <f>'Female SR 30 Second Speed'!J43</f>
        <v>11</v>
      </c>
      <c r="E1239">
        <f>'Female SR 30 Second Speed'!K43</f>
        <v>0</v>
      </c>
      <c r="I1239" t="str">
        <f t="shared" si="38"/>
        <v>FTSS-Female Thirty Second Speed</v>
      </c>
    </row>
    <row r="1240" spans="1:9" x14ac:dyDescent="0.25">
      <c r="A1240">
        <f>'Team Info'!$B$3</f>
        <v>0</v>
      </c>
      <c r="B1240">
        <f>'Female SR 30 Second Speed'!H44</f>
        <v>18</v>
      </c>
      <c r="C1240" t="str">
        <f>'Female SR 30 Second Speed'!I44</f>
        <v>FTSS</v>
      </c>
      <c r="D1240">
        <f>'Female SR 30 Second Speed'!J44</f>
        <v>11</v>
      </c>
      <c r="E1240">
        <f>'Female SR 30 Second Speed'!K44</f>
        <v>0</v>
      </c>
      <c r="I1240" t="str">
        <f t="shared" si="38"/>
        <v>FTSS-Female Thirty Second Speed</v>
      </c>
    </row>
    <row r="1241" spans="1:9" x14ac:dyDescent="0.25">
      <c r="A1241">
        <f>'Team Info'!$B$3</f>
        <v>0</v>
      </c>
      <c r="B1241">
        <f>'Female SR 30 Second Speed'!H45</f>
        <v>19</v>
      </c>
      <c r="C1241" t="str">
        <f>'Female SR 30 Second Speed'!I45</f>
        <v>FTSS</v>
      </c>
      <c r="D1241">
        <f>'Female SR 30 Second Speed'!J45</f>
        <v>11</v>
      </c>
      <c r="E1241">
        <f>'Female SR 30 Second Speed'!K45</f>
        <v>0</v>
      </c>
      <c r="I1241" t="str">
        <f t="shared" si="38"/>
        <v>FTSS-Female Thirty Second Speed</v>
      </c>
    </row>
    <row r="1242" spans="1:9" x14ac:dyDescent="0.25">
      <c r="A1242">
        <f>'Team Info'!$B$3</f>
        <v>0</v>
      </c>
      <c r="B1242">
        <f>'Female SR 30 Second Speed'!H46</f>
        <v>20</v>
      </c>
      <c r="C1242" t="str">
        <f>'Female SR 30 Second Speed'!I46</f>
        <v>FTSS</v>
      </c>
      <c r="D1242">
        <f>'Female SR 30 Second Speed'!J46</f>
        <v>11</v>
      </c>
      <c r="E1242">
        <f>'Female SR 30 Second Speed'!K46</f>
        <v>0</v>
      </c>
      <c r="I1242" t="str">
        <f t="shared" si="38"/>
        <v>FTSS-Female Thirty Second Speed</v>
      </c>
    </row>
    <row r="1243" spans="1:9" x14ac:dyDescent="0.25">
      <c r="A1243">
        <f>'Team Info'!$B$3</f>
        <v>0</v>
      </c>
      <c r="B1243">
        <f>'Female SR 30 Second Speed'!A49</f>
        <v>1</v>
      </c>
      <c r="C1243" t="str">
        <f>'Female SR 30 Second Speed'!B49</f>
        <v>FTSS</v>
      </c>
      <c r="D1243">
        <f>'Female SR 30 Second Speed'!C49</f>
        <v>12</v>
      </c>
      <c r="E1243">
        <f>'Female SR 30 Second Speed'!D49</f>
        <v>0</v>
      </c>
      <c r="I1243" t="str">
        <f t="shared" si="38"/>
        <v>FTSS-Female Thirty Second Speed</v>
      </c>
    </row>
    <row r="1244" spans="1:9" x14ac:dyDescent="0.25">
      <c r="A1244">
        <f>'Team Info'!$B$3</f>
        <v>0</v>
      </c>
      <c r="B1244">
        <f>'Female SR 30 Second Speed'!A50</f>
        <v>2</v>
      </c>
      <c r="C1244" t="str">
        <f>'Female SR 30 Second Speed'!B50</f>
        <v>FTSS</v>
      </c>
      <c r="D1244">
        <f>'Female SR 30 Second Speed'!C50</f>
        <v>12</v>
      </c>
      <c r="E1244">
        <f>'Female SR 30 Second Speed'!D50</f>
        <v>0</v>
      </c>
      <c r="I1244" t="str">
        <f t="shared" si="38"/>
        <v>FTSS-Female Thirty Second Speed</v>
      </c>
    </row>
    <row r="1245" spans="1:9" x14ac:dyDescent="0.25">
      <c r="A1245">
        <f>'Team Info'!$B$3</f>
        <v>0</v>
      </c>
      <c r="B1245">
        <f>'Female SR 30 Second Speed'!A51</f>
        <v>3</v>
      </c>
      <c r="C1245" t="str">
        <f>'Female SR 30 Second Speed'!B51</f>
        <v>FTSS</v>
      </c>
      <c r="D1245">
        <f>'Female SR 30 Second Speed'!C51</f>
        <v>12</v>
      </c>
      <c r="E1245">
        <f>'Female SR 30 Second Speed'!D51</f>
        <v>0</v>
      </c>
      <c r="I1245" t="str">
        <f t="shared" si="38"/>
        <v>FTSS-Female Thirty Second Speed</v>
      </c>
    </row>
    <row r="1246" spans="1:9" x14ac:dyDescent="0.25">
      <c r="A1246">
        <f>'Team Info'!$B$3</f>
        <v>0</v>
      </c>
      <c r="B1246">
        <f>'Female SR 30 Second Speed'!A52</f>
        <v>4</v>
      </c>
      <c r="C1246" t="str">
        <f>'Female SR 30 Second Speed'!B52</f>
        <v>FTSS</v>
      </c>
      <c r="D1246">
        <f>'Female SR 30 Second Speed'!C52</f>
        <v>12</v>
      </c>
      <c r="E1246">
        <f>'Female SR 30 Second Speed'!D52</f>
        <v>0</v>
      </c>
      <c r="I1246" t="str">
        <f t="shared" si="38"/>
        <v>FTSS-Female Thirty Second Speed</v>
      </c>
    </row>
    <row r="1247" spans="1:9" x14ac:dyDescent="0.25">
      <c r="A1247">
        <f>'Team Info'!$B$3</f>
        <v>0</v>
      </c>
      <c r="B1247">
        <f>'Female SR 30 Second Speed'!A53</f>
        <v>5</v>
      </c>
      <c r="C1247" t="str">
        <f>'Female SR 30 Second Speed'!B53</f>
        <v>FTSS</v>
      </c>
      <c r="D1247">
        <f>'Female SR 30 Second Speed'!C53</f>
        <v>12</v>
      </c>
      <c r="E1247">
        <f>'Female SR 30 Second Speed'!D53</f>
        <v>0</v>
      </c>
      <c r="I1247" t="str">
        <f t="shared" si="38"/>
        <v>FTSS-Female Thirty Second Speed</v>
      </c>
    </row>
    <row r="1248" spans="1:9" x14ac:dyDescent="0.25">
      <c r="A1248">
        <f>'Team Info'!$B$3</f>
        <v>0</v>
      </c>
      <c r="B1248">
        <f>'Female SR 30 Second Speed'!A54</f>
        <v>6</v>
      </c>
      <c r="C1248" t="str">
        <f>'Female SR 30 Second Speed'!B54</f>
        <v>FTSS</v>
      </c>
      <c r="D1248">
        <f>'Female SR 30 Second Speed'!C54</f>
        <v>12</v>
      </c>
      <c r="E1248">
        <f>'Female SR 30 Second Speed'!D54</f>
        <v>0</v>
      </c>
      <c r="I1248" t="str">
        <f t="shared" si="38"/>
        <v>FTSS-Female Thirty Second Speed</v>
      </c>
    </row>
    <row r="1249" spans="1:9" x14ac:dyDescent="0.25">
      <c r="A1249">
        <f>'Team Info'!$B$3</f>
        <v>0</v>
      </c>
      <c r="B1249">
        <f>'Female SR 30 Second Speed'!A55</f>
        <v>7</v>
      </c>
      <c r="C1249" t="str">
        <f>'Female SR 30 Second Speed'!B55</f>
        <v>FTSS</v>
      </c>
      <c r="D1249">
        <f>'Female SR 30 Second Speed'!C55</f>
        <v>12</v>
      </c>
      <c r="E1249">
        <f>'Female SR 30 Second Speed'!D55</f>
        <v>0</v>
      </c>
      <c r="I1249" t="str">
        <f t="shared" si="38"/>
        <v>FTSS-Female Thirty Second Speed</v>
      </c>
    </row>
    <row r="1250" spans="1:9" x14ac:dyDescent="0.25">
      <c r="A1250">
        <f>'Team Info'!$B$3</f>
        <v>0</v>
      </c>
      <c r="B1250">
        <f>'Female SR 30 Second Speed'!A56</f>
        <v>8</v>
      </c>
      <c r="C1250" t="str">
        <f>'Female SR 30 Second Speed'!B56</f>
        <v>FTSS</v>
      </c>
      <c r="D1250">
        <f>'Female SR 30 Second Speed'!C56</f>
        <v>12</v>
      </c>
      <c r="E1250">
        <f>'Female SR 30 Second Speed'!D56</f>
        <v>0</v>
      </c>
      <c r="I1250" t="str">
        <f t="shared" si="38"/>
        <v>FTSS-Female Thirty Second Speed</v>
      </c>
    </row>
    <row r="1251" spans="1:9" x14ac:dyDescent="0.25">
      <c r="A1251">
        <f>'Team Info'!$B$3</f>
        <v>0</v>
      </c>
      <c r="B1251">
        <f>'Female SR 30 Second Speed'!A57</f>
        <v>9</v>
      </c>
      <c r="C1251" t="str">
        <f>'Female SR 30 Second Speed'!B57</f>
        <v>FTSS</v>
      </c>
      <c r="D1251">
        <f>'Female SR 30 Second Speed'!C57</f>
        <v>12</v>
      </c>
      <c r="E1251">
        <f>'Female SR 30 Second Speed'!D57</f>
        <v>0</v>
      </c>
      <c r="I1251" t="str">
        <f t="shared" si="38"/>
        <v>FTSS-Female Thirty Second Speed</v>
      </c>
    </row>
    <row r="1252" spans="1:9" x14ac:dyDescent="0.25">
      <c r="A1252">
        <f>'Team Info'!$B$3</f>
        <v>0</v>
      </c>
      <c r="B1252">
        <f>'Female SR 30 Second Speed'!A58</f>
        <v>10</v>
      </c>
      <c r="C1252" t="str">
        <f>'Female SR 30 Second Speed'!B58</f>
        <v>FTSS</v>
      </c>
      <c r="D1252">
        <f>'Female SR 30 Second Speed'!C58</f>
        <v>12</v>
      </c>
      <c r="E1252">
        <f>'Female SR 30 Second Speed'!D58</f>
        <v>0</v>
      </c>
      <c r="I1252" t="str">
        <f t="shared" si="38"/>
        <v>FTSS-Female Thirty Second Speed</v>
      </c>
    </row>
    <row r="1253" spans="1:9" x14ac:dyDescent="0.25">
      <c r="A1253">
        <f>'Team Info'!$B$3</f>
        <v>0</v>
      </c>
      <c r="B1253">
        <f>'Female SR 30 Second Speed'!A59</f>
        <v>11</v>
      </c>
      <c r="C1253" t="str">
        <f>'Female SR 30 Second Speed'!B59</f>
        <v>FTSS</v>
      </c>
      <c r="D1253">
        <f>'Female SR 30 Second Speed'!C59</f>
        <v>12</v>
      </c>
      <c r="E1253">
        <f>'Female SR 30 Second Speed'!D59</f>
        <v>0</v>
      </c>
      <c r="I1253" t="str">
        <f t="shared" si="38"/>
        <v>FTSS-Female Thirty Second Speed</v>
      </c>
    </row>
    <row r="1254" spans="1:9" x14ac:dyDescent="0.25">
      <c r="A1254">
        <f>'Team Info'!$B$3</f>
        <v>0</v>
      </c>
      <c r="B1254">
        <f>'Female SR 30 Second Speed'!A60</f>
        <v>12</v>
      </c>
      <c r="C1254" t="str">
        <f>'Female SR 30 Second Speed'!B60</f>
        <v>FTSS</v>
      </c>
      <c r="D1254">
        <f>'Female SR 30 Second Speed'!C60</f>
        <v>12</v>
      </c>
      <c r="E1254">
        <f>'Female SR 30 Second Speed'!D60</f>
        <v>0</v>
      </c>
      <c r="I1254" t="str">
        <f t="shared" si="38"/>
        <v>FTSS-Female Thirty Second Speed</v>
      </c>
    </row>
    <row r="1255" spans="1:9" x14ac:dyDescent="0.25">
      <c r="A1255">
        <f>'Team Info'!$B$3</f>
        <v>0</v>
      </c>
      <c r="B1255">
        <f>'Female SR 30 Second Speed'!A61</f>
        <v>13</v>
      </c>
      <c r="C1255" t="str">
        <f>'Female SR 30 Second Speed'!B61</f>
        <v>FTSS</v>
      </c>
      <c r="D1255">
        <f>'Female SR 30 Second Speed'!C61</f>
        <v>12</v>
      </c>
      <c r="E1255">
        <f>'Female SR 30 Second Speed'!D61</f>
        <v>0</v>
      </c>
      <c r="I1255" t="str">
        <f t="shared" si="38"/>
        <v>FTSS-Female Thirty Second Speed</v>
      </c>
    </row>
    <row r="1256" spans="1:9" x14ac:dyDescent="0.25">
      <c r="A1256">
        <f>'Team Info'!$B$3</f>
        <v>0</v>
      </c>
      <c r="B1256">
        <f>'Female SR 30 Second Speed'!A62</f>
        <v>14</v>
      </c>
      <c r="C1256" t="str">
        <f>'Female SR 30 Second Speed'!B62</f>
        <v>FTSS</v>
      </c>
      <c r="D1256">
        <f>'Female SR 30 Second Speed'!C62</f>
        <v>12</v>
      </c>
      <c r="E1256">
        <f>'Female SR 30 Second Speed'!D62</f>
        <v>0</v>
      </c>
      <c r="I1256" t="str">
        <f t="shared" si="38"/>
        <v>FTSS-Female Thirty Second Speed</v>
      </c>
    </row>
    <row r="1257" spans="1:9" x14ac:dyDescent="0.25">
      <c r="A1257">
        <f>'Team Info'!$B$3</f>
        <v>0</v>
      </c>
      <c r="B1257">
        <f>'Female SR 30 Second Speed'!A63</f>
        <v>15</v>
      </c>
      <c r="C1257" t="str">
        <f>'Female SR 30 Second Speed'!B63</f>
        <v>FTSS</v>
      </c>
      <c r="D1257">
        <f>'Female SR 30 Second Speed'!C63</f>
        <v>12</v>
      </c>
      <c r="E1257">
        <f>'Female SR 30 Second Speed'!D63</f>
        <v>0</v>
      </c>
      <c r="I1257" t="str">
        <f t="shared" si="38"/>
        <v>FTSS-Female Thirty Second Speed</v>
      </c>
    </row>
    <row r="1258" spans="1:9" x14ac:dyDescent="0.25">
      <c r="A1258">
        <f>'Team Info'!$B$3</f>
        <v>0</v>
      </c>
      <c r="B1258">
        <f>'Female SR 30 Second Speed'!A64</f>
        <v>16</v>
      </c>
      <c r="C1258" t="str">
        <f>'Female SR 30 Second Speed'!B64</f>
        <v>FTSS</v>
      </c>
      <c r="D1258">
        <f>'Female SR 30 Second Speed'!C64</f>
        <v>12</v>
      </c>
      <c r="E1258">
        <f>'Female SR 30 Second Speed'!D64</f>
        <v>0</v>
      </c>
      <c r="I1258" t="str">
        <f t="shared" ref="I1258:I1321" si="39">VLOOKUP(C1258,EVENTS,2,FALSE)</f>
        <v>FTSS-Female Thirty Second Speed</v>
      </c>
    </row>
    <row r="1259" spans="1:9" x14ac:dyDescent="0.25">
      <c r="A1259">
        <f>'Team Info'!$B$3</f>
        <v>0</v>
      </c>
      <c r="B1259">
        <f>'Female SR 30 Second Speed'!A65</f>
        <v>17</v>
      </c>
      <c r="C1259" t="str">
        <f>'Female SR 30 Second Speed'!B65</f>
        <v>FTSS</v>
      </c>
      <c r="D1259">
        <f>'Female SR 30 Second Speed'!C65</f>
        <v>12</v>
      </c>
      <c r="E1259">
        <f>'Female SR 30 Second Speed'!D65</f>
        <v>0</v>
      </c>
      <c r="I1259" t="str">
        <f t="shared" si="39"/>
        <v>FTSS-Female Thirty Second Speed</v>
      </c>
    </row>
    <row r="1260" spans="1:9" x14ac:dyDescent="0.25">
      <c r="A1260">
        <f>'Team Info'!$B$3</f>
        <v>0</v>
      </c>
      <c r="B1260">
        <f>'Female SR 30 Second Speed'!A66</f>
        <v>18</v>
      </c>
      <c r="C1260" t="str">
        <f>'Female SR 30 Second Speed'!B66</f>
        <v>FTSS</v>
      </c>
      <c r="D1260">
        <f>'Female SR 30 Second Speed'!C66</f>
        <v>12</v>
      </c>
      <c r="E1260">
        <f>'Female SR 30 Second Speed'!D66</f>
        <v>0</v>
      </c>
      <c r="I1260" t="str">
        <f t="shared" si="39"/>
        <v>FTSS-Female Thirty Second Speed</v>
      </c>
    </row>
    <row r="1261" spans="1:9" x14ac:dyDescent="0.25">
      <c r="A1261">
        <f>'Team Info'!$B$3</f>
        <v>0</v>
      </c>
      <c r="B1261">
        <f>'Female SR 30 Second Speed'!A67</f>
        <v>19</v>
      </c>
      <c r="C1261" t="str">
        <f>'Female SR 30 Second Speed'!B67</f>
        <v>FTSS</v>
      </c>
      <c r="D1261">
        <f>'Female SR 30 Second Speed'!C67</f>
        <v>12</v>
      </c>
      <c r="E1261">
        <f>'Female SR 30 Second Speed'!D67</f>
        <v>0</v>
      </c>
      <c r="I1261" t="str">
        <f t="shared" si="39"/>
        <v>FTSS-Female Thirty Second Speed</v>
      </c>
    </row>
    <row r="1262" spans="1:9" x14ac:dyDescent="0.25">
      <c r="A1262">
        <f>'Team Info'!$B$3</f>
        <v>0</v>
      </c>
      <c r="B1262">
        <f>'Female SR 30 Second Speed'!A68</f>
        <v>20</v>
      </c>
      <c r="C1262" t="str">
        <f>'Female SR 30 Second Speed'!B68</f>
        <v>FTSS</v>
      </c>
      <c r="D1262">
        <f>'Female SR 30 Second Speed'!C68</f>
        <v>12</v>
      </c>
      <c r="E1262">
        <f>'Female SR 30 Second Speed'!D68</f>
        <v>0</v>
      </c>
      <c r="I1262" t="str">
        <f t="shared" si="39"/>
        <v>FTSS-Female Thirty Second Speed</v>
      </c>
    </row>
    <row r="1263" spans="1:9" x14ac:dyDescent="0.25">
      <c r="A1263">
        <f>'Team Info'!$B$3</f>
        <v>0</v>
      </c>
      <c r="B1263">
        <f>'Female SR 30 Second Speed'!H49</f>
        <v>1</v>
      </c>
      <c r="C1263" t="str">
        <f>'Female SR 30 Second Speed'!I49</f>
        <v>FTSS</v>
      </c>
      <c r="D1263">
        <f>'Female SR 30 Second Speed'!J49</f>
        <v>13</v>
      </c>
      <c r="E1263">
        <f>'Female SR 30 Second Speed'!K49</f>
        <v>0</v>
      </c>
      <c r="I1263" t="str">
        <f t="shared" si="39"/>
        <v>FTSS-Female Thirty Second Speed</v>
      </c>
    </row>
    <row r="1264" spans="1:9" x14ac:dyDescent="0.25">
      <c r="A1264">
        <f>'Team Info'!$B$3</f>
        <v>0</v>
      </c>
      <c r="B1264">
        <f>'Female SR 30 Second Speed'!H50</f>
        <v>2</v>
      </c>
      <c r="C1264" t="str">
        <f>'Female SR 30 Second Speed'!I50</f>
        <v>FTSS</v>
      </c>
      <c r="D1264">
        <f>'Female SR 30 Second Speed'!J50</f>
        <v>13</v>
      </c>
      <c r="E1264">
        <f>'Female SR 30 Second Speed'!K50</f>
        <v>0</v>
      </c>
      <c r="I1264" t="str">
        <f t="shared" si="39"/>
        <v>FTSS-Female Thirty Second Speed</v>
      </c>
    </row>
    <row r="1265" spans="1:9" x14ac:dyDescent="0.25">
      <c r="A1265">
        <f>'Team Info'!$B$3</f>
        <v>0</v>
      </c>
      <c r="B1265">
        <f>'Female SR 30 Second Speed'!H51</f>
        <v>3</v>
      </c>
      <c r="C1265" t="str">
        <f>'Female SR 30 Second Speed'!I51</f>
        <v>FTSS</v>
      </c>
      <c r="D1265">
        <f>'Female SR 30 Second Speed'!J51</f>
        <v>13</v>
      </c>
      <c r="E1265">
        <f>'Female SR 30 Second Speed'!K51</f>
        <v>0</v>
      </c>
      <c r="I1265" t="str">
        <f t="shared" si="39"/>
        <v>FTSS-Female Thirty Second Speed</v>
      </c>
    </row>
    <row r="1266" spans="1:9" x14ac:dyDescent="0.25">
      <c r="A1266">
        <f>'Team Info'!$B$3</f>
        <v>0</v>
      </c>
      <c r="B1266">
        <f>'Female SR 30 Second Speed'!H52</f>
        <v>4</v>
      </c>
      <c r="C1266" t="str">
        <f>'Female SR 30 Second Speed'!I52</f>
        <v>FTSS</v>
      </c>
      <c r="D1266">
        <f>'Female SR 30 Second Speed'!J52</f>
        <v>13</v>
      </c>
      <c r="E1266">
        <f>'Female SR 30 Second Speed'!K52</f>
        <v>0</v>
      </c>
      <c r="I1266" t="str">
        <f t="shared" si="39"/>
        <v>FTSS-Female Thirty Second Speed</v>
      </c>
    </row>
    <row r="1267" spans="1:9" x14ac:dyDescent="0.25">
      <c r="A1267">
        <f>'Team Info'!$B$3</f>
        <v>0</v>
      </c>
      <c r="B1267">
        <f>'Female SR 30 Second Speed'!H53</f>
        <v>5</v>
      </c>
      <c r="C1267" t="str">
        <f>'Female SR 30 Second Speed'!I53</f>
        <v>FTSS</v>
      </c>
      <c r="D1267">
        <f>'Female SR 30 Second Speed'!J53</f>
        <v>13</v>
      </c>
      <c r="E1267">
        <f>'Female SR 30 Second Speed'!K53</f>
        <v>0</v>
      </c>
      <c r="I1267" t="str">
        <f t="shared" si="39"/>
        <v>FTSS-Female Thirty Second Speed</v>
      </c>
    </row>
    <row r="1268" spans="1:9" x14ac:dyDescent="0.25">
      <c r="A1268">
        <f>'Team Info'!$B$3</f>
        <v>0</v>
      </c>
      <c r="B1268">
        <f>'Female SR 30 Second Speed'!H54</f>
        <v>6</v>
      </c>
      <c r="C1268" t="str">
        <f>'Female SR 30 Second Speed'!I54</f>
        <v>FTSS</v>
      </c>
      <c r="D1268">
        <f>'Female SR 30 Second Speed'!J54</f>
        <v>13</v>
      </c>
      <c r="E1268">
        <f>'Female SR 30 Second Speed'!K54</f>
        <v>0</v>
      </c>
      <c r="I1268" t="str">
        <f t="shared" si="39"/>
        <v>FTSS-Female Thirty Second Speed</v>
      </c>
    </row>
    <row r="1269" spans="1:9" x14ac:dyDescent="0.25">
      <c r="A1269">
        <f>'Team Info'!$B$3</f>
        <v>0</v>
      </c>
      <c r="B1269">
        <f>'Female SR 30 Second Speed'!H55</f>
        <v>7</v>
      </c>
      <c r="C1269" t="str">
        <f>'Female SR 30 Second Speed'!I55</f>
        <v>FTSS</v>
      </c>
      <c r="D1269">
        <f>'Female SR 30 Second Speed'!J55</f>
        <v>13</v>
      </c>
      <c r="E1269">
        <f>'Female SR 30 Second Speed'!K55</f>
        <v>0</v>
      </c>
      <c r="I1269" t="str">
        <f t="shared" si="39"/>
        <v>FTSS-Female Thirty Second Speed</v>
      </c>
    </row>
    <row r="1270" spans="1:9" x14ac:dyDescent="0.25">
      <c r="A1270">
        <f>'Team Info'!$B$3</f>
        <v>0</v>
      </c>
      <c r="B1270">
        <f>'Female SR 30 Second Speed'!H56</f>
        <v>8</v>
      </c>
      <c r="C1270" t="str">
        <f>'Female SR 30 Second Speed'!I56</f>
        <v>FTSS</v>
      </c>
      <c r="D1270">
        <f>'Female SR 30 Second Speed'!J56</f>
        <v>13</v>
      </c>
      <c r="E1270">
        <f>'Female SR 30 Second Speed'!K56</f>
        <v>0</v>
      </c>
      <c r="I1270" t="str">
        <f t="shared" si="39"/>
        <v>FTSS-Female Thirty Second Speed</v>
      </c>
    </row>
    <row r="1271" spans="1:9" x14ac:dyDescent="0.25">
      <c r="A1271">
        <f>'Team Info'!$B$3</f>
        <v>0</v>
      </c>
      <c r="B1271">
        <f>'Female SR 30 Second Speed'!H57</f>
        <v>9</v>
      </c>
      <c r="C1271" t="str">
        <f>'Female SR 30 Second Speed'!I57</f>
        <v>FTSS</v>
      </c>
      <c r="D1271">
        <f>'Female SR 30 Second Speed'!J57</f>
        <v>13</v>
      </c>
      <c r="E1271">
        <f>'Female SR 30 Second Speed'!K57</f>
        <v>0</v>
      </c>
      <c r="I1271" t="str">
        <f t="shared" si="39"/>
        <v>FTSS-Female Thirty Second Speed</v>
      </c>
    </row>
    <row r="1272" spans="1:9" x14ac:dyDescent="0.25">
      <c r="A1272">
        <f>'Team Info'!$B$3</f>
        <v>0</v>
      </c>
      <c r="B1272">
        <f>'Female SR 30 Second Speed'!H58</f>
        <v>10</v>
      </c>
      <c r="C1272" t="str">
        <f>'Female SR 30 Second Speed'!I58</f>
        <v>FTSS</v>
      </c>
      <c r="D1272">
        <f>'Female SR 30 Second Speed'!J58</f>
        <v>13</v>
      </c>
      <c r="E1272">
        <f>'Female SR 30 Second Speed'!K58</f>
        <v>0</v>
      </c>
      <c r="I1272" t="str">
        <f t="shared" si="39"/>
        <v>FTSS-Female Thirty Second Speed</v>
      </c>
    </row>
    <row r="1273" spans="1:9" x14ac:dyDescent="0.25">
      <c r="A1273">
        <f>'Team Info'!$B$3</f>
        <v>0</v>
      </c>
      <c r="B1273">
        <f>'Female SR 30 Second Speed'!H59</f>
        <v>11</v>
      </c>
      <c r="C1273" t="str">
        <f>'Female SR 30 Second Speed'!I59</f>
        <v>FTSS</v>
      </c>
      <c r="D1273">
        <f>'Female SR 30 Second Speed'!J59</f>
        <v>13</v>
      </c>
      <c r="E1273">
        <f>'Female SR 30 Second Speed'!K59</f>
        <v>0</v>
      </c>
      <c r="I1273" t="str">
        <f t="shared" si="39"/>
        <v>FTSS-Female Thirty Second Speed</v>
      </c>
    </row>
    <row r="1274" spans="1:9" x14ac:dyDescent="0.25">
      <c r="A1274">
        <f>'Team Info'!$B$3</f>
        <v>0</v>
      </c>
      <c r="B1274">
        <f>'Female SR 30 Second Speed'!H60</f>
        <v>12</v>
      </c>
      <c r="C1274" t="str">
        <f>'Female SR 30 Second Speed'!I60</f>
        <v>FTSS</v>
      </c>
      <c r="D1274">
        <f>'Female SR 30 Second Speed'!J60</f>
        <v>13</v>
      </c>
      <c r="E1274">
        <f>'Female SR 30 Second Speed'!K60</f>
        <v>0</v>
      </c>
      <c r="I1274" t="str">
        <f t="shared" si="39"/>
        <v>FTSS-Female Thirty Second Speed</v>
      </c>
    </row>
    <row r="1275" spans="1:9" x14ac:dyDescent="0.25">
      <c r="A1275">
        <f>'Team Info'!$B$3</f>
        <v>0</v>
      </c>
      <c r="B1275">
        <f>'Female SR 30 Second Speed'!H61</f>
        <v>13</v>
      </c>
      <c r="C1275" t="str">
        <f>'Female SR 30 Second Speed'!I61</f>
        <v>FTSS</v>
      </c>
      <c r="D1275">
        <f>'Female SR 30 Second Speed'!J61</f>
        <v>13</v>
      </c>
      <c r="E1275">
        <f>'Female SR 30 Second Speed'!K61</f>
        <v>0</v>
      </c>
      <c r="I1275" t="str">
        <f t="shared" si="39"/>
        <v>FTSS-Female Thirty Second Speed</v>
      </c>
    </row>
    <row r="1276" spans="1:9" x14ac:dyDescent="0.25">
      <c r="A1276">
        <f>'Team Info'!$B$3</f>
        <v>0</v>
      </c>
      <c r="B1276">
        <f>'Female SR 30 Second Speed'!H62</f>
        <v>14</v>
      </c>
      <c r="C1276" t="str">
        <f>'Female SR 30 Second Speed'!I62</f>
        <v>FTSS</v>
      </c>
      <c r="D1276">
        <f>'Female SR 30 Second Speed'!J62</f>
        <v>13</v>
      </c>
      <c r="E1276">
        <f>'Female SR 30 Second Speed'!K62</f>
        <v>0</v>
      </c>
      <c r="I1276" t="str">
        <f t="shared" si="39"/>
        <v>FTSS-Female Thirty Second Speed</v>
      </c>
    </row>
    <row r="1277" spans="1:9" x14ac:dyDescent="0.25">
      <c r="A1277">
        <f>'Team Info'!$B$3</f>
        <v>0</v>
      </c>
      <c r="B1277">
        <f>'Female SR 30 Second Speed'!H63</f>
        <v>15</v>
      </c>
      <c r="C1277" t="str">
        <f>'Female SR 30 Second Speed'!I63</f>
        <v>FTSS</v>
      </c>
      <c r="D1277">
        <f>'Female SR 30 Second Speed'!J63</f>
        <v>13</v>
      </c>
      <c r="E1277">
        <f>'Female SR 30 Second Speed'!K63</f>
        <v>0</v>
      </c>
      <c r="I1277" t="str">
        <f t="shared" si="39"/>
        <v>FTSS-Female Thirty Second Speed</v>
      </c>
    </row>
    <row r="1278" spans="1:9" x14ac:dyDescent="0.25">
      <c r="A1278">
        <f>'Team Info'!$B$3</f>
        <v>0</v>
      </c>
      <c r="B1278">
        <f>'Female SR 30 Second Speed'!H64</f>
        <v>16</v>
      </c>
      <c r="C1278" t="str">
        <f>'Female SR 30 Second Speed'!I64</f>
        <v>FTSS</v>
      </c>
      <c r="D1278">
        <f>'Female SR 30 Second Speed'!J64</f>
        <v>13</v>
      </c>
      <c r="E1278">
        <f>'Female SR 30 Second Speed'!K64</f>
        <v>0</v>
      </c>
      <c r="I1278" t="str">
        <f t="shared" si="39"/>
        <v>FTSS-Female Thirty Second Speed</v>
      </c>
    </row>
    <row r="1279" spans="1:9" x14ac:dyDescent="0.25">
      <c r="A1279">
        <f>'Team Info'!$B$3</f>
        <v>0</v>
      </c>
      <c r="B1279">
        <f>'Female SR 30 Second Speed'!H65</f>
        <v>17</v>
      </c>
      <c r="C1279" t="str">
        <f>'Female SR 30 Second Speed'!I65</f>
        <v>FTSS</v>
      </c>
      <c r="D1279">
        <f>'Female SR 30 Second Speed'!J65</f>
        <v>13</v>
      </c>
      <c r="E1279">
        <f>'Female SR 30 Second Speed'!K65</f>
        <v>0</v>
      </c>
      <c r="I1279" t="str">
        <f t="shared" si="39"/>
        <v>FTSS-Female Thirty Second Speed</v>
      </c>
    </row>
    <row r="1280" spans="1:9" x14ac:dyDescent="0.25">
      <c r="A1280">
        <f>'Team Info'!$B$3</f>
        <v>0</v>
      </c>
      <c r="B1280">
        <f>'Female SR 30 Second Speed'!H66</f>
        <v>18</v>
      </c>
      <c r="C1280" t="str">
        <f>'Female SR 30 Second Speed'!I66</f>
        <v>FTSS</v>
      </c>
      <c r="D1280">
        <f>'Female SR 30 Second Speed'!J66</f>
        <v>13</v>
      </c>
      <c r="E1280">
        <f>'Female SR 30 Second Speed'!K66</f>
        <v>0</v>
      </c>
      <c r="I1280" t="str">
        <f t="shared" si="39"/>
        <v>FTSS-Female Thirty Second Speed</v>
      </c>
    </row>
    <row r="1281" spans="1:9" x14ac:dyDescent="0.25">
      <c r="A1281">
        <f>'Team Info'!$B$3</f>
        <v>0</v>
      </c>
      <c r="B1281">
        <f>'Female SR 30 Second Speed'!H67</f>
        <v>19</v>
      </c>
      <c r="C1281" t="str">
        <f>'Female SR 30 Second Speed'!I67</f>
        <v>FTSS</v>
      </c>
      <c r="D1281">
        <f>'Female SR 30 Second Speed'!J67</f>
        <v>13</v>
      </c>
      <c r="E1281">
        <f>'Female SR 30 Second Speed'!K67</f>
        <v>0</v>
      </c>
      <c r="I1281" t="str">
        <f t="shared" si="39"/>
        <v>FTSS-Female Thirty Second Speed</v>
      </c>
    </row>
    <row r="1282" spans="1:9" x14ac:dyDescent="0.25">
      <c r="A1282">
        <f>'Team Info'!$B$3</f>
        <v>0</v>
      </c>
      <c r="B1282">
        <f>'Female SR 30 Second Speed'!H68</f>
        <v>20</v>
      </c>
      <c r="C1282" t="str">
        <f>'Female SR 30 Second Speed'!I68</f>
        <v>FTSS</v>
      </c>
      <c r="D1282">
        <f>'Female SR 30 Second Speed'!J68</f>
        <v>13</v>
      </c>
      <c r="E1282">
        <f>'Female SR 30 Second Speed'!K68</f>
        <v>0</v>
      </c>
      <c r="I1282" t="str">
        <f t="shared" si="39"/>
        <v>FTSS-Female Thirty Second Speed</v>
      </c>
    </row>
    <row r="1283" spans="1:9" x14ac:dyDescent="0.25">
      <c r="A1283">
        <f>'Team Info'!$B$3</f>
        <v>0</v>
      </c>
      <c r="B1283">
        <f>'Female SR 30 Second Speed'!A71</f>
        <v>1</v>
      </c>
      <c r="C1283" t="str">
        <f>'Female SR 30 Second Speed'!B71</f>
        <v>FTSS</v>
      </c>
      <c r="D1283">
        <f>'Female SR 30 Second Speed'!C71</f>
        <v>14</v>
      </c>
      <c r="E1283">
        <f>'Female SR 30 Second Speed'!D71</f>
        <v>0</v>
      </c>
      <c r="I1283" t="str">
        <f t="shared" si="39"/>
        <v>FTSS-Female Thirty Second Speed</v>
      </c>
    </row>
    <row r="1284" spans="1:9" x14ac:dyDescent="0.25">
      <c r="A1284">
        <f>'Team Info'!$B$3</f>
        <v>0</v>
      </c>
      <c r="B1284">
        <f>'Female SR 30 Second Speed'!A72</f>
        <v>2</v>
      </c>
      <c r="C1284" t="str">
        <f>'Female SR 30 Second Speed'!B72</f>
        <v>FTSS</v>
      </c>
      <c r="D1284">
        <f>'Female SR 30 Second Speed'!C72</f>
        <v>14</v>
      </c>
      <c r="E1284">
        <f>'Female SR 30 Second Speed'!D72</f>
        <v>0</v>
      </c>
      <c r="I1284" t="str">
        <f t="shared" si="39"/>
        <v>FTSS-Female Thirty Second Speed</v>
      </c>
    </row>
    <row r="1285" spans="1:9" x14ac:dyDescent="0.25">
      <c r="A1285">
        <f>'Team Info'!$B$3</f>
        <v>0</v>
      </c>
      <c r="B1285">
        <f>'Female SR 30 Second Speed'!A73</f>
        <v>3</v>
      </c>
      <c r="C1285" t="str">
        <f>'Female SR 30 Second Speed'!B73</f>
        <v>FTSS</v>
      </c>
      <c r="D1285">
        <f>'Female SR 30 Second Speed'!C73</f>
        <v>14</v>
      </c>
      <c r="E1285">
        <f>'Female SR 30 Second Speed'!D73</f>
        <v>0</v>
      </c>
      <c r="I1285" t="str">
        <f t="shared" si="39"/>
        <v>FTSS-Female Thirty Second Speed</v>
      </c>
    </row>
    <row r="1286" spans="1:9" x14ac:dyDescent="0.25">
      <c r="A1286">
        <f>'Team Info'!$B$3</f>
        <v>0</v>
      </c>
      <c r="B1286">
        <f>'Female SR 30 Second Speed'!A74</f>
        <v>4</v>
      </c>
      <c r="C1286" t="str">
        <f>'Female SR 30 Second Speed'!B74</f>
        <v>FTSS</v>
      </c>
      <c r="D1286">
        <f>'Female SR 30 Second Speed'!C74</f>
        <v>14</v>
      </c>
      <c r="E1286">
        <f>'Female SR 30 Second Speed'!D74</f>
        <v>0</v>
      </c>
      <c r="I1286" t="str">
        <f t="shared" si="39"/>
        <v>FTSS-Female Thirty Second Speed</v>
      </c>
    </row>
    <row r="1287" spans="1:9" x14ac:dyDescent="0.25">
      <c r="A1287">
        <f>'Team Info'!$B$3</f>
        <v>0</v>
      </c>
      <c r="B1287">
        <f>'Female SR 30 Second Speed'!A75</f>
        <v>5</v>
      </c>
      <c r="C1287" t="str">
        <f>'Female SR 30 Second Speed'!B75</f>
        <v>FTSS</v>
      </c>
      <c r="D1287">
        <f>'Female SR 30 Second Speed'!C75</f>
        <v>14</v>
      </c>
      <c r="E1287">
        <f>'Female SR 30 Second Speed'!D75</f>
        <v>0</v>
      </c>
      <c r="I1287" t="str">
        <f t="shared" si="39"/>
        <v>FTSS-Female Thirty Second Speed</v>
      </c>
    </row>
    <row r="1288" spans="1:9" x14ac:dyDescent="0.25">
      <c r="A1288">
        <f>'Team Info'!$B$3</f>
        <v>0</v>
      </c>
      <c r="B1288">
        <f>'Female SR 30 Second Speed'!A76</f>
        <v>6</v>
      </c>
      <c r="C1288" t="str">
        <f>'Female SR 30 Second Speed'!B76</f>
        <v>FTSS</v>
      </c>
      <c r="D1288">
        <f>'Female SR 30 Second Speed'!C76</f>
        <v>14</v>
      </c>
      <c r="E1288">
        <f>'Female SR 30 Second Speed'!D76</f>
        <v>0</v>
      </c>
      <c r="I1288" t="str">
        <f t="shared" si="39"/>
        <v>FTSS-Female Thirty Second Speed</v>
      </c>
    </row>
    <row r="1289" spans="1:9" x14ac:dyDescent="0.25">
      <c r="A1289">
        <f>'Team Info'!$B$3</f>
        <v>0</v>
      </c>
      <c r="B1289">
        <f>'Female SR 30 Second Speed'!A77</f>
        <v>7</v>
      </c>
      <c r="C1289" t="str">
        <f>'Female SR 30 Second Speed'!B77</f>
        <v>FTSS</v>
      </c>
      <c r="D1289">
        <f>'Female SR 30 Second Speed'!C77</f>
        <v>14</v>
      </c>
      <c r="E1289">
        <f>'Female SR 30 Second Speed'!D77</f>
        <v>0</v>
      </c>
      <c r="I1289" t="str">
        <f t="shared" si="39"/>
        <v>FTSS-Female Thirty Second Speed</v>
      </c>
    </row>
    <row r="1290" spans="1:9" x14ac:dyDescent="0.25">
      <c r="A1290">
        <f>'Team Info'!$B$3</f>
        <v>0</v>
      </c>
      <c r="B1290">
        <f>'Female SR 30 Second Speed'!A78</f>
        <v>8</v>
      </c>
      <c r="C1290" t="str">
        <f>'Female SR 30 Second Speed'!B78</f>
        <v>FTSS</v>
      </c>
      <c r="D1290">
        <f>'Female SR 30 Second Speed'!C78</f>
        <v>14</v>
      </c>
      <c r="E1290">
        <f>'Female SR 30 Second Speed'!D78</f>
        <v>0</v>
      </c>
      <c r="I1290" t="str">
        <f t="shared" si="39"/>
        <v>FTSS-Female Thirty Second Speed</v>
      </c>
    </row>
    <row r="1291" spans="1:9" x14ac:dyDescent="0.25">
      <c r="A1291">
        <f>'Team Info'!$B$3</f>
        <v>0</v>
      </c>
      <c r="B1291">
        <f>'Female SR 30 Second Speed'!A79</f>
        <v>9</v>
      </c>
      <c r="C1291" t="str">
        <f>'Female SR 30 Second Speed'!B79</f>
        <v>FTSS</v>
      </c>
      <c r="D1291">
        <f>'Female SR 30 Second Speed'!C79</f>
        <v>14</v>
      </c>
      <c r="E1291">
        <f>'Female SR 30 Second Speed'!D79</f>
        <v>0</v>
      </c>
      <c r="I1291" t="str">
        <f t="shared" si="39"/>
        <v>FTSS-Female Thirty Second Speed</v>
      </c>
    </row>
    <row r="1292" spans="1:9" x14ac:dyDescent="0.25">
      <c r="A1292">
        <f>'Team Info'!$B$3</f>
        <v>0</v>
      </c>
      <c r="B1292">
        <f>'Female SR 30 Second Speed'!A80</f>
        <v>10</v>
      </c>
      <c r="C1292" t="str">
        <f>'Female SR 30 Second Speed'!B80</f>
        <v>FTSS</v>
      </c>
      <c r="D1292">
        <f>'Female SR 30 Second Speed'!C80</f>
        <v>14</v>
      </c>
      <c r="E1292">
        <f>'Female SR 30 Second Speed'!D80</f>
        <v>0</v>
      </c>
      <c r="I1292" t="str">
        <f t="shared" si="39"/>
        <v>FTSS-Female Thirty Second Speed</v>
      </c>
    </row>
    <row r="1293" spans="1:9" x14ac:dyDescent="0.25">
      <c r="A1293">
        <f>'Team Info'!$B$3</f>
        <v>0</v>
      </c>
      <c r="B1293">
        <f>'Female SR 30 Second Speed'!A81</f>
        <v>11</v>
      </c>
      <c r="C1293" t="str">
        <f>'Female SR 30 Second Speed'!B81</f>
        <v>FTSS</v>
      </c>
      <c r="D1293">
        <f>'Female SR 30 Second Speed'!C81</f>
        <v>14</v>
      </c>
      <c r="E1293">
        <f>'Female SR 30 Second Speed'!D81</f>
        <v>0</v>
      </c>
      <c r="I1293" t="str">
        <f t="shared" si="39"/>
        <v>FTSS-Female Thirty Second Speed</v>
      </c>
    </row>
    <row r="1294" spans="1:9" x14ac:dyDescent="0.25">
      <c r="A1294">
        <f>'Team Info'!$B$3</f>
        <v>0</v>
      </c>
      <c r="B1294">
        <f>'Female SR 30 Second Speed'!A82</f>
        <v>12</v>
      </c>
      <c r="C1294" t="str">
        <f>'Female SR 30 Second Speed'!B82</f>
        <v>FTSS</v>
      </c>
      <c r="D1294">
        <f>'Female SR 30 Second Speed'!C82</f>
        <v>14</v>
      </c>
      <c r="E1294">
        <f>'Female SR 30 Second Speed'!D82</f>
        <v>0</v>
      </c>
      <c r="I1294" t="str">
        <f t="shared" si="39"/>
        <v>FTSS-Female Thirty Second Speed</v>
      </c>
    </row>
    <row r="1295" spans="1:9" x14ac:dyDescent="0.25">
      <c r="A1295">
        <f>'Team Info'!$B$3</f>
        <v>0</v>
      </c>
      <c r="B1295">
        <f>'Female SR 30 Second Speed'!A83</f>
        <v>13</v>
      </c>
      <c r="C1295" t="str">
        <f>'Female SR 30 Second Speed'!B83</f>
        <v>FTSS</v>
      </c>
      <c r="D1295">
        <f>'Female SR 30 Second Speed'!C83</f>
        <v>14</v>
      </c>
      <c r="E1295">
        <f>'Female SR 30 Second Speed'!D83</f>
        <v>0</v>
      </c>
      <c r="I1295" t="str">
        <f t="shared" si="39"/>
        <v>FTSS-Female Thirty Second Speed</v>
      </c>
    </row>
    <row r="1296" spans="1:9" x14ac:dyDescent="0.25">
      <c r="A1296">
        <f>'Team Info'!$B$3</f>
        <v>0</v>
      </c>
      <c r="B1296">
        <f>'Female SR 30 Second Speed'!A84</f>
        <v>14</v>
      </c>
      <c r="C1296" t="str">
        <f>'Female SR 30 Second Speed'!B84</f>
        <v>FTSS</v>
      </c>
      <c r="D1296">
        <f>'Female SR 30 Second Speed'!C84</f>
        <v>14</v>
      </c>
      <c r="E1296">
        <f>'Female SR 30 Second Speed'!D84</f>
        <v>0</v>
      </c>
      <c r="I1296" t="str">
        <f t="shared" si="39"/>
        <v>FTSS-Female Thirty Second Speed</v>
      </c>
    </row>
    <row r="1297" spans="1:9" x14ac:dyDescent="0.25">
      <c r="A1297">
        <f>'Team Info'!$B$3</f>
        <v>0</v>
      </c>
      <c r="B1297">
        <f>'Female SR 30 Second Speed'!A85</f>
        <v>15</v>
      </c>
      <c r="C1297" t="str">
        <f>'Female SR 30 Second Speed'!B85</f>
        <v>FTSS</v>
      </c>
      <c r="D1297">
        <f>'Female SR 30 Second Speed'!C85</f>
        <v>14</v>
      </c>
      <c r="E1297">
        <f>'Female SR 30 Second Speed'!D85</f>
        <v>0</v>
      </c>
      <c r="I1297" t="str">
        <f t="shared" si="39"/>
        <v>FTSS-Female Thirty Second Speed</v>
      </c>
    </row>
    <row r="1298" spans="1:9" x14ac:dyDescent="0.25">
      <c r="A1298">
        <f>'Team Info'!$B$3</f>
        <v>0</v>
      </c>
      <c r="B1298">
        <f>'Female SR 30 Second Speed'!A86</f>
        <v>16</v>
      </c>
      <c r="C1298" t="str">
        <f>'Female SR 30 Second Speed'!B86</f>
        <v>FTSS</v>
      </c>
      <c r="D1298">
        <f>'Female SR 30 Second Speed'!C86</f>
        <v>14</v>
      </c>
      <c r="E1298">
        <f>'Female SR 30 Second Speed'!D86</f>
        <v>0</v>
      </c>
      <c r="I1298" t="str">
        <f t="shared" si="39"/>
        <v>FTSS-Female Thirty Second Speed</v>
      </c>
    </row>
    <row r="1299" spans="1:9" x14ac:dyDescent="0.25">
      <c r="A1299">
        <f>'Team Info'!$B$3</f>
        <v>0</v>
      </c>
      <c r="B1299">
        <f>'Female SR 30 Second Speed'!A87</f>
        <v>17</v>
      </c>
      <c r="C1299" t="str">
        <f>'Female SR 30 Second Speed'!B87</f>
        <v>FTSS</v>
      </c>
      <c r="D1299">
        <f>'Female SR 30 Second Speed'!C87</f>
        <v>14</v>
      </c>
      <c r="E1299">
        <f>'Female SR 30 Second Speed'!D87</f>
        <v>0</v>
      </c>
      <c r="I1299" t="str">
        <f t="shared" si="39"/>
        <v>FTSS-Female Thirty Second Speed</v>
      </c>
    </row>
    <row r="1300" spans="1:9" x14ac:dyDescent="0.25">
      <c r="A1300">
        <f>'Team Info'!$B$3</f>
        <v>0</v>
      </c>
      <c r="B1300">
        <f>'Female SR 30 Second Speed'!A88</f>
        <v>18</v>
      </c>
      <c r="C1300" t="str">
        <f>'Female SR 30 Second Speed'!B88</f>
        <v>FTSS</v>
      </c>
      <c r="D1300">
        <f>'Female SR 30 Second Speed'!C88</f>
        <v>14</v>
      </c>
      <c r="E1300">
        <f>'Female SR 30 Second Speed'!D88</f>
        <v>0</v>
      </c>
      <c r="I1300" t="str">
        <f t="shared" si="39"/>
        <v>FTSS-Female Thirty Second Speed</v>
      </c>
    </row>
    <row r="1301" spans="1:9" x14ac:dyDescent="0.25">
      <c r="A1301">
        <f>'Team Info'!$B$3</f>
        <v>0</v>
      </c>
      <c r="B1301">
        <f>'Female SR 30 Second Speed'!A89</f>
        <v>19</v>
      </c>
      <c r="C1301" t="str">
        <f>'Female SR 30 Second Speed'!B89</f>
        <v>FTSS</v>
      </c>
      <c r="D1301">
        <f>'Female SR 30 Second Speed'!C89</f>
        <v>14</v>
      </c>
      <c r="E1301">
        <f>'Female SR 30 Second Speed'!D89</f>
        <v>0</v>
      </c>
      <c r="I1301" t="str">
        <f t="shared" si="39"/>
        <v>FTSS-Female Thirty Second Speed</v>
      </c>
    </row>
    <row r="1302" spans="1:9" x14ac:dyDescent="0.25">
      <c r="A1302">
        <f>'Team Info'!$B$3</f>
        <v>0</v>
      </c>
      <c r="B1302">
        <f>'Female SR 30 Second Speed'!A90</f>
        <v>20</v>
      </c>
      <c r="C1302" t="str">
        <f>'Female SR 30 Second Speed'!B90</f>
        <v>FTSS</v>
      </c>
      <c r="D1302">
        <f>'Female SR 30 Second Speed'!C90</f>
        <v>14</v>
      </c>
      <c r="E1302">
        <f>'Female SR 30 Second Speed'!D90</f>
        <v>0</v>
      </c>
      <c r="I1302" t="str">
        <f t="shared" si="39"/>
        <v>FTSS-Female Thirty Second Speed</v>
      </c>
    </row>
    <row r="1303" spans="1:9" x14ac:dyDescent="0.25">
      <c r="A1303">
        <f>'Team Info'!$B$3</f>
        <v>0</v>
      </c>
      <c r="B1303">
        <f>'Female SR 30 Second Speed'!H71</f>
        <v>1</v>
      </c>
      <c r="C1303" t="str">
        <f>'Female SR 30 Second Speed'!I71</f>
        <v>FTSS</v>
      </c>
      <c r="D1303" t="str">
        <f>'Female SR 30 Second Speed'!J71</f>
        <v>15-16</v>
      </c>
      <c r="E1303">
        <f>'Female SR 30 Second Speed'!K71</f>
        <v>0</v>
      </c>
      <c r="I1303" t="str">
        <f t="shared" si="39"/>
        <v>FTSS-Female Thirty Second Speed</v>
      </c>
    </row>
    <row r="1304" spans="1:9" x14ac:dyDescent="0.25">
      <c r="A1304">
        <f>'Team Info'!$B$3</f>
        <v>0</v>
      </c>
      <c r="B1304">
        <f>'Female SR 30 Second Speed'!H72</f>
        <v>2</v>
      </c>
      <c r="C1304" t="str">
        <f>'Female SR 30 Second Speed'!I72</f>
        <v>FTSS</v>
      </c>
      <c r="D1304" t="str">
        <f>'Female SR 30 Second Speed'!J72</f>
        <v>15-16</v>
      </c>
      <c r="E1304">
        <f>'Female SR 30 Second Speed'!K72</f>
        <v>0</v>
      </c>
      <c r="I1304" t="str">
        <f t="shared" si="39"/>
        <v>FTSS-Female Thirty Second Speed</v>
      </c>
    </row>
    <row r="1305" spans="1:9" x14ac:dyDescent="0.25">
      <c r="A1305">
        <f>'Team Info'!$B$3</f>
        <v>0</v>
      </c>
      <c r="B1305">
        <f>'Female SR 30 Second Speed'!H73</f>
        <v>3</v>
      </c>
      <c r="C1305" t="str">
        <f>'Female SR 30 Second Speed'!I73</f>
        <v>FTSS</v>
      </c>
      <c r="D1305" t="str">
        <f>'Female SR 30 Second Speed'!J73</f>
        <v>15-16</v>
      </c>
      <c r="E1305">
        <f>'Female SR 30 Second Speed'!K73</f>
        <v>0</v>
      </c>
      <c r="I1305" t="str">
        <f t="shared" si="39"/>
        <v>FTSS-Female Thirty Second Speed</v>
      </c>
    </row>
    <row r="1306" spans="1:9" x14ac:dyDescent="0.25">
      <c r="A1306">
        <f>'Team Info'!$B$3</f>
        <v>0</v>
      </c>
      <c r="B1306">
        <f>'Female SR 30 Second Speed'!H74</f>
        <v>4</v>
      </c>
      <c r="C1306" t="str">
        <f>'Female SR 30 Second Speed'!I74</f>
        <v>FTSS</v>
      </c>
      <c r="D1306" t="str">
        <f>'Female SR 30 Second Speed'!J74</f>
        <v>15-16</v>
      </c>
      <c r="E1306">
        <f>'Female SR 30 Second Speed'!K74</f>
        <v>0</v>
      </c>
      <c r="I1306" t="str">
        <f t="shared" si="39"/>
        <v>FTSS-Female Thirty Second Speed</v>
      </c>
    </row>
    <row r="1307" spans="1:9" x14ac:dyDescent="0.25">
      <c r="A1307">
        <f>'Team Info'!$B$3</f>
        <v>0</v>
      </c>
      <c r="B1307">
        <f>'Female SR 30 Second Speed'!H75</f>
        <v>5</v>
      </c>
      <c r="C1307" t="str">
        <f>'Female SR 30 Second Speed'!I75</f>
        <v>FTSS</v>
      </c>
      <c r="D1307" t="str">
        <f>'Female SR 30 Second Speed'!J75</f>
        <v>15-16</v>
      </c>
      <c r="E1307">
        <f>'Female SR 30 Second Speed'!K75</f>
        <v>0</v>
      </c>
      <c r="I1307" t="str">
        <f t="shared" si="39"/>
        <v>FTSS-Female Thirty Second Speed</v>
      </c>
    </row>
    <row r="1308" spans="1:9" x14ac:dyDescent="0.25">
      <c r="A1308">
        <f>'Team Info'!$B$3</f>
        <v>0</v>
      </c>
      <c r="B1308">
        <f>'Female SR 30 Second Speed'!H76</f>
        <v>6</v>
      </c>
      <c r="C1308" t="str">
        <f>'Female SR 30 Second Speed'!I76</f>
        <v>FTSS</v>
      </c>
      <c r="D1308" t="str">
        <f>'Female SR 30 Second Speed'!J76</f>
        <v>15-16</v>
      </c>
      <c r="E1308">
        <f>'Female SR 30 Second Speed'!K76</f>
        <v>0</v>
      </c>
      <c r="I1308" t="str">
        <f t="shared" si="39"/>
        <v>FTSS-Female Thirty Second Speed</v>
      </c>
    </row>
    <row r="1309" spans="1:9" x14ac:dyDescent="0.25">
      <c r="A1309">
        <f>'Team Info'!$B$3</f>
        <v>0</v>
      </c>
      <c r="B1309">
        <f>'Female SR 30 Second Speed'!H77</f>
        <v>7</v>
      </c>
      <c r="C1309" t="str">
        <f>'Female SR 30 Second Speed'!I77</f>
        <v>FTSS</v>
      </c>
      <c r="D1309" t="str">
        <f>'Female SR 30 Second Speed'!J77</f>
        <v>15-16</v>
      </c>
      <c r="E1309">
        <f>'Female SR 30 Second Speed'!K77</f>
        <v>0</v>
      </c>
      <c r="I1309" t="str">
        <f t="shared" si="39"/>
        <v>FTSS-Female Thirty Second Speed</v>
      </c>
    </row>
    <row r="1310" spans="1:9" x14ac:dyDescent="0.25">
      <c r="A1310">
        <f>'Team Info'!$B$3</f>
        <v>0</v>
      </c>
      <c r="B1310">
        <f>'Female SR 30 Second Speed'!H78</f>
        <v>8</v>
      </c>
      <c r="C1310" t="str">
        <f>'Female SR 30 Second Speed'!I78</f>
        <v>FTSS</v>
      </c>
      <c r="D1310" t="str">
        <f>'Female SR 30 Second Speed'!J78</f>
        <v>15-16</v>
      </c>
      <c r="E1310">
        <f>'Female SR 30 Second Speed'!K78</f>
        <v>0</v>
      </c>
      <c r="I1310" t="str">
        <f t="shared" si="39"/>
        <v>FTSS-Female Thirty Second Speed</v>
      </c>
    </row>
    <row r="1311" spans="1:9" x14ac:dyDescent="0.25">
      <c r="A1311">
        <f>'Team Info'!$B$3</f>
        <v>0</v>
      </c>
      <c r="B1311">
        <f>'Female SR 30 Second Speed'!H79</f>
        <v>9</v>
      </c>
      <c r="C1311" t="str">
        <f>'Female SR 30 Second Speed'!I79</f>
        <v>FTSS</v>
      </c>
      <c r="D1311" t="str">
        <f>'Female SR 30 Second Speed'!J79</f>
        <v>15-16</v>
      </c>
      <c r="E1311">
        <f>'Female SR 30 Second Speed'!K79</f>
        <v>0</v>
      </c>
      <c r="I1311" t="str">
        <f t="shared" si="39"/>
        <v>FTSS-Female Thirty Second Speed</v>
      </c>
    </row>
    <row r="1312" spans="1:9" x14ac:dyDescent="0.25">
      <c r="A1312">
        <f>'Team Info'!$B$3</f>
        <v>0</v>
      </c>
      <c r="B1312">
        <f>'Female SR 30 Second Speed'!H80</f>
        <v>10</v>
      </c>
      <c r="C1312" t="str">
        <f>'Female SR 30 Second Speed'!I80</f>
        <v>FTSS</v>
      </c>
      <c r="D1312" t="str">
        <f>'Female SR 30 Second Speed'!J80</f>
        <v>15-16</v>
      </c>
      <c r="E1312">
        <f>'Female SR 30 Second Speed'!K80</f>
        <v>0</v>
      </c>
      <c r="I1312" t="str">
        <f t="shared" si="39"/>
        <v>FTSS-Female Thirty Second Speed</v>
      </c>
    </row>
    <row r="1313" spans="1:9" x14ac:dyDescent="0.25">
      <c r="A1313">
        <f>'Team Info'!$B$3</f>
        <v>0</v>
      </c>
      <c r="B1313">
        <f>'Female SR 30 Second Speed'!H81</f>
        <v>11</v>
      </c>
      <c r="C1313" t="str">
        <f>'Female SR 30 Second Speed'!I81</f>
        <v>FTSS</v>
      </c>
      <c r="D1313" t="str">
        <f>'Female SR 30 Second Speed'!J81</f>
        <v>15-16</v>
      </c>
      <c r="E1313">
        <f>'Female SR 30 Second Speed'!K81</f>
        <v>0</v>
      </c>
      <c r="I1313" t="str">
        <f t="shared" si="39"/>
        <v>FTSS-Female Thirty Second Speed</v>
      </c>
    </row>
    <row r="1314" spans="1:9" x14ac:dyDescent="0.25">
      <c r="A1314">
        <f>'Team Info'!$B$3</f>
        <v>0</v>
      </c>
      <c r="B1314">
        <f>'Female SR 30 Second Speed'!H82</f>
        <v>12</v>
      </c>
      <c r="C1314" t="str">
        <f>'Female SR 30 Second Speed'!I82</f>
        <v>FTSS</v>
      </c>
      <c r="D1314" t="str">
        <f>'Female SR 30 Second Speed'!J82</f>
        <v>15-16</v>
      </c>
      <c r="E1314">
        <f>'Female SR 30 Second Speed'!K82</f>
        <v>0</v>
      </c>
      <c r="I1314" t="str">
        <f t="shared" si="39"/>
        <v>FTSS-Female Thirty Second Speed</v>
      </c>
    </row>
    <row r="1315" spans="1:9" x14ac:dyDescent="0.25">
      <c r="A1315">
        <f>'Team Info'!$B$3</f>
        <v>0</v>
      </c>
      <c r="B1315">
        <f>'Female SR 30 Second Speed'!H83</f>
        <v>13</v>
      </c>
      <c r="C1315" t="str">
        <f>'Female SR 30 Second Speed'!I83</f>
        <v>FTSS</v>
      </c>
      <c r="D1315" t="str">
        <f>'Female SR 30 Second Speed'!J83</f>
        <v>15-16</v>
      </c>
      <c r="E1315">
        <f>'Female SR 30 Second Speed'!K83</f>
        <v>0</v>
      </c>
      <c r="I1315" t="str">
        <f t="shared" si="39"/>
        <v>FTSS-Female Thirty Second Speed</v>
      </c>
    </row>
    <row r="1316" spans="1:9" x14ac:dyDescent="0.25">
      <c r="A1316">
        <f>'Team Info'!$B$3</f>
        <v>0</v>
      </c>
      <c r="B1316">
        <f>'Female SR 30 Second Speed'!H84</f>
        <v>14</v>
      </c>
      <c r="C1316" t="str">
        <f>'Female SR 30 Second Speed'!I84</f>
        <v>FTSS</v>
      </c>
      <c r="D1316" t="str">
        <f>'Female SR 30 Second Speed'!J84</f>
        <v>15-16</v>
      </c>
      <c r="E1316">
        <f>'Female SR 30 Second Speed'!K84</f>
        <v>0</v>
      </c>
      <c r="I1316" t="str">
        <f t="shared" si="39"/>
        <v>FTSS-Female Thirty Second Speed</v>
      </c>
    </row>
    <row r="1317" spans="1:9" x14ac:dyDescent="0.25">
      <c r="A1317">
        <f>'Team Info'!$B$3</f>
        <v>0</v>
      </c>
      <c r="B1317">
        <f>'Female SR 30 Second Speed'!H85</f>
        <v>15</v>
      </c>
      <c r="C1317" t="str">
        <f>'Female SR 30 Second Speed'!I85</f>
        <v>FTSS</v>
      </c>
      <c r="D1317" t="str">
        <f>'Female SR 30 Second Speed'!J85</f>
        <v>15-16</v>
      </c>
      <c r="E1317">
        <f>'Female SR 30 Second Speed'!K85</f>
        <v>0</v>
      </c>
      <c r="I1317" t="str">
        <f t="shared" si="39"/>
        <v>FTSS-Female Thirty Second Speed</v>
      </c>
    </row>
    <row r="1318" spans="1:9" x14ac:dyDescent="0.25">
      <c r="A1318">
        <f>'Team Info'!$B$3</f>
        <v>0</v>
      </c>
      <c r="B1318">
        <f>'Female SR 30 Second Speed'!H86</f>
        <v>16</v>
      </c>
      <c r="C1318" t="str">
        <f>'Female SR 30 Second Speed'!I86</f>
        <v>FTSS</v>
      </c>
      <c r="D1318" t="str">
        <f>'Female SR 30 Second Speed'!J86</f>
        <v>15-16</v>
      </c>
      <c r="E1318">
        <f>'Female SR 30 Second Speed'!K86</f>
        <v>0</v>
      </c>
      <c r="I1318" t="str">
        <f t="shared" si="39"/>
        <v>FTSS-Female Thirty Second Speed</v>
      </c>
    </row>
    <row r="1319" spans="1:9" x14ac:dyDescent="0.25">
      <c r="A1319">
        <f>'Team Info'!$B$3</f>
        <v>0</v>
      </c>
      <c r="B1319">
        <f>'Female SR 30 Second Speed'!H87</f>
        <v>17</v>
      </c>
      <c r="C1319" t="str">
        <f>'Female SR 30 Second Speed'!I87</f>
        <v>FTSS</v>
      </c>
      <c r="D1319" t="str">
        <f>'Female SR 30 Second Speed'!J87</f>
        <v>15-16</v>
      </c>
      <c r="E1319">
        <f>'Female SR 30 Second Speed'!K87</f>
        <v>0</v>
      </c>
      <c r="I1319" t="str">
        <f t="shared" si="39"/>
        <v>FTSS-Female Thirty Second Speed</v>
      </c>
    </row>
    <row r="1320" spans="1:9" x14ac:dyDescent="0.25">
      <c r="A1320">
        <f>'Team Info'!$B$3</f>
        <v>0</v>
      </c>
      <c r="B1320">
        <f>'Female SR 30 Second Speed'!H88</f>
        <v>18</v>
      </c>
      <c r="C1320" t="str">
        <f>'Female SR 30 Second Speed'!I88</f>
        <v>FTSS</v>
      </c>
      <c r="D1320" t="str">
        <f>'Female SR 30 Second Speed'!J88</f>
        <v>15-16</v>
      </c>
      <c r="E1320">
        <f>'Female SR 30 Second Speed'!K88</f>
        <v>0</v>
      </c>
      <c r="I1320" t="str">
        <f t="shared" si="39"/>
        <v>FTSS-Female Thirty Second Speed</v>
      </c>
    </row>
    <row r="1321" spans="1:9" x14ac:dyDescent="0.25">
      <c r="A1321">
        <f>'Team Info'!$B$3</f>
        <v>0</v>
      </c>
      <c r="B1321">
        <f>'Female SR 30 Second Speed'!H89</f>
        <v>19</v>
      </c>
      <c r="C1321" t="str">
        <f>'Female SR 30 Second Speed'!I89</f>
        <v>FTSS</v>
      </c>
      <c r="D1321" t="str">
        <f>'Female SR 30 Second Speed'!J89</f>
        <v>15-16</v>
      </c>
      <c r="E1321">
        <f>'Female SR 30 Second Speed'!K89</f>
        <v>0</v>
      </c>
      <c r="I1321" t="str">
        <f t="shared" si="39"/>
        <v>FTSS-Female Thirty Second Speed</v>
      </c>
    </row>
    <row r="1322" spans="1:9" x14ac:dyDescent="0.25">
      <c r="A1322">
        <f>'Team Info'!$B$3</f>
        <v>0</v>
      </c>
      <c r="B1322">
        <f>'Female SR 30 Second Speed'!H90</f>
        <v>20</v>
      </c>
      <c r="C1322" t="str">
        <f>'Female SR 30 Second Speed'!I90</f>
        <v>FTSS</v>
      </c>
      <c r="D1322" t="str">
        <f>'Female SR 30 Second Speed'!J90</f>
        <v>15-16</v>
      </c>
      <c r="E1322">
        <f>'Female SR 30 Second Speed'!K90</f>
        <v>0</v>
      </c>
      <c r="I1322" t="str">
        <f t="shared" ref="I1322:I1404" si="40">VLOOKUP(C1322,EVENTS,2,FALSE)</f>
        <v>FTSS-Female Thirty Second Speed</v>
      </c>
    </row>
    <row r="1323" spans="1:9" x14ac:dyDescent="0.25">
      <c r="A1323">
        <f>'Team Info'!$B$3</f>
        <v>0</v>
      </c>
      <c r="B1323">
        <f>'Female SR 30 Second Speed'!A93</f>
        <v>1</v>
      </c>
      <c r="C1323" t="str">
        <f>'Female SR 30 Second Speed'!B93</f>
        <v>FTSS</v>
      </c>
      <c r="D1323" t="str">
        <f>'Female SR 30 Second Speed'!C93</f>
        <v>17-18</v>
      </c>
      <c r="E1323">
        <f>'Female SR 30 Second Speed'!D93</f>
        <v>0</v>
      </c>
      <c r="I1323" t="str">
        <f t="shared" ref="I1323:I1359" si="41">VLOOKUP(C1323,EVENTS,2,FALSE)</f>
        <v>FTSS-Female Thirty Second Speed</v>
      </c>
    </row>
    <row r="1324" spans="1:9" x14ac:dyDescent="0.25">
      <c r="A1324">
        <f>'Team Info'!$B$3</f>
        <v>0</v>
      </c>
      <c r="B1324">
        <f>'Female SR 30 Second Speed'!A94</f>
        <v>2</v>
      </c>
      <c r="C1324" t="str">
        <f>'Female SR 30 Second Speed'!B94</f>
        <v>FTSS</v>
      </c>
      <c r="D1324" t="str">
        <f>'Female SR 30 Second Speed'!C94</f>
        <v>17-18</v>
      </c>
      <c r="E1324">
        <f>'Female SR 30 Second Speed'!D94</f>
        <v>0</v>
      </c>
      <c r="I1324" t="str">
        <f t="shared" si="41"/>
        <v>FTSS-Female Thirty Second Speed</v>
      </c>
    </row>
    <row r="1325" spans="1:9" x14ac:dyDescent="0.25">
      <c r="A1325">
        <f>'Team Info'!$B$3</f>
        <v>0</v>
      </c>
      <c r="B1325">
        <f>'Female SR 30 Second Speed'!A95</f>
        <v>3</v>
      </c>
      <c r="C1325" t="str">
        <f>'Female SR 30 Second Speed'!B95</f>
        <v>FTSS</v>
      </c>
      <c r="D1325" t="str">
        <f>'Female SR 30 Second Speed'!C95</f>
        <v>17-18</v>
      </c>
      <c r="E1325">
        <f>'Female SR 30 Second Speed'!D95</f>
        <v>0</v>
      </c>
      <c r="I1325" t="str">
        <f t="shared" si="41"/>
        <v>FTSS-Female Thirty Second Speed</v>
      </c>
    </row>
    <row r="1326" spans="1:9" x14ac:dyDescent="0.25">
      <c r="A1326">
        <f>'Team Info'!$B$3</f>
        <v>0</v>
      </c>
      <c r="B1326">
        <f>'Female SR 30 Second Speed'!A96</f>
        <v>4</v>
      </c>
      <c r="C1326" t="str">
        <f>'Female SR 30 Second Speed'!B96</f>
        <v>FTSS</v>
      </c>
      <c r="D1326" t="str">
        <f>'Female SR 30 Second Speed'!C96</f>
        <v>17-18</v>
      </c>
      <c r="E1326">
        <f>'Female SR 30 Second Speed'!D96</f>
        <v>0</v>
      </c>
      <c r="I1326" t="str">
        <f t="shared" si="41"/>
        <v>FTSS-Female Thirty Second Speed</v>
      </c>
    </row>
    <row r="1327" spans="1:9" x14ac:dyDescent="0.25">
      <c r="A1327">
        <f>'Team Info'!$B$3</f>
        <v>0</v>
      </c>
      <c r="B1327">
        <f>'Female SR 30 Second Speed'!A97</f>
        <v>5</v>
      </c>
      <c r="C1327" t="str">
        <f>'Female SR 30 Second Speed'!B97</f>
        <v>FTSS</v>
      </c>
      <c r="D1327" t="str">
        <f>'Female SR 30 Second Speed'!C97</f>
        <v>17-18</v>
      </c>
      <c r="E1327">
        <f>'Female SR 30 Second Speed'!D97</f>
        <v>0</v>
      </c>
      <c r="I1327" t="str">
        <f t="shared" si="41"/>
        <v>FTSS-Female Thirty Second Speed</v>
      </c>
    </row>
    <row r="1328" spans="1:9" x14ac:dyDescent="0.25">
      <c r="A1328">
        <f>'Team Info'!$B$3</f>
        <v>0</v>
      </c>
      <c r="B1328">
        <f>'Female SR 30 Second Speed'!A98</f>
        <v>6</v>
      </c>
      <c r="C1328" t="str">
        <f>'Female SR 30 Second Speed'!B98</f>
        <v>FTSS</v>
      </c>
      <c r="D1328" t="str">
        <f>'Female SR 30 Second Speed'!C98</f>
        <v>17-18</v>
      </c>
      <c r="E1328">
        <f>'Female SR 30 Second Speed'!D98</f>
        <v>0</v>
      </c>
      <c r="I1328" t="str">
        <f t="shared" si="41"/>
        <v>FTSS-Female Thirty Second Speed</v>
      </c>
    </row>
    <row r="1329" spans="1:9" x14ac:dyDescent="0.25">
      <c r="A1329">
        <f>'Team Info'!$B$3</f>
        <v>0</v>
      </c>
      <c r="B1329">
        <f>'Female SR 30 Second Speed'!A99</f>
        <v>7</v>
      </c>
      <c r="C1329" t="str">
        <f>'Female SR 30 Second Speed'!B99</f>
        <v>FTSS</v>
      </c>
      <c r="D1329" t="str">
        <f>'Female SR 30 Second Speed'!C99</f>
        <v>17-18</v>
      </c>
      <c r="E1329">
        <f>'Female SR 30 Second Speed'!D99</f>
        <v>0</v>
      </c>
      <c r="I1329" t="str">
        <f t="shared" si="41"/>
        <v>FTSS-Female Thirty Second Speed</v>
      </c>
    </row>
    <row r="1330" spans="1:9" x14ac:dyDescent="0.25">
      <c r="A1330">
        <f>'Team Info'!$B$3</f>
        <v>0</v>
      </c>
      <c r="B1330">
        <f>'Female SR 30 Second Speed'!A100</f>
        <v>8</v>
      </c>
      <c r="C1330" t="str">
        <f>'Female SR 30 Second Speed'!B100</f>
        <v>FTSS</v>
      </c>
      <c r="D1330" t="str">
        <f>'Female SR 30 Second Speed'!C100</f>
        <v>17-18</v>
      </c>
      <c r="E1330">
        <f>'Female SR 30 Second Speed'!D100</f>
        <v>0</v>
      </c>
      <c r="I1330" t="str">
        <f t="shared" si="41"/>
        <v>FTSS-Female Thirty Second Speed</v>
      </c>
    </row>
    <row r="1331" spans="1:9" x14ac:dyDescent="0.25">
      <c r="A1331">
        <f>'Team Info'!$B$3</f>
        <v>0</v>
      </c>
      <c r="B1331">
        <f>'Female SR 30 Second Speed'!A101</f>
        <v>9</v>
      </c>
      <c r="C1331" t="str">
        <f>'Female SR 30 Second Speed'!B101</f>
        <v>FTSS</v>
      </c>
      <c r="D1331" t="str">
        <f>'Female SR 30 Second Speed'!C101</f>
        <v>17-18</v>
      </c>
      <c r="E1331">
        <f>'Female SR 30 Second Speed'!D101</f>
        <v>0</v>
      </c>
      <c r="I1331" t="str">
        <f t="shared" si="41"/>
        <v>FTSS-Female Thirty Second Speed</v>
      </c>
    </row>
    <row r="1332" spans="1:9" x14ac:dyDescent="0.25">
      <c r="A1332">
        <f>'Team Info'!$B$3</f>
        <v>0</v>
      </c>
      <c r="B1332">
        <f>'Female SR 30 Second Speed'!A102</f>
        <v>10</v>
      </c>
      <c r="C1332" t="str">
        <f>'Female SR 30 Second Speed'!B102</f>
        <v>FTSS</v>
      </c>
      <c r="D1332" t="str">
        <f>'Female SR 30 Second Speed'!C102</f>
        <v>17-18</v>
      </c>
      <c r="E1332">
        <f>'Female SR 30 Second Speed'!D102</f>
        <v>0</v>
      </c>
      <c r="I1332" t="str">
        <f t="shared" si="41"/>
        <v>FTSS-Female Thirty Second Speed</v>
      </c>
    </row>
    <row r="1333" spans="1:9" x14ac:dyDescent="0.25">
      <c r="A1333">
        <f>'Team Info'!$B$3</f>
        <v>0</v>
      </c>
      <c r="B1333">
        <f>'Female SR 30 Second Speed'!A103</f>
        <v>11</v>
      </c>
      <c r="C1333" t="str">
        <f>'Female SR 30 Second Speed'!B103</f>
        <v>FTSS</v>
      </c>
      <c r="D1333" t="str">
        <f>'Female SR 30 Second Speed'!C103</f>
        <v>17-18</v>
      </c>
      <c r="E1333">
        <f>'Female SR 30 Second Speed'!D103</f>
        <v>0</v>
      </c>
      <c r="I1333" t="str">
        <f t="shared" si="41"/>
        <v>FTSS-Female Thirty Second Speed</v>
      </c>
    </row>
    <row r="1334" spans="1:9" x14ac:dyDescent="0.25">
      <c r="A1334">
        <f>'Team Info'!$B$3</f>
        <v>0</v>
      </c>
      <c r="B1334">
        <f>'Female SR 30 Second Speed'!A104</f>
        <v>12</v>
      </c>
      <c r="C1334" t="str">
        <f>'Female SR 30 Second Speed'!B104</f>
        <v>FTSS</v>
      </c>
      <c r="D1334" t="str">
        <f>'Female SR 30 Second Speed'!C104</f>
        <v>17-18</v>
      </c>
      <c r="E1334">
        <f>'Female SR 30 Second Speed'!D104</f>
        <v>0</v>
      </c>
      <c r="I1334" t="str">
        <f t="shared" si="41"/>
        <v>FTSS-Female Thirty Second Speed</v>
      </c>
    </row>
    <row r="1335" spans="1:9" x14ac:dyDescent="0.25">
      <c r="A1335">
        <f>'Team Info'!$B$3</f>
        <v>0</v>
      </c>
      <c r="B1335">
        <f>'Female SR 30 Second Speed'!A105</f>
        <v>13</v>
      </c>
      <c r="C1335" t="str">
        <f>'Female SR 30 Second Speed'!B105</f>
        <v>FTSS</v>
      </c>
      <c r="D1335" t="str">
        <f>'Female SR 30 Second Speed'!C105</f>
        <v>17-18</v>
      </c>
      <c r="E1335">
        <f>'Female SR 30 Second Speed'!D105</f>
        <v>0</v>
      </c>
      <c r="I1335" t="str">
        <f t="shared" si="41"/>
        <v>FTSS-Female Thirty Second Speed</v>
      </c>
    </row>
    <row r="1336" spans="1:9" x14ac:dyDescent="0.25">
      <c r="A1336">
        <f>'Team Info'!$B$3</f>
        <v>0</v>
      </c>
      <c r="B1336">
        <f>'Female SR 30 Second Speed'!A106</f>
        <v>14</v>
      </c>
      <c r="C1336" t="str">
        <f>'Female SR 30 Second Speed'!B106</f>
        <v>FTSS</v>
      </c>
      <c r="D1336" t="str">
        <f>'Female SR 30 Second Speed'!C106</f>
        <v>17-18</v>
      </c>
      <c r="E1336">
        <f>'Female SR 30 Second Speed'!D106</f>
        <v>0</v>
      </c>
      <c r="I1336" t="str">
        <f t="shared" si="41"/>
        <v>FTSS-Female Thirty Second Speed</v>
      </c>
    </row>
    <row r="1337" spans="1:9" x14ac:dyDescent="0.25">
      <c r="A1337">
        <f>'Team Info'!$B$3</f>
        <v>0</v>
      </c>
      <c r="B1337">
        <f>'Female SR 30 Second Speed'!A107</f>
        <v>15</v>
      </c>
      <c r="C1337" t="str">
        <f>'Female SR 30 Second Speed'!B107</f>
        <v>FTSS</v>
      </c>
      <c r="D1337" t="str">
        <f>'Female SR 30 Second Speed'!C107</f>
        <v>17-18</v>
      </c>
      <c r="E1337">
        <f>'Female SR 30 Second Speed'!D107</f>
        <v>0</v>
      </c>
      <c r="I1337" t="str">
        <f t="shared" si="41"/>
        <v>FTSS-Female Thirty Second Speed</v>
      </c>
    </row>
    <row r="1338" spans="1:9" x14ac:dyDescent="0.25">
      <c r="A1338">
        <f>'Team Info'!$B$3</f>
        <v>0</v>
      </c>
      <c r="B1338">
        <f>'Female SR 30 Second Speed'!A108</f>
        <v>16</v>
      </c>
      <c r="C1338" t="str">
        <f>'Female SR 30 Second Speed'!B108</f>
        <v>FTSS</v>
      </c>
      <c r="D1338" t="str">
        <f>'Female SR 30 Second Speed'!C108</f>
        <v>17-18</v>
      </c>
      <c r="E1338">
        <f>'Female SR 30 Second Speed'!D108</f>
        <v>0</v>
      </c>
      <c r="I1338" t="str">
        <f t="shared" si="41"/>
        <v>FTSS-Female Thirty Second Speed</v>
      </c>
    </row>
    <row r="1339" spans="1:9" x14ac:dyDescent="0.25">
      <c r="A1339">
        <f>'Team Info'!$B$3</f>
        <v>0</v>
      </c>
      <c r="B1339">
        <f>'Female SR 30 Second Speed'!A109</f>
        <v>17</v>
      </c>
      <c r="C1339" t="str">
        <f>'Female SR 30 Second Speed'!B109</f>
        <v>FTSS</v>
      </c>
      <c r="D1339" t="str">
        <f>'Female SR 30 Second Speed'!C109</f>
        <v>17-18</v>
      </c>
      <c r="E1339">
        <f>'Female SR 30 Second Speed'!D109</f>
        <v>0</v>
      </c>
      <c r="I1339" t="str">
        <f t="shared" si="41"/>
        <v>FTSS-Female Thirty Second Speed</v>
      </c>
    </row>
    <row r="1340" spans="1:9" x14ac:dyDescent="0.25">
      <c r="A1340">
        <f>'Team Info'!$B$3</f>
        <v>0</v>
      </c>
      <c r="B1340">
        <f>'Female SR 30 Second Speed'!A110</f>
        <v>18</v>
      </c>
      <c r="C1340" t="str">
        <f>'Female SR 30 Second Speed'!B110</f>
        <v>FTSS</v>
      </c>
      <c r="D1340" t="str">
        <f>'Female SR 30 Second Speed'!C110</f>
        <v>17-18</v>
      </c>
      <c r="E1340">
        <f>'Female SR 30 Second Speed'!D110</f>
        <v>0</v>
      </c>
      <c r="I1340" t="str">
        <f t="shared" si="41"/>
        <v>FTSS-Female Thirty Second Speed</v>
      </c>
    </row>
    <row r="1341" spans="1:9" x14ac:dyDescent="0.25">
      <c r="A1341">
        <f>'Team Info'!$B$3</f>
        <v>0</v>
      </c>
      <c r="B1341">
        <f>'Female SR 30 Second Speed'!A111</f>
        <v>19</v>
      </c>
      <c r="C1341" t="str">
        <f>'Female SR 30 Second Speed'!B111</f>
        <v>FTSS</v>
      </c>
      <c r="D1341" t="str">
        <f>'Female SR 30 Second Speed'!C111</f>
        <v>17-18</v>
      </c>
      <c r="E1341">
        <f>'Female SR 30 Second Speed'!D111</f>
        <v>0</v>
      </c>
      <c r="I1341" t="str">
        <f t="shared" si="41"/>
        <v>FTSS-Female Thirty Second Speed</v>
      </c>
    </row>
    <row r="1342" spans="1:9" x14ac:dyDescent="0.25">
      <c r="A1342">
        <f>'Team Info'!$B$3</f>
        <v>0</v>
      </c>
      <c r="B1342">
        <f>'Female SR 30 Second Speed'!A112</f>
        <v>20</v>
      </c>
      <c r="C1342" t="str">
        <f>'Female SR 30 Second Speed'!B112</f>
        <v>FTSS</v>
      </c>
      <c r="D1342" t="str">
        <f>'Female SR 30 Second Speed'!C112</f>
        <v>17-18</v>
      </c>
      <c r="E1342">
        <f>'Female SR 30 Second Speed'!D112</f>
        <v>0</v>
      </c>
      <c r="I1342" t="str">
        <f t="shared" si="41"/>
        <v>FTSS-Female Thirty Second Speed</v>
      </c>
    </row>
    <row r="1343" spans="1:9" x14ac:dyDescent="0.25">
      <c r="A1343">
        <f>'Team Info'!$B$3</f>
        <v>0</v>
      </c>
      <c r="B1343">
        <f>'Female SR 30 Second Speed'!H93</f>
        <v>1</v>
      </c>
      <c r="C1343" t="str">
        <f>'Female SR 30 Second Speed'!I93</f>
        <v>FTSS</v>
      </c>
      <c r="D1343" t="str">
        <f>'Female SR 30 Second Speed'!J93</f>
        <v>19-22</v>
      </c>
      <c r="E1343">
        <f>'Female SR 30 Second Speed'!K93</f>
        <v>0</v>
      </c>
      <c r="I1343" t="str">
        <f t="shared" si="41"/>
        <v>FTSS-Female Thirty Second Speed</v>
      </c>
    </row>
    <row r="1344" spans="1:9" x14ac:dyDescent="0.25">
      <c r="A1344">
        <f>'Team Info'!$B$3</f>
        <v>0</v>
      </c>
      <c r="B1344">
        <f>'Female SR 30 Second Speed'!H94</f>
        <v>2</v>
      </c>
      <c r="C1344" t="str">
        <f>'Female SR 30 Second Speed'!I94</f>
        <v>FTSS</v>
      </c>
      <c r="D1344" t="str">
        <f>'Female SR 30 Second Speed'!J94</f>
        <v>19-22</v>
      </c>
      <c r="E1344">
        <f>'Female SR 30 Second Speed'!K94</f>
        <v>0</v>
      </c>
      <c r="I1344" t="str">
        <f t="shared" si="41"/>
        <v>FTSS-Female Thirty Second Speed</v>
      </c>
    </row>
    <row r="1345" spans="1:9" x14ac:dyDescent="0.25">
      <c r="A1345">
        <f>'Team Info'!$B$3</f>
        <v>0</v>
      </c>
      <c r="B1345">
        <f>'Female SR 30 Second Speed'!H95</f>
        <v>3</v>
      </c>
      <c r="C1345" t="str">
        <f>'Female SR 30 Second Speed'!I95</f>
        <v>FTSS</v>
      </c>
      <c r="D1345" t="str">
        <f>'Female SR 30 Second Speed'!J95</f>
        <v>19-22</v>
      </c>
      <c r="E1345">
        <f>'Female SR 30 Second Speed'!K95</f>
        <v>0</v>
      </c>
      <c r="I1345" t="str">
        <f t="shared" si="41"/>
        <v>FTSS-Female Thirty Second Speed</v>
      </c>
    </row>
    <row r="1346" spans="1:9" x14ac:dyDescent="0.25">
      <c r="A1346">
        <f>'Team Info'!$B$3</f>
        <v>0</v>
      </c>
      <c r="B1346">
        <f>'Female SR 30 Second Speed'!H96</f>
        <v>4</v>
      </c>
      <c r="C1346" t="str">
        <f>'Female SR 30 Second Speed'!I96</f>
        <v>FTSS</v>
      </c>
      <c r="D1346" t="str">
        <f>'Female SR 30 Second Speed'!J96</f>
        <v>19-22</v>
      </c>
      <c r="E1346">
        <f>'Female SR 30 Second Speed'!K96</f>
        <v>0</v>
      </c>
      <c r="I1346" t="str">
        <f t="shared" si="41"/>
        <v>FTSS-Female Thirty Second Speed</v>
      </c>
    </row>
    <row r="1347" spans="1:9" x14ac:dyDescent="0.25">
      <c r="A1347">
        <f>'Team Info'!$B$3</f>
        <v>0</v>
      </c>
      <c r="B1347">
        <f>'Female SR 30 Second Speed'!H97</f>
        <v>5</v>
      </c>
      <c r="C1347" t="str">
        <f>'Female SR 30 Second Speed'!I97</f>
        <v>FTSS</v>
      </c>
      <c r="D1347" t="str">
        <f>'Female SR 30 Second Speed'!J97</f>
        <v>19-22</v>
      </c>
      <c r="E1347">
        <f>'Female SR 30 Second Speed'!K97</f>
        <v>0</v>
      </c>
      <c r="I1347" t="str">
        <f t="shared" si="41"/>
        <v>FTSS-Female Thirty Second Speed</v>
      </c>
    </row>
    <row r="1348" spans="1:9" x14ac:dyDescent="0.25">
      <c r="A1348">
        <f>'Team Info'!$B$3</f>
        <v>0</v>
      </c>
      <c r="B1348">
        <f>'Female SR 30 Second Speed'!H98</f>
        <v>6</v>
      </c>
      <c r="C1348" t="str">
        <f>'Female SR 30 Second Speed'!I98</f>
        <v>FTSS</v>
      </c>
      <c r="D1348" t="str">
        <f>'Female SR 30 Second Speed'!J98</f>
        <v>19-22</v>
      </c>
      <c r="E1348">
        <f>'Female SR 30 Second Speed'!K98</f>
        <v>0</v>
      </c>
      <c r="I1348" t="str">
        <f t="shared" si="41"/>
        <v>FTSS-Female Thirty Second Speed</v>
      </c>
    </row>
    <row r="1349" spans="1:9" x14ac:dyDescent="0.25">
      <c r="A1349">
        <f>'Team Info'!$B$3</f>
        <v>0</v>
      </c>
      <c r="B1349">
        <f>'Female SR 30 Second Speed'!H99</f>
        <v>7</v>
      </c>
      <c r="C1349" t="str">
        <f>'Female SR 30 Second Speed'!I99</f>
        <v>FTSS</v>
      </c>
      <c r="D1349" t="str">
        <f>'Female SR 30 Second Speed'!J99</f>
        <v>19-22</v>
      </c>
      <c r="E1349">
        <f>'Female SR 30 Second Speed'!K99</f>
        <v>0</v>
      </c>
      <c r="I1349" t="str">
        <f t="shared" si="41"/>
        <v>FTSS-Female Thirty Second Speed</v>
      </c>
    </row>
    <row r="1350" spans="1:9" x14ac:dyDescent="0.25">
      <c r="A1350">
        <f>'Team Info'!$B$3</f>
        <v>0</v>
      </c>
      <c r="B1350">
        <f>'Female SR 30 Second Speed'!H100</f>
        <v>8</v>
      </c>
      <c r="C1350" t="str">
        <f>'Female SR 30 Second Speed'!I100</f>
        <v>FTSS</v>
      </c>
      <c r="D1350" t="str">
        <f>'Female SR 30 Second Speed'!J100</f>
        <v>19-22</v>
      </c>
      <c r="E1350">
        <f>'Female SR 30 Second Speed'!K100</f>
        <v>0</v>
      </c>
      <c r="I1350" t="str">
        <f t="shared" si="41"/>
        <v>FTSS-Female Thirty Second Speed</v>
      </c>
    </row>
    <row r="1351" spans="1:9" x14ac:dyDescent="0.25">
      <c r="A1351">
        <f>'Team Info'!$B$3</f>
        <v>0</v>
      </c>
      <c r="B1351">
        <f>'Female SR 30 Second Speed'!H101</f>
        <v>9</v>
      </c>
      <c r="C1351" t="str">
        <f>'Female SR 30 Second Speed'!I101</f>
        <v>FTSS</v>
      </c>
      <c r="D1351" t="str">
        <f>'Female SR 30 Second Speed'!J101</f>
        <v>19-22</v>
      </c>
      <c r="E1351">
        <f>'Female SR 30 Second Speed'!K101</f>
        <v>0</v>
      </c>
      <c r="I1351" t="str">
        <f t="shared" si="41"/>
        <v>FTSS-Female Thirty Second Speed</v>
      </c>
    </row>
    <row r="1352" spans="1:9" x14ac:dyDescent="0.25">
      <c r="A1352">
        <f>'Team Info'!$B$3</f>
        <v>0</v>
      </c>
      <c r="B1352">
        <f>'Female SR 30 Second Speed'!H102</f>
        <v>10</v>
      </c>
      <c r="C1352" t="str">
        <f>'Female SR 30 Second Speed'!I102</f>
        <v>FTSS</v>
      </c>
      <c r="D1352" t="str">
        <f>'Female SR 30 Second Speed'!J102</f>
        <v>19-22</v>
      </c>
      <c r="E1352">
        <f>'Female SR 30 Second Speed'!K102</f>
        <v>0</v>
      </c>
      <c r="I1352" t="str">
        <f t="shared" si="41"/>
        <v>FTSS-Female Thirty Second Speed</v>
      </c>
    </row>
    <row r="1353" spans="1:9" x14ac:dyDescent="0.25">
      <c r="A1353">
        <f>'Team Info'!$B$3</f>
        <v>0</v>
      </c>
      <c r="B1353">
        <f>'Female SR 30 Second Speed'!H103</f>
        <v>11</v>
      </c>
      <c r="C1353" t="str">
        <f>'Female SR 30 Second Speed'!I103</f>
        <v>FTSS</v>
      </c>
      <c r="D1353" t="str">
        <f>'Female SR 30 Second Speed'!J103</f>
        <v>19-22</v>
      </c>
      <c r="E1353">
        <f>'Female SR 30 Second Speed'!K103</f>
        <v>0</v>
      </c>
      <c r="I1353" t="str">
        <f t="shared" si="41"/>
        <v>FTSS-Female Thirty Second Speed</v>
      </c>
    </row>
    <row r="1354" spans="1:9" x14ac:dyDescent="0.25">
      <c r="A1354">
        <f>'Team Info'!$B$3</f>
        <v>0</v>
      </c>
      <c r="B1354">
        <f>'Female SR 30 Second Speed'!H104</f>
        <v>12</v>
      </c>
      <c r="C1354" t="str">
        <f>'Female SR 30 Second Speed'!I104</f>
        <v>FTSS</v>
      </c>
      <c r="D1354" t="str">
        <f>'Female SR 30 Second Speed'!J104</f>
        <v>19-22</v>
      </c>
      <c r="E1354">
        <f>'Female SR 30 Second Speed'!K104</f>
        <v>0</v>
      </c>
      <c r="I1354" t="str">
        <f t="shared" si="41"/>
        <v>FTSS-Female Thirty Second Speed</v>
      </c>
    </row>
    <row r="1355" spans="1:9" x14ac:dyDescent="0.25">
      <c r="A1355">
        <f>'Team Info'!$B$3</f>
        <v>0</v>
      </c>
      <c r="B1355">
        <f>'Female SR 30 Second Speed'!H105</f>
        <v>13</v>
      </c>
      <c r="C1355" t="str">
        <f>'Female SR 30 Second Speed'!I105</f>
        <v>FTSS</v>
      </c>
      <c r="D1355" t="str">
        <f>'Female SR 30 Second Speed'!J105</f>
        <v>19-22</v>
      </c>
      <c r="E1355">
        <f>'Female SR 30 Second Speed'!K105</f>
        <v>0</v>
      </c>
      <c r="I1355" t="str">
        <f t="shared" si="41"/>
        <v>FTSS-Female Thirty Second Speed</v>
      </c>
    </row>
    <row r="1356" spans="1:9" x14ac:dyDescent="0.25">
      <c r="A1356">
        <f>'Team Info'!$B$3</f>
        <v>0</v>
      </c>
      <c r="B1356">
        <f>'Female SR 30 Second Speed'!H106</f>
        <v>14</v>
      </c>
      <c r="C1356" t="str">
        <f>'Female SR 30 Second Speed'!I106</f>
        <v>FTSS</v>
      </c>
      <c r="D1356" t="str">
        <f>'Female SR 30 Second Speed'!J106</f>
        <v>19-22</v>
      </c>
      <c r="E1356">
        <f>'Female SR 30 Second Speed'!K106</f>
        <v>0</v>
      </c>
      <c r="I1356" t="str">
        <f t="shared" si="41"/>
        <v>FTSS-Female Thirty Second Speed</v>
      </c>
    </row>
    <row r="1357" spans="1:9" x14ac:dyDescent="0.25">
      <c r="A1357">
        <f>'Team Info'!$B$3</f>
        <v>0</v>
      </c>
      <c r="B1357">
        <f>'Female SR 30 Second Speed'!H107</f>
        <v>15</v>
      </c>
      <c r="C1357" t="str">
        <f>'Female SR 30 Second Speed'!I107</f>
        <v>FTSS</v>
      </c>
      <c r="D1357" t="str">
        <f>'Female SR 30 Second Speed'!J107</f>
        <v>19-22</v>
      </c>
      <c r="E1357">
        <f>'Female SR 30 Second Speed'!K107</f>
        <v>0</v>
      </c>
      <c r="I1357" t="str">
        <f t="shared" si="41"/>
        <v>FTSS-Female Thirty Second Speed</v>
      </c>
    </row>
    <row r="1358" spans="1:9" x14ac:dyDescent="0.25">
      <c r="A1358">
        <f>'Team Info'!$B$3</f>
        <v>0</v>
      </c>
      <c r="B1358">
        <f>'Female SR 30 Second Speed'!H108</f>
        <v>16</v>
      </c>
      <c r="C1358" t="str">
        <f>'Female SR 30 Second Speed'!I108</f>
        <v>FTSS</v>
      </c>
      <c r="D1358" t="str">
        <f>'Female SR 30 Second Speed'!J108</f>
        <v>19-22</v>
      </c>
      <c r="E1358">
        <f>'Female SR 30 Second Speed'!K108</f>
        <v>0</v>
      </c>
      <c r="I1358" t="str">
        <f t="shared" si="41"/>
        <v>FTSS-Female Thirty Second Speed</v>
      </c>
    </row>
    <row r="1359" spans="1:9" x14ac:dyDescent="0.25">
      <c r="A1359">
        <f>'Team Info'!$B$3</f>
        <v>0</v>
      </c>
      <c r="B1359">
        <f>'Female SR 30 Second Speed'!H109</f>
        <v>17</v>
      </c>
      <c r="C1359" t="str">
        <f>'Female SR 30 Second Speed'!I109</f>
        <v>FTSS</v>
      </c>
      <c r="D1359" t="str">
        <f>'Female SR 30 Second Speed'!J109</f>
        <v>19-22</v>
      </c>
      <c r="E1359">
        <f>'Female SR 30 Second Speed'!K109</f>
        <v>0</v>
      </c>
      <c r="I1359" t="str">
        <f t="shared" si="41"/>
        <v>FTSS-Female Thirty Second Speed</v>
      </c>
    </row>
    <row r="1360" spans="1:9" x14ac:dyDescent="0.25">
      <c r="A1360">
        <f>'Team Info'!$B$3</f>
        <v>0</v>
      </c>
      <c r="B1360">
        <f>'Female SR 30 Second Speed'!H110</f>
        <v>18</v>
      </c>
      <c r="C1360" t="str">
        <f>'Female SR 30 Second Speed'!I110</f>
        <v>FTSS</v>
      </c>
      <c r="D1360" t="str">
        <f>'Female SR 30 Second Speed'!J110</f>
        <v>19-22</v>
      </c>
      <c r="E1360">
        <f>'Female SR 30 Second Speed'!K110</f>
        <v>0</v>
      </c>
      <c r="I1360" t="str">
        <f t="shared" ref="I1360" si="42">VLOOKUP(C1360,EVENTS,2,FALSE)</f>
        <v>FTSS-Female Thirty Second Speed</v>
      </c>
    </row>
    <row r="1361" spans="1:9" x14ac:dyDescent="0.25">
      <c r="A1361">
        <f>'Team Info'!$B$3</f>
        <v>0</v>
      </c>
      <c r="B1361">
        <f>'Female SR 30 Second Speed'!H111</f>
        <v>19</v>
      </c>
      <c r="C1361" t="str">
        <f>'Female SR 30 Second Speed'!I111</f>
        <v>FTSS</v>
      </c>
      <c r="D1361" t="str">
        <f>'Female SR 30 Second Speed'!J111</f>
        <v>19-22</v>
      </c>
      <c r="E1361">
        <f>'Female SR 30 Second Speed'!K111</f>
        <v>0</v>
      </c>
      <c r="I1361" t="str">
        <f t="shared" ref="I1361:I1362" si="43">VLOOKUP(C1361,EVENTS,2,FALSE)</f>
        <v>FTSS-Female Thirty Second Speed</v>
      </c>
    </row>
    <row r="1362" spans="1:9" x14ac:dyDescent="0.25">
      <c r="A1362">
        <f>'Team Info'!$B$3</f>
        <v>0</v>
      </c>
      <c r="B1362">
        <f>'Female SR 30 Second Speed'!H112</f>
        <v>20</v>
      </c>
      <c r="C1362" t="str">
        <f>'Female SR 30 Second Speed'!I112</f>
        <v>FTSS</v>
      </c>
      <c r="D1362" t="str">
        <f>'Female SR 30 Second Speed'!J112</f>
        <v>19-22</v>
      </c>
      <c r="E1362">
        <f>'Female SR 30 Second Speed'!K112</f>
        <v>0</v>
      </c>
      <c r="I1362" t="str">
        <f t="shared" si="43"/>
        <v>FTSS-Female Thirty Second Speed</v>
      </c>
    </row>
    <row r="1363" spans="1:9" x14ac:dyDescent="0.25">
      <c r="A1363">
        <f>'Team Info'!$B$3</f>
        <v>0</v>
      </c>
      <c r="B1363">
        <f>'Female SR 30 Second Speed'!A115</f>
        <v>1</v>
      </c>
      <c r="C1363" t="str">
        <f>'Female SR 30 Second Speed'!B115</f>
        <v>FTSS</v>
      </c>
      <c r="D1363" t="str">
        <f>'Female SR 30 Second Speed'!C115</f>
        <v>23-29</v>
      </c>
      <c r="E1363">
        <f>'Female SR 30 Second Speed'!D115</f>
        <v>0</v>
      </c>
      <c r="I1363" t="str">
        <f t="shared" si="40"/>
        <v>FTSS-Female Thirty Second Speed</v>
      </c>
    </row>
    <row r="1364" spans="1:9" x14ac:dyDescent="0.25">
      <c r="A1364">
        <f>'Team Info'!$B$3</f>
        <v>0</v>
      </c>
      <c r="B1364">
        <f>'Female SR 30 Second Speed'!A116</f>
        <v>2</v>
      </c>
      <c r="C1364" t="str">
        <f>'Female SR 30 Second Speed'!B116</f>
        <v>FTSS</v>
      </c>
      <c r="D1364" t="str">
        <f>'Female SR 30 Second Speed'!C116</f>
        <v>23-29</v>
      </c>
      <c r="E1364">
        <f>'Female SR 30 Second Speed'!D116</f>
        <v>0</v>
      </c>
      <c r="I1364" t="str">
        <f t="shared" si="40"/>
        <v>FTSS-Female Thirty Second Speed</v>
      </c>
    </row>
    <row r="1365" spans="1:9" x14ac:dyDescent="0.25">
      <c r="A1365">
        <f>'Team Info'!$B$3</f>
        <v>0</v>
      </c>
      <c r="B1365">
        <f>'Female SR 30 Second Speed'!A117</f>
        <v>3</v>
      </c>
      <c r="C1365" t="str">
        <f>'Female SR 30 Second Speed'!B117</f>
        <v>FTSS</v>
      </c>
      <c r="D1365" t="str">
        <f>'Female SR 30 Second Speed'!C117</f>
        <v>23-29</v>
      </c>
      <c r="E1365">
        <f>'Female SR 30 Second Speed'!D117</f>
        <v>0</v>
      </c>
      <c r="I1365" t="str">
        <f t="shared" si="40"/>
        <v>FTSS-Female Thirty Second Speed</v>
      </c>
    </row>
    <row r="1366" spans="1:9" x14ac:dyDescent="0.25">
      <c r="A1366">
        <f>'Team Info'!$B$3</f>
        <v>0</v>
      </c>
      <c r="B1366">
        <f>'Female SR 30 Second Speed'!A118</f>
        <v>4</v>
      </c>
      <c r="C1366" t="str">
        <f>'Female SR 30 Second Speed'!B118</f>
        <v>FTSS</v>
      </c>
      <c r="D1366" t="str">
        <f>'Female SR 30 Second Speed'!C118</f>
        <v>23-29</v>
      </c>
      <c r="E1366">
        <f>'Female SR 30 Second Speed'!D118</f>
        <v>0</v>
      </c>
      <c r="I1366" t="str">
        <f t="shared" si="40"/>
        <v>FTSS-Female Thirty Second Speed</v>
      </c>
    </row>
    <row r="1367" spans="1:9" x14ac:dyDescent="0.25">
      <c r="A1367">
        <f>'Team Info'!$B$3</f>
        <v>0</v>
      </c>
      <c r="B1367">
        <f>'Female SR 30 Second Speed'!A119</f>
        <v>5</v>
      </c>
      <c r="C1367" t="str">
        <f>'Female SR 30 Second Speed'!B119</f>
        <v>FTSS</v>
      </c>
      <c r="D1367" t="str">
        <f>'Female SR 30 Second Speed'!C119</f>
        <v>23-29</v>
      </c>
      <c r="E1367">
        <f>'Female SR 30 Second Speed'!D119</f>
        <v>0</v>
      </c>
      <c r="I1367" t="str">
        <f t="shared" si="40"/>
        <v>FTSS-Female Thirty Second Speed</v>
      </c>
    </row>
    <row r="1368" spans="1:9" x14ac:dyDescent="0.25">
      <c r="A1368">
        <f>'Team Info'!$B$3</f>
        <v>0</v>
      </c>
      <c r="B1368">
        <f>'Female SR 30 Second Speed'!A120</f>
        <v>6</v>
      </c>
      <c r="C1368" t="str">
        <f>'Female SR 30 Second Speed'!B120</f>
        <v>FTSS</v>
      </c>
      <c r="D1368" t="str">
        <f>'Female SR 30 Second Speed'!C120</f>
        <v>23-29</v>
      </c>
      <c r="E1368">
        <f>'Female SR 30 Second Speed'!D120</f>
        <v>0</v>
      </c>
      <c r="I1368" t="str">
        <f t="shared" si="40"/>
        <v>FTSS-Female Thirty Second Speed</v>
      </c>
    </row>
    <row r="1369" spans="1:9" x14ac:dyDescent="0.25">
      <c r="A1369">
        <f>'Team Info'!$B$3</f>
        <v>0</v>
      </c>
      <c r="B1369">
        <f>'Female SR 30 Second Speed'!A121</f>
        <v>7</v>
      </c>
      <c r="C1369" t="str">
        <f>'Female SR 30 Second Speed'!B121</f>
        <v>FTSS</v>
      </c>
      <c r="D1369" t="str">
        <f>'Female SR 30 Second Speed'!C121</f>
        <v>23-29</v>
      </c>
      <c r="E1369">
        <f>'Female SR 30 Second Speed'!D121</f>
        <v>0</v>
      </c>
      <c r="I1369" t="str">
        <f t="shared" si="40"/>
        <v>FTSS-Female Thirty Second Speed</v>
      </c>
    </row>
    <row r="1370" spans="1:9" x14ac:dyDescent="0.25">
      <c r="A1370">
        <f>'Team Info'!$B$3</f>
        <v>0</v>
      </c>
      <c r="B1370">
        <f>'Female SR 30 Second Speed'!A122</f>
        <v>8</v>
      </c>
      <c r="C1370" t="str">
        <f>'Female SR 30 Second Speed'!B122</f>
        <v>FTSS</v>
      </c>
      <c r="D1370" t="str">
        <f>'Female SR 30 Second Speed'!C122</f>
        <v>23-29</v>
      </c>
      <c r="E1370">
        <f>'Female SR 30 Second Speed'!D122</f>
        <v>0</v>
      </c>
      <c r="I1370" t="str">
        <f t="shared" si="40"/>
        <v>FTSS-Female Thirty Second Speed</v>
      </c>
    </row>
    <row r="1371" spans="1:9" x14ac:dyDescent="0.25">
      <c r="A1371">
        <f>'Team Info'!$B$3</f>
        <v>0</v>
      </c>
      <c r="B1371">
        <f>'Female SR 30 Second Speed'!H115</f>
        <v>1</v>
      </c>
      <c r="C1371" t="str">
        <f>'Female SR 30 Second Speed'!I115</f>
        <v>FTSS</v>
      </c>
      <c r="D1371" t="str">
        <f>'Female SR 30 Second Speed'!J115</f>
        <v>30-49</v>
      </c>
      <c r="E1371">
        <f>'Female SR 30 Second Speed'!K115</f>
        <v>0</v>
      </c>
      <c r="I1371" t="str">
        <f t="shared" si="40"/>
        <v>FTSS-Female Thirty Second Speed</v>
      </c>
    </row>
    <row r="1372" spans="1:9" x14ac:dyDescent="0.25">
      <c r="A1372">
        <f>'Team Info'!$B$3</f>
        <v>0</v>
      </c>
      <c r="B1372">
        <f>'Female SR 30 Second Speed'!H116</f>
        <v>2</v>
      </c>
      <c r="C1372" t="str">
        <f>'Female SR 30 Second Speed'!I116</f>
        <v>FTSS</v>
      </c>
      <c r="D1372" t="str">
        <f>'Female SR 30 Second Speed'!J116</f>
        <v>30-49</v>
      </c>
      <c r="E1372">
        <f>'Female SR 30 Second Speed'!K116</f>
        <v>0</v>
      </c>
      <c r="I1372" t="str">
        <f t="shared" si="40"/>
        <v>FTSS-Female Thirty Second Speed</v>
      </c>
    </row>
    <row r="1373" spans="1:9" x14ac:dyDescent="0.25">
      <c r="A1373">
        <f>'Team Info'!$B$3</f>
        <v>0</v>
      </c>
      <c r="B1373">
        <f>'Female SR 30 Second Speed'!H117</f>
        <v>3</v>
      </c>
      <c r="C1373" t="str">
        <f>'Female SR 30 Second Speed'!I117</f>
        <v>FTSS</v>
      </c>
      <c r="D1373" t="str">
        <f>'Female SR 30 Second Speed'!J117</f>
        <v>30-49</v>
      </c>
      <c r="E1373">
        <f>'Female SR 30 Second Speed'!K117</f>
        <v>0</v>
      </c>
      <c r="I1373" t="str">
        <f t="shared" si="40"/>
        <v>FTSS-Female Thirty Second Speed</v>
      </c>
    </row>
    <row r="1374" spans="1:9" x14ac:dyDescent="0.25">
      <c r="A1374">
        <f>'Team Info'!$B$3</f>
        <v>0</v>
      </c>
      <c r="B1374">
        <f>'Female SR 30 Second Speed'!H118</f>
        <v>4</v>
      </c>
      <c r="C1374" t="str">
        <f>'Female SR 30 Second Speed'!I118</f>
        <v>FTSS</v>
      </c>
      <c r="D1374" t="str">
        <f>'Female SR 30 Second Speed'!J118</f>
        <v>30-49</v>
      </c>
      <c r="E1374">
        <f>'Female SR 30 Second Speed'!K118</f>
        <v>0</v>
      </c>
      <c r="I1374" t="str">
        <f t="shared" si="40"/>
        <v>FTSS-Female Thirty Second Speed</v>
      </c>
    </row>
    <row r="1375" spans="1:9" x14ac:dyDescent="0.25">
      <c r="A1375">
        <f>'Team Info'!$B$3</f>
        <v>0</v>
      </c>
      <c r="B1375">
        <f>'Female SR 30 Second Speed'!H119</f>
        <v>5</v>
      </c>
      <c r="C1375" t="str">
        <f>'Female SR 30 Second Speed'!I119</f>
        <v>FTSS</v>
      </c>
      <c r="D1375" t="str">
        <f>'Female SR 30 Second Speed'!J119</f>
        <v>30-49</v>
      </c>
      <c r="E1375">
        <f>'Female SR 30 Second Speed'!K119</f>
        <v>0</v>
      </c>
      <c r="I1375" t="str">
        <f t="shared" si="40"/>
        <v>FTSS-Female Thirty Second Speed</v>
      </c>
    </row>
    <row r="1376" spans="1:9" x14ac:dyDescent="0.25">
      <c r="A1376">
        <f>'Team Info'!$B$3</f>
        <v>0</v>
      </c>
      <c r="B1376">
        <f>'Female SR 30 Second Speed'!H120</f>
        <v>6</v>
      </c>
      <c r="C1376" t="str">
        <f>'Female SR 30 Second Speed'!I120</f>
        <v>FTSS</v>
      </c>
      <c r="D1376" t="str">
        <f>'Female SR 30 Second Speed'!J120</f>
        <v>30-49</v>
      </c>
      <c r="E1376">
        <f>'Female SR 30 Second Speed'!K120</f>
        <v>0</v>
      </c>
      <c r="I1376" t="str">
        <f t="shared" ref="I1376:I1378" si="44">VLOOKUP(C1376,EVENTS,2,FALSE)</f>
        <v>FTSS-Female Thirty Second Speed</v>
      </c>
    </row>
    <row r="1377" spans="1:9" x14ac:dyDescent="0.25">
      <c r="A1377">
        <f>'Team Info'!$B$3</f>
        <v>0</v>
      </c>
      <c r="B1377">
        <f>'Female SR 30 Second Speed'!H121</f>
        <v>7</v>
      </c>
      <c r="C1377" t="str">
        <f>'Female SR 30 Second Speed'!I121</f>
        <v>FTSS</v>
      </c>
      <c r="D1377" t="str">
        <f>'Female SR 30 Second Speed'!J121</f>
        <v>30-49</v>
      </c>
      <c r="E1377">
        <f>'Female SR 30 Second Speed'!K121</f>
        <v>0</v>
      </c>
      <c r="I1377" t="str">
        <f t="shared" si="44"/>
        <v>FTSS-Female Thirty Second Speed</v>
      </c>
    </row>
    <row r="1378" spans="1:9" x14ac:dyDescent="0.25">
      <c r="A1378">
        <f>'Team Info'!$B$3</f>
        <v>0</v>
      </c>
      <c r="B1378">
        <f>'Female SR 30 Second Speed'!H122</f>
        <v>8</v>
      </c>
      <c r="C1378" t="str">
        <f>'Female SR 30 Second Speed'!I122</f>
        <v>FTSS</v>
      </c>
      <c r="D1378" t="str">
        <f>'Female SR 30 Second Speed'!J122</f>
        <v>30-49</v>
      </c>
      <c r="E1378">
        <f>'Female SR 30 Second Speed'!K122</f>
        <v>0</v>
      </c>
      <c r="I1378" t="str">
        <f t="shared" si="44"/>
        <v>FTSS-Female Thirty Second Speed</v>
      </c>
    </row>
    <row r="1379" spans="1:9" x14ac:dyDescent="0.25">
      <c r="A1379">
        <f>'Team Info'!$B$3</f>
        <v>0</v>
      </c>
      <c r="B1379">
        <f>'Female SR 30 Second Speed'!A125</f>
        <v>1</v>
      </c>
      <c r="C1379" t="str">
        <f>'Female SR 30 Second Speed'!B125</f>
        <v>FTSS</v>
      </c>
      <c r="D1379" t="str">
        <f>'Female SR 30 Second Speed'!C125</f>
        <v>50-Over</v>
      </c>
      <c r="E1379">
        <f>'Female SR 30 Second Speed'!D125</f>
        <v>0</v>
      </c>
      <c r="I1379" t="str">
        <f t="shared" si="40"/>
        <v>FTSS-Female Thirty Second Speed</v>
      </c>
    </row>
    <row r="1380" spans="1:9" x14ac:dyDescent="0.25">
      <c r="A1380">
        <f>'Team Info'!$B$3</f>
        <v>0</v>
      </c>
      <c r="B1380">
        <f>'Female SR 30 Second Speed'!A126</f>
        <v>2</v>
      </c>
      <c r="C1380" t="str">
        <f>'Female SR 30 Second Speed'!B126</f>
        <v>FTSS</v>
      </c>
      <c r="D1380" t="str">
        <f>'Female SR 30 Second Speed'!C126</f>
        <v>50-Over</v>
      </c>
      <c r="E1380">
        <f>'Female SR 30 Second Speed'!D126</f>
        <v>0</v>
      </c>
      <c r="I1380" t="str">
        <f t="shared" si="40"/>
        <v>FTSS-Female Thirty Second Speed</v>
      </c>
    </row>
    <row r="1381" spans="1:9" x14ac:dyDescent="0.25">
      <c r="A1381">
        <f>'Team Info'!$B$3</f>
        <v>0</v>
      </c>
      <c r="B1381">
        <f>'Female SR 30 Second Speed'!A127</f>
        <v>3</v>
      </c>
      <c r="C1381" t="str">
        <f>'Female SR 30 Second Speed'!B127</f>
        <v>FTSS</v>
      </c>
      <c r="D1381" t="str">
        <f>'Female SR 30 Second Speed'!C127</f>
        <v>50-Over</v>
      </c>
      <c r="E1381">
        <f>'Female SR 30 Second Speed'!D127</f>
        <v>0</v>
      </c>
      <c r="I1381" t="str">
        <f t="shared" si="40"/>
        <v>FTSS-Female Thirty Second Speed</v>
      </c>
    </row>
    <row r="1382" spans="1:9" x14ac:dyDescent="0.25">
      <c r="A1382">
        <f>'Team Info'!$B$3</f>
        <v>0</v>
      </c>
      <c r="B1382">
        <f>'Female SR 30 Second Speed'!A128</f>
        <v>4</v>
      </c>
      <c r="C1382" t="str">
        <f>'Female SR 30 Second Speed'!B128</f>
        <v>FTSS</v>
      </c>
      <c r="D1382" t="str">
        <f>'Female SR 30 Second Speed'!C128</f>
        <v>50-Over</v>
      </c>
      <c r="E1382">
        <f>'Female SR 30 Second Speed'!D128</f>
        <v>0</v>
      </c>
      <c r="I1382" t="str">
        <f t="shared" si="40"/>
        <v>FTSS-Female Thirty Second Speed</v>
      </c>
    </row>
    <row r="1383" spans="1:9" x14ac:dyDescent="0.25">
      <c r="A1383">
        <f>'Team Info'!$B$3</f>
        <v>0</v>
      </c>
      <c r="B1383">
        <f>'Female SR 30 Second Speed'!A129</f>
        <v>5</v>
      </c>
      <c r="C1383" t="str">
        <f>'Female SR 30 Second Speed'!B129</f>
        <v>FTSS</v>
      </c>
      <c r="D1383" t="str">
        <f>'Female SR 30 Second Speed'!C129</f>
        <v>50-Over</v>
      </c>
      <c r="E1383">
        <f>'Female SR 30 Second Speed'!D129</f>
        <v>0</v>
      </c>
      <c r="I1383" t="str">
        <f t="shared" si="40"/>
        <v>FTSS-Female Thirty Second Speed</v>
      </c>
    </row>
    <row r="1384" spans="1:9" x14ac:dyDescent="0.25">
      <c r="A1384">
        <f>'Team Info'!$B$3</f>
        <v>0</v>
      </c>
      <c r="B1384">
        <f>'Triple Unders'!A30</f>
        <v>1</v>
      </c>
      <c r="C1384" t="str">
        <f>'Triple Unders'!B30</f>
        <v>FTU</v>
      </c>
      <c r="D1384" t="str">
        <f>'Triple Unders'!C30</f>
        <v>15-18</v>
      </c>
      <c r="E1384">
        <f>'Triple Unders'!D30</f>
        <v>0</v>
      </c>
      <c r="I1384" t="str">
        <f t="shared" si="40"/>
        <v>FTU-Female Triple Unders</v>
      </c>
    </row>
    <row r="1385" spans="1:9" x14ac:dyDescent="0.25">
      <c r="A1385">
        <f>'Team Info'!$B$3</f>
        <v>0</v>
      </c>
      <c r="B1385">
        <f>'Triple Unders'!A31</f>
        <v>2</v>
      </c>
      <c r="C1385" t="str">
        <f>'Triple Unders'!B31</f>
        <v>FTU</v>
      </c>
      <c r="D1385" t="str">
        <f>'Triple Unders'!C31</f>
        <v>15-18</v>
      </c>
      <c r="E1385">
        <f>'Triple Unders'!D31</f>
        <v>0</v>
      </c>
      <c r="I1385" t="str">
        <f t="shared" si="40"/>
        <v>FTU-Female Triple Unders</v>
      </c>
    </row>
    <row r="1386" spans="1:9" x14ac:dyDescent="0.25">
      <c r="A1386">
        <f>'Team Info'!$B$3</f>
        <v>0</v>
      </c>
      <c r="B1386">
        <f>'Triple Unders'!A32</f>
        <v>3</v>
      </c>
      <c r="C1386" t="str">
        <f>'Triple Unders'!B32</f>
        <v>FTU</v>
      </c>
      <c r="D1386" t="str">
        <f>'Triple Unders'!C32</f>
        <v>15-18</v>
      </c>
      <c r="E1386">
        <f>'Triple Unders'!D32</f>
        <v>0</v>
      </c>
      <c r="I1386" t="str">
        <f t="shared" si="40"/>
        <v>FTU-Female Triple Unders</v>
      </c>
    </row>
    <row r="1387" spans="1:9" x14ac:dyDescent="0.25">
      <c r="A1387">
        <f>'Team Info'!$B$3</f>
        <v>0</v>
      </c>
      <c r="B1387">
        <f>'Triple Unders'!A33</f>
        <v>4</v>
      </c>
      <c r="C1387" t="str">
        <f>'Triple Unders'!B33</f>
        <v>FTU</v>
      </c>
      <c r="D1387" t="str">
        <f>'Triple Unders'!C33</f>
        <v>15-18</v>
      </c>
      <c r="E1387">
        <f>'Triple Unders'!D33</f>
        <v>0</v>
      </c>
      <c r="I1387" t="str">
        <f t="shared" si="40"/>
        <v>FTU-Female Triple Unders</v>
      </c>
    </row>
    <row r="1388" spans="1:9" x14ac:dyDescent="0.25">
      <c r="A1388">
        <f>'Team Info'!$B$3</f>
        <v>0</v>
      </c>
      <c r="B1388">
        <f>'Triple Unders'!A34</f>
        <v>5</v>
      </c>
      <c r="C1388" t="str">
        <f>'Triple Unders'!B34</f>
        <v>FTU</v>
      </c>
      <c r="D1388" t="str">
        <f>'Triple Unders'!C34</f>
        <v>15-18</v>
      </c>
      <c r="E1388">
        <f>'Triple Unders'!D34</f>
        <v>0</v>
      </c>
      <c r="I1388" t="str">
        <f t="shared" si="40"/>
        <v>FTU-Female Triple Unders</v>
      </c>
    </row>
    <row r="1389" spans="1:9" x14ac:dyDescent="0.25">
      <c r="A1389">
        <f>'Team Info'!$B$3</f>
        <v>0</v>
      </c>
      <c r="B1389">
        <f>'Triple Unders'!A35</f>
        <v>6</v>
      </c>
      <c r="C1389" t="str">
        <f>'Triple Unders'!B35</f>
        <v>FTU</v>
      </c>
      <c r="D1389" t="str">
        <f>'Triple Unders'!C35</f>
        <v>15-18</v>
      </c>
      <c r="E1389">
        <f>'Triple Unders'!D35</f>
        <v>0</v>
      </c>
      <c r="I1389" t="str">
        <f t="shared" si="40"/>
        <v>FTU-Female Triple Unders</v>
      </c>
    </row>
    <row r="1390" spans="1:9" x14ac:dyDescent="0.25">
      <c r="A1390">
        <f>'Team Info'!$B$3</f>
        <v>0</v>
      </c>
      <c r="B1390">
        <f>'Triple Unders'!A36</f>
        <v>7</v>
      </c>
      <c r="C1390" t="str">
        <f>'Triple Unders'!B36</f>
        <v>FTU</v>
      </c>
      <c r="D1390" t="str">
        <f>'Triple Unders'!C36</f>
        <v>15-18</v>
      </c>
      <c r="E1390">
        <f>'Triple Unders'!D36</f>
        <v>0</v>
      </c>
      <c r="I1390" t="str">
        <f t="shared" si="40"/>
        <v>FTU-Female Triple Unders</v>
      </c>
    </row>
    <row r="1391" spans="1:9" x14ac:dyDescent="0.25">
      <c r="A1391">
        <f>'Team Info'!$B$3</f>
        <v>0</v>
      </c>
      <c r="B1391">
        <f>'Triple Unders'!A37</f>
        <v>8</v>
      </c>
      <c r="C1391" t="str">
        <f>'Triple Unders'!B37</f>
        <v>FTU</v>
      </c>
      <c r="D1391" t="str">
        <f>'Triple Unders'!C37</f>
        <v>15-18</v>
      </c>
      <c r="E1391">
        <f>'Triple Unders'!D37</f>
        <v>0</v>
      </c>
      <c r="I1391" t="str">
        <f t="shared" si="40"/>
        <v>FTU-Female Triple Unders</v>
      </c>
    </row>
    <row r="1392" spans="1:9" x14ac:dyDescent="0.25">
      <c r="A1392">
        <f>'Team Info'!$B$3</f>
        <v>0</v>
      </c>
      <c r="B1392">
        <f>'Triple Unders'!A38</f>
        <v>9</v>
      </c>
      <c r="C1392" t="str">
        <f>'Triple Unders'!B38</f>
        <v>FTU</v>
      </c>
      <c r="D1392" t="str">
        <f>'Triple Unders'!C38</f>
        <v>15-18</v>
      </c>
      <c r="E1392">
        <f>'Triple Unders'!D38</f>
        <v>0</v>
      </c>
      <c r="I1392" t="str">
        <f t="shared" si="40"/>
        <v>FTU-Female Triple Unders</v>
      </c>
    </row>
    <row r="1393" spans="1:9" x14ac:dyDescent="0.25">
      <c r="A1393">
        <f>'Team Info'!$B$3</f>
        <v>0</v>
      </c>
      <c r="B1393">
        <f>'Triple Unders'!A39</f>
        <v>10</v>
      </c>
      <c r="C1393" t="str">
        <f>'Triple Unders'!B39</f>
        <v>FTU</v>
      </c>
      <c r="D1393" t="str">
        <f>'Triple Unders'!C39</f>
        <v>15-18</v>
      </c>
      <c r="E1393">
        <f>'Triple Unders'!D39</f>
        <v>0</v>
      </c>
      <c r="I1393" t="str">
        <f t="shared" si="40"/>
        <v>FTU-Female Triple Unders</v>
      </c>
    </row>
    <row r="1394" spans="1:9" x14ac:dyDescent="0.25">
      <c r="A1394">
        <f>'Team Info'!$B$3</f>
        <v>0</v>
      </c>
      <c r="B1394">
        <f>'Triple Unders'!A40</f>
        <v>11</v>
      </c>
      <c r="C1394" t="str">
        <f>'Triple Unders'!B40</f>
        <v>FTU</v>
      </c>
      <c r="D1394" t="str">
        <f>'Triple Unders'!C40</f>
        <v>15-18</v>
      </c>
      <c r="E1394">
        <f>'Triple Unders'!D40</f>
        <v>0</v>
      </c>
      <c r="I1394" t="str">
        <f t="shared" si="40"/>
        <v>FTU-Female Triple Unders</v>
      </c>
    </row>
    <row r="1395" spans="1:9" x14ac:dyDescent="0.25">
      <c r="A1395">
        <f>'Team Info'!$B$3</f>
        <v>0</v>
      </c>
      <c r="B1395">
        <f>'Triple Unders'!A41</f>
        <v>12</v>
      </c>
      <c r="C1395" t="str">
        <f>'Triple Unders'!B41</f>
        <v>FTU</v>
      </c>
      <c r="D1395" t="str">
        <f>'Triple Unders'!C41</f>
        <v>15-18</v>
      </c>
      <c r="E1395">
        <f>'Triple Unders'!D41</f>
        <v>0</v>
      </c>
      <c r="I1395" t="str">
        <f t="shared" si="40"/>
        <v>FTU-Female Triple Unders</v>
      </c>
    </row>
    <row r="1396" spans="1:9" x14ac:dyDescent="0.25">
      <c r="A1396">
        <f>'Team Info'!$B$3</f>
        <v>0</v>
      </c>
      <c r="B1396">
        <f>'Triple Unders'!A42</f>
        <v>13</v>
      </c>
      <c r="C1396" t="str">
        <f>'Triple Unders'!B42</f>
        <v>FTU</v>
      </c>
      <c r="D1396" t="str">
        <f>'Triple Unders'!C42</f>
        <v>15-18</v>
      </c>
      <c r="E1396">
        <f>'Triple Unders'!D42</f>
        <v>0</v>
      </c>
      <c r="I1396" t="str">
        <f t="shared" si="40"/>
        <v>FTU-Female Triple Unders</v>
      </c>
    </row>
    <row r="1397" spans="1:9" x14ac:dyDescent="0.25">
      <c r="A1397">
        <f>'Team Info'!$B$3</f>
        <v>0</v>
      </c>
      <c r="B1397">
        <f>'Triple Unders'!A43</f>
        <v>14</v>
      </c>
      <c r="C1397" t="str">
        <f>'Triple Unders'!B43</f>
        <v>FTU</v>
      </c>
      <c r="D1397" t="str">
        <f>'Triple Unders'!C43</f>
        <v>15-18</v>
      </c>
      <c r="E1397">
        <f>'Triple Unders'!D43</f>
        <v>0</v>
      </c>
      <c r="I1397" t="str">
        <f t="shared" si="40"/>
        <v>FTU-Female Triple Unders</v>
      </c>
    </row>
    <row r="1398" spans="1:9" x14ac:dyDescent="0.25">
      <c r="A1398">
        <f>'Team Info'!$B$3</f>
        <v>0</v>
      </c>
      <c r="B1398">
        <f>'Triple Unders'!A44</f>
        <v>15</v>
      </c>
      <c r="C1398" t="str">
        <f>'Triple Unders'!B44</f>
        <v>FTU</v>
      </c>
      <c r="D1398" t="str">
        <f>'Triple Unders'!C44</f>
        <v>15-18</v>
      </c>
      <c r="E1398">
        <f>'Triple Unders'!D44</f>
        <v>0</v>
      </c>
      <c r="I1398" t="str">
        <f t="shared" si="40"/>
        <v>FTU-Female Triple Unders</v>
      </c>
    </row>
    <row r="1399" spans="1:9" x14ac:dyDescent="0.25">
      <c r="A1399">
        <f>'Team Info'!$B$3</f>
        <v>0</v>
      </c>
      <c r="B1399">
        <f>'Triple Unders'!A45</f>
        <v>16</v>
      </c>
      <c r="C1399" t="str">
        <f>'Triple Unders'!B45</f>
        <v>FTU</v>
      </c>
      <c r="D1399" t="str">
        <f>'Triple Unders'!C45</f>
        <v>15-18</v>
      </c>
      <c r="E1399">
        <f>'Triple Unders'!D45</f>
        <v>0</v>
      </c>
      <c r="I1399" t="str">
        <f t="shared" si="40"/>
        <v>FTU-Female Triple Unders</v>
      </c>
    </row>
    <row r="1400" spans="1:9" x14ac:dyDescent="0.25">
      <c r="A1400">
        <f>'Team Info'!$B$3</f>
        <v>0</v>
      </c>
      <c r="B1400">
        <f>'Triple Unders'!A46</f>
        <v>17</v>
      </c>
      <c r="C1400" t="str">
        <f>'Triple Unders'!B46</f>
        <v>FTU</v>
      </c>
      <c r="D1400" t="str">
        <f>'Triple Unders'!C46</f>
        <v>15-18</v>
      </c>
      <c r="E1400">
        <f>'Triple Unders'!D46</f>
        <v>0</v>
      </c>
      <c r="I1400" t="str">
        <f t="shared" ref="I1400:I1403" si="45">VLOOKUP(C1400,EVENTS,2,FALSE)</f>
        <v>FTU-Female Triple Unders</v>
      </c>
    </row>
    <row r="1401" spans="1:9" x14ac:dyDescent="0.25">
      <c r="A1401">
        <f>'Team Info'!$B$3</f>
        <v>0</v>
      </c>
      <c r="B1401">
        <f>'Triple Unders'!A47</f>
        <v>18</v>
      </c>
      <c r="C1401" t="str">
        <f>'Triple Unders'!B47</f>
        <v>FTU</v>
      </c>
      <c r="D1401" t="str">
        <f>'Triple Unders'!C47</f>
        <v>15-18</v>
      </c>
      <c r="E1401">
        <f>'Triple Unders'!D47</f>
        <v>0</v>
      </c>
      <c r="I1401" t="str">
        <f t="shared" si="45"/>
        <v>FTU-Female Triple Unders</v>
      </c>
    </row>
    <row r="1402" spans="1:9" x14ac:dyDescent="0.25">
      <c r="A1402">
        <f>'Team Info'!$B$3</f>
        <v>0</v>
      </c>
      <c r="B1402">
        <f>'Triple Unders'!A48</f>
        <v>19</v>
      </c>
      <c r="C1402" t="str">
        <f>'Triple Unders'!B48</f>
        <v>FTU</v>
      </c>
      <c r="D1402" t="str">
        <f>'Triple Unders'!C48</f>
        <v>15-18</v>
      </c>
      <c r="E1402">
        <f>'Triple Unders'!D48</f>
        <v>0</v>
      </c>
      <c r="I1402" t="str">
        <f t="shared" si="45"/>
        <v>FTU-Female Triple Unders</v>
      </c>
    </row>
    <row r="1403" spans="1:9" x14ac:dyDescent="0.25">
      <c r="A1403">
        <f>'Team Info'!$B$3</f>
        <v>0</v>
      </c>
      <c r="B1403">
        <f>'Triple Unders'!A49</f>
        <v>20</v>
      </c>
      <c r="C1403" t="str">
        <f>'Triple Unders'!B49</f>
        <v>FTU</v>
      </c>
      <c r="D1403" t="str">
        <f>'Triple Unders'!C49</f>
        <v>15-18</v>
      </c>
      <c r="E1403">
        <f>'Triple Unders'!D49</f>
        <v>0</v>
      </c>
      <c r="I1403" t="str">
        <f t="shared" si="45"/>
        <v>FTU-Female Triple Unders</v>
      </c>
    </row>
    <row r="1404" spans="1:9" x14ac:dyDescent="0.25">
      <c r="A1404">
        <f>'Team Info'!$B$3</f>
        <v>0</v>
      </c>
      <c r="B1404">
        <f>'Triple Unders'!H30</f>
        <v>1</v>
      </c>
      <c r="C1404" t="str">
        <f>'Triple Unders'!I30</f>
        <v>FTU</v>
      </c>
      <c r="D1404" t="str">
        <f>'Triple Unders'!J30</f>
        <v>19-over</v>
      </c>
      <c r="E1404">
        <f>'Triple Unders'!K30</f>
        <v>0</v>
      </c>
      <c r="I1404" t="str">
        <f t="shared" si="40"/>
        <v>FTU-Female Triple Unders</v>
      </c>
    </row>
    <row r="1405" spans="1:9" x14ac:dyDescent="0.25">
      <c r="A1405">
        <f>'Team Info'!$B$3</f>
        <v>0</v>
      </c>
      <c r="B1405">
        <f>'Triple Unders'!H31</f>
        <v>2</v>
      </c>
      <c r="C1405" t="str">
        <f>'Triple Unders'!I31</f>
        <v>FTU</v>
      </c>
      <c r="D1405" t="str">
        <f>'Triple Unders'!J31</f>
        <v>19-over</v>
      </c>
      <c r="E1405">
        <f>'Triple Unders'!K31</f>
        <v>0</v>
      </c>
      <c r="I1405" t="str">
        <f t="shared" ref="I1405:I1482" si="46">VLOOKUP(C1405,EVENTS,2,FALSE)</f>
        <v>FTU-Female Triple Unders</v>
      </c>
    </row>
    <row r="1406" spans="1:9" x14ac:dyDescent="0.25">
      <c r="A1406">
        <f>'Team Info'!$B$3</f>
        <v>0</v>
      </c>
      <c r="B1406">
        <f>'Triple Unders'!H32</f>
        <v>3</v>
      </c>
      <c r="C1406" t="str">
        <f>'Triple Unders'!I32</f>
        <v>FTU</v>
      </c>
      <c r="D1406" t="str">
        <f>'Triple Unders'!J32</f>
        <v>19-over</v>
      </c>
      <c r="E1406">
        <f>'Triple Unders'!K32</f>
        <v>0</v>
      </c>
      <c r="I1406" t="str">
        <f t="shared" si="46"/>
        <v>FTU-Female Triple Unders</v>
      </c>
    </row>
    <row r="1407" spans="1:9" x14ac:dyDescent="0.25">
      <c r="A1407">
        <f>'Team Info'!$B$3</f>
        <v>0</v>
      </c>
      <c r="B1407">
        <f>'Triple Unders'!H33</f>
        <v>4</v>
      </c>
      <c r="C1407" t="str">
        <f>'Triple Unders'!I33</f>
        <v>FTU</v>
      </c>
      <c r="D1407" t="str">
        <f>'Triple Unders'!J33</f>
        <v>19-over</v>
      </c>
      <c r="E1407">
        <f>'Triple Unders'!K33</f>
        <v>0</v>
      </c>
      <c r="I1407" t="str">
        <f t="shared" si="46"/>
        <v>FTU-Female Triple Unders</v>
      </c>
    </row>
    <row r="1408" spans="1:9" x14ac:dyDescent="0.25">
      <c r="A1408">
        <f>'Team Info'!$B$3</f>
        <v>0</v>
      </c>
      <c r="B1408">
        <f>'Triple Unders'!H34</f>
        <v>5</v>
      </c>
      <c r="C1408" t="str">
        <f>'Triple Unders'!I34</f>
        <v>FTU</v>
      </c>
      <c r="D1408" t="str">
        <f>'Triple Unders'!J34</f>
        <v>19-over</v>
      </c>
      <c r="E1408">
        <f>'Triple Unders'!K34</f>
        <v>0</v>
      </c>
      <c r="I1408" t="str">
        <f t="shared" si="46"/>
        <v>FTU-Female Triple Unders</v>
      </c>
    </row>
    <row r="1409" spans="1:9" x14ac:dyDescent="0.25">
      <c r="A1409">
        <f>'Team Info'!$B$3</f>
        <v>0</v>
      </c>
      <c r="B1409">
        <f>'Triple Unders'!H35</f>
        <v>6</v>
      </c>
      <c r="C1409" t="str">
        <f>'Triple Unders'!I35</f>
        <v>FTU</v>
      </c>
      <c r="D1409" t="str">
        <f>'Triple Unders'!J35</f>
        <v>19-over</v>
      </c>
      <c r="E1409">
        <f>'Triple Unders'!K35</f>
        <v>0</v>
      </c>
      <c r="I1409" t="str">
        <f t="shared" si="46"/>
        <v>FTU-Female Triple Unders</v>
      </c>
    </row>
    <row r="1410" spans="1:9" x14ac:dyDescent="0.25">
      <c r="A1410">
        <f>'Team Info'!$B$3</f>
        <v>0</v>
      </c>
      <c r="B1410">
        <f>'Triple Unders'!H36</f>
        <v>7</v>
      </c>
      <c r="C1410" t="str">
        <f>'Triple Unders'!I36</f>
        <v>FTU</v>
      </c>
      <c r="D1410" t="str">
        <f>'Triple Unders'!J36</f>
        <v>19-over</v>
      </c>
      <c r="E1410">
        <f>'Triple Unders'!K36</f>
        <v>0</v>
      </c>
      <c r="I1410" t="str">
        <f t="shared" si="46"/>
        <v>FTU-Female Triple Unders</v>
      </c>
    </row>
    <row r="1411" spans="1:9" x14ac:dyDescent="0.25">
      <c r="A1411">
        <f>'Team Info'!$B$3</f>
        <v>0</v>
      </c>
      <c r="B1411">
        <f>'Triple Unders'!H37</f>
        <v>8</v>
      </c>
      <c r="C1411" t="str">
        <f>'Triple Unders'!I37</f>
        <v>FTU</v>
      </c>
      <c r="D1411" t="str">
        <f>'Triple Unders'!J37</f>
        <v>19-over</v>
      </c>
      <c r="E1411">
        <f>'Triple Unders'!K37</f>
        <v>0</v>
      </c>
      <c r="I1411" t="str">
        <f t="shared" si="46"/>
        <v>FTU-Female Triple Unders</v>
      </c>
    </row>
    <row r="1412" spans="1:9" x14ac:dyDescent="0.25">
      <c r="A1412">
        <f>'Team Info'!$B$3</f>
        <v>0</v>
      </c>
      <c r="B1412">
        <f>'Triple Unders'!H38</f>
        <v>9</v>
      </c>
      <c r="C1412" t="str">
        <f>'Triple Unders'!I38</f>
        <v>FTU</v>
      </c>
      <c r="D1412" t="str">
        <f>'Triple Unders'!J38</f>
        <v>19-over</v>
      </c>
      <c r="E1412">
        <f>'Triple Unders'!K38</f>
        <v>0</v>
      </c>
      <c r="I1412" t="str">
        <f t="shared" si="46"/>
        <v>FTU-Female Triple Unders</v>
      </c>
    </row>
    <row r="1413" spans="1:9" x14ac:dyDescent="0.25">
      <c r="A1413">
        <f>'Team Info'!$B$3</f>
        <v>0</v>
      </c>
      <c r="B1413">
        <f>'Triple Unders'!H39</f>
        <v>10</v>
      </c>
      <c r="C1413" t="str">
        <f>'Triple Unders'!I39</f>
        <v>FTU</v>
      </c>
      <c r="D1413" t="str">
        <f>'Triple Unders'!J39</f>
        <v>19-over</v>
      </c>
      <c r="E1413">
        <f>'Triple Unders'!K39</f>
        <v>0</v>
      </c>
      <c r="I1413" t="str">
        <f t="shared" si="46"/>
        <v>FTU-Female Triple Unders</v>
      </c>
    </row>
    <row r="1414" spans="1:9" x14ac:dyDescent="0.25">
      <c r="A1414">
        <f>'Team Info'!$B$3</f>
        <v>0</v>
      </c>
      <c r="B1414">
        <f>'Triple Unders'!H40</f>
        <v>11</v>
      </c>
      <c r="C1414" t="str">
        <f>'Triple Unders'!I40</f>
        <v>FTU</v>
      </c>
      <c r="D1414" t="str">
        <f>'Triple Unders'!J40</f>
        <v>19-over</v>
      </c>
      <c r="E1414">
        <f>'Triple Unders'!K40</f>
        <v>0</v>
      </c>
      <c r="I1414" t="str">
        <f t="shared" si="46"/>
        <v>FTU-Female Triple Unders</v>
      </c>
    </row>
    <row r="1415" spans="1:9" x14ac:dyDescent="0.25">
      <c r="A1415">
        <f>'Team Info'!$B$3</f>
        <v>0</v>
      </c>
      <c r="B1415">
        <f>'Triple Unders'!H41</f>
        <v>12</v>
      </c>
      <c r="C1415" t="str">
        <f>'Triple Unders'!I41</f>
        <v>FTU</v>
      </c>
      <c r="D1415" t="str">
        <f>'Triple Unders'!J41</f>
        <v>19-over</v>
      </c>
      <c r="E1415">
        <f>'Triple Unders'!K41</f>
        <v>0</v>
      </c>
      <c r="I1415" t="str">
        <f t="shared" si="46"/>
        <v>FTU-Female Triple Unders</v>
      </c>
    </row>
    <row r="1416" spans="1:9" x14ac:dyDescent="0.25">
      <c r="A1416">
        <f>'Team Info'!$B$3</f>
        <v>0</v>
      </c>
      <c r="B1416">
        <f>'Triple Unders'!H42</f>
        <v>13</v>
      </c>
      <c r="C1416" t="str">
        <f>'Triple Unders'!I42</f>
        <v>FTU</v>
      </c>
      <c r="D1416" t="str">
        <f>'Triple Unders'!J42</f>
        <v>19-over</v>
      </c>
      <c r="E1416">
        <f>'Triple Unders'!K42</f>
        <v>0</v>
      </c>
      <c r="I1416" t="str">
        <f t="shared" si="46"/>
        <v>FTU-Female Triple Unders</v>
      </c>
    </row>
    <row r="1417" spans="1:9" x14ac:dyDescent="0.25">
      <c r="A1417">
        <f>'Team Info'!$B$3</f>
        <v>0</v>
      </c>
      <c r="B1417">
        <f>'Triple Unders'!H43</f>
        <v>14</v>
      </c>
      <c r="C1417" t="str">
        <f>'Triple Unders'!I43</f>
        <v>FTU</v>
      </c>
      <c r="D1417" t="str">
        <f>'Triple Unders'!J43</f>
        <v>19-over</v>
      </c>
      <c r="E1417">
        <f>'Triple Unders'!K43</f>
        <v>0</v>
      </c>
      <c r="I1417" t="str">
        <f t="shared" si="46"/>
        <v>FTU-Female Triple Unders</v>
      </c>
    </row>
    <row r="1418" spans="1:9" x14ac:dyDescent="0.25">
      <c r="A1418">
        <f>'Team Info'!$B$3</f>
        <v>0</v>
      </c>
      <c r="B1418">
        <f>'Triple Unders'!H44</f>
        <v>15</v>
      </c>
      <c r="C1418" t="str">
        <f>'Triple Unders'!I44</f>
        <v>FTU</v>
      </c>
      <c r="D1418" t="str">
        <f>'Triple Unders'!J44</f>
        <v>19-over</v>
      </c>
      <c r="E1418">
        <f>'Triple Unders'!K44</f>
        <v>0</v>
      </c>
      <c r="I1418" t="str">
        <f t="shared" si="46"/>
        <v>FTU-Female Triple Unders</v>
      </c>
    </row>
    <row r="1419" spans="1:9" x14ac:dyDescent="0.25">
      <c r="A1419">
        <f>'Team Info'!$B$3</f>
        <v>0</v>
      </c>
      <c r="B1419">
        <f>'Triple Unders'!H45</f>
        <v>16</v>
      </c>
      <c r="C1419" t="str">
        <f>'Triple Unders'!I45</f>
        <v>FTU</v>
      </c>
      <c r="D1419" t="str">
        <f>'Triple Unders'!J45</f>
        <v>19-over</v>
      </c>
      <c r="E1419">
        <f>'Triple Unders'!K45</f>
        <v>0</v>
      </c>
      <c r="I1419" t="str">
        <f t="shared" si="46"/>
        <v>FTU-Female Triple Unders</v>
      </c>
    </row>
    <row r="1420" spans="1:9" x14ac:dyDescent="0.25">
      <c r="A1420">
        <f>'Team Info'!$B$3</f>
        <v>0</v>
      </c>
      <c r="B1420">
        <f>'Triple Unders'!H46</f>
        <v>17</v>
      </c>
      <c r="C1420" t="str">
        <f>'Triple Unders'!I46</f>
        <v>FTU</v>
      </c>
      <c r="D1420" t="str">
        <f>'Triple Unders'!J46</f>
        <v>19-over</v>
      </c>
      <c r="E1420">
        <f>'Triple Unders'!K46</f>
        <v>0</v>
      </c>
      <c r="I1420" t="str">
        <f t="shared" ref="I1420:I1423" si="47">VLOOKUP(C1420,EVENTS,2,FALSE)</f>
        <v>FTU-Female Triple Unders</v>
      </c>
    </row>
    <row r="1421" spans="1:9" x14ac:dyDescent="0.25">
      <c r="A1421">
        <f>'Team Info'!$B$3</f>
        <v>0</v>
      </c>
      <c r="B1421">
        <f>'Triple Unders'!H47</f>
        <v>16</v>
      </c>
      <c r="C1421" t="str">
        <f>'Triple Unders'!I47</f>
        <v>FTU</v>
      </c>
      <c r="D1421" t="str">
        <f>'Triple Unders'!J47</f>
        <v>19-over</v>
      </c>
      <c r="E1421">
        <f>'Triple Unders'!K47</f>
        <v>0</v>
      </c>
      <c r="I1421" t="str">
        <f t="shared" si="47"/>
        <v>FTU-Female Triple Unders</v>
      </c>
    </row>
    <row r="1422" spans="1:9" x14ac:dyDescent="0.25">
      <c r="A1422">
        <f>'Team Info'!$B$3</f>
        <v>0</v>
      </c>
      <c r="B1422">
        <f>'Triple Unders'!H48</f>
        <v>19</v>
      </c>
      <c r="C1422" t="str">
        <f>'Triple Unders'!I48</f>
        <v>FTU</v>
      </c>
      <c r="D1422" t="str">
        <f>'Triple Unders'!J48</f>
        <v>19-over</v>
      </c>
      <c r="E1422">
        <f>'Triple Unders'!K48</f>
        <v>0</v>
      </c>
      <c r="I1422" t="str">
        <f t="shared" si="47"/>
        <v>FTU-Female Triple Unders</v>
      </c>
    </row>
    <row r="1423" spans="1:9" x14ac:dyDescent="0.25">
      <c r="A1423">
        <f>'Team Info'!$B$3</f>
        <v>0</v>
      </c>
      <c r="B1423">
        <f>'Triple Unders'!H49</f>
        <v>20</v>
      </c>
      <c r="C1423" t="str">
        <f>'Triple Unders'!I49</f>
        <v>FTU</v>
      </c>
      <c r="D1423" t="str">
        <f>'Triple Unders'!J49</f>
        <v>19-over</v>
      </c>
      <c r="E1423">
        <f>'Triple Unders'!K49</f>
        <v>0</v>
      </c>
      <c r="I1423" t="str">
        <f t="shared" si="47"/>
        <v>FTU-Female Triple Unders</v>
      </c>
    </row>
    <row r="1424" spans="1:9" x14ac:dyDescent="0.25">
      <c r="A1424">
        <f>'Team Info'!$B$3</f>
        <v>0</v>
      </c>
      <c r="B1424">
        <f>'Male SR Individual Freestyle'!A6</f>
        <v>1</v>
      </c>
      <c r="C1424" t="str">
        <f>'Male SR Individual Freestyle'!B6</f>
        <v>MSRF</v>
      </c>
      <c r="D1424" t="str">
        <f>'Male SR Individual Freestyle'!C6</f>
        <v>8-under</v>
      </c>
      <c r="E1424">
        <f>'Male SR Individual Freestyle'!D6</f>
        <v>0</v>
      </c>
      <c r="I1424" t="str">
        <f t="shared" ref="I1424:I1433" si="48">VLOOKUP(C1424,EVENTS,2,FALSE)</f>
        <v>MSRF-Male Single Rope Freestyle</v>
      </c>
    </row>
    <row r="1425" spans="1:9" x14ac:dyDescent="0.25">
      <c r="A1425">
        <f>'Team Info'!$B$3</f>
        <v>0</v>
      </c>
      <c r="B1425">
        <f>'Male SR Individual Freestyle'!A7</f>
        <v>2</v>
      </c>
      <c r="C1425" t="str">
        <f>'Male SR Individual Freestyle'!B7</f>
        <v>MSRF</v>
      </c>
      <c r="D1425" t="str">
        <f>'Male SR Individual Freestyle'!C7</f>
        <v>8-under</v>
      </c>
      <c r="E1425">
        <f>'Male SR Individual Freestyle'!D7</f>
        <v>0</v>
      </c>
      <c r="I1425" t="str">
        <f t="shared" si="48"/>
        <v>MSRF-Male Single Rope Freestyle</v>
      </c>
    </row>
    <row r="1426" spans="1:9" x14ac:dyDescent="0.25">
      <c r="A1426">
        <f>'Team Info'!$B$3</f>
        <v>0</v>
      </c>
      <c r="B1426">
        <f>'Male SR Individual Freestyle'!A8</f>
        <v>3</v>
      </c>
      <c r="C1426" t="str">
        <f>'Male SR Individual Freestyle'!B8</f>
        <v>MSRF</v>
      </c>
      <c r="D1426" t="str">
        <f>'Male SR Individual Freestyle'!C8</f>
        <v>8-under</v>
      </c>
      <c r="E1426">
        <f>'Male SR Individual Freestyle'!D8</f>
        <v>0</v>
      </c>
      <c r="I1426" t="str">
        <f t="shared" si="48"/>
        <v>MSRF-Male Single Rope Freestyle</v>
      </c>
    </row>
    <row r="1427" spans="1:9" x14ac:dyDescent="0.25">
      <c r="A1427">
        <f>'Team Info'!$B$3</f>
        <v>0</v>
      </c>
      <c r="B1427">
        <f>'Male SR Individual Freestyle'!A9</f>
        <v>4</v>
      </c>
      <c r="C1427" t="str">
        <f>'Male SR Individual Freestyle'!B9</f>
        <v>MSRF</v>
      </c>
      <c r="D1427" t="str">
        <f>'Male SR Individual Freestyle'!C9</f>
        <v>8-under</v>
      </c>
      <c r="E1427">
        <f>'Male SR Individual Freestyle'!D9</f>
        <v>0</v>
      </c>
      <c r="I1427" t="str">
        <f t="shared" si="48"/>
        <v>MSRF-Male Single Rope Freestyle</v>
      </c>
    </row>
    <row r="1428" spans="1:9" x14ac:dyDescent="0.25">
      <c r="A1428">
        <f>'Team Info'!$B$3</f>
        <v>0</v>
      </c>
      <c r="B1428">
        <f>'Male SR Individual Freestyle'!A10</f>
        <v>5</v>
      </c>
      <c r="C1428" t="str">
        <f>'Male SR Individual Freestyle'!B10</f>
        <v>MSRF</v>
      </c>
      <c r="D1428" t="str">
        <f>'Male SR Individual Freestyle'!C10</f>
        <v>8-under</v>
      </c>
      <c r="E1428">
        <f>'Male SR Individual Freestyle'!D10</f>
        <v>0</v>
      </c>
      <c r="I1428" t="str">
        <f t="shared" si="48"/>
        <v>MSRF-Male Single Rope Freestyle</v>
      </c>
    </row>
    <row r="1429" spans="1:9" x14ac:dyDescent="0.25">
      <c r="A1429">
        <f>'Team Info'!$B$3</f>
        <v>0</v>
      </c>
      <c r="B1429">
        <f>'Male SR Individual Freestyle'!A11</f>
        <v>6</v>
      </c>
      <c r="C1429" t="str">
        <f>'Male SR Individual Freestyle'!B11</f>
        <v>MSRF</v>
      </c>
      <c r="D1429" t="str">
        <f>'Male SR Individual Freestyle'!C11</f>
        <v>8-under</v>
      </c>
      <c r="E1429">
        <f>'Male SR Individual Freestyle'!D11</f>
        <v>0</v>
      </c>
      <c r="I1429" t="str">
        <f t="shared" si="48"/>
        <v>MSRF-Male Single Rope Freestyle</v>
      </c>
    </row>
    <row r="1430" spans="1:9" x14ac:dyDescent="0.25">
      <c r="A1430">
        <f>'Team Info'!$B$3</f>
        <v>0</v>
      </c>
      <c r="B1430">
        <f>'Male SR Individual Freestyle'!A12</f>
        <v>7</v>
      </c>
      <c r="C1430" t="str">
        <f>'Male SR Individual Freestyle'!B12</f>
        <v>MSRF</v>
      </c>
      <c r="D1430" t="str">
        <f>'Male SR Individual Freestyle'!C12</f>
        <v>8-under</v>
      </c>
      <c r="E1430">
        <f>'Male SR Individual Freestyle'!D12</f>
        <v>0</v>
      </c>
      <c r="I1430" t="str">
        <f t="shared" si="48"/>
        <v>MSRF-Male Single Rope Freestyle</v>
      </c>
    </row>
    <row r="1431" spans="1:9" x14ac:dyDescent="0.25">
      <c r="A1431">
        <f>'Team Info'!$B$3</f>
        <v>0</v>
      </c>
      <c r="B1431">
        <f>'Male SR Individual Freestyle'!A13</f>
        <v>8</v>
      </c>
      <c r="C1431" t="str">
        <f>'Male SR Individual Freestyle'!B13</f>
        <v>MSRF</v>
      </c>
      <c r="D1431" t="str">
        <f>'Male SR Individual Freestyle'!C13</f>
        <v>8-under</v>
      </c>
      <c r="E1431">
        <f>'Male SR Individual Freestyle'!D13</f>
        <v>0</v>
      </c>
      <c r="I1431" t="str">
        <f t="shared" si="48"/>
        <v>MSRF-Male Single Rope Freestyle</v>
      </c>
    </row>
    <row r="1432" spans="1:9" x14ac:dyDescent="0.25">
      <c r="A1432">
        <f>'Team Info'!$B$3</f>
        <v>0</v>
      </c>
      <c r="B1432">
        <f>'Male SR Individual Freestyle'!A14</f>
        <v>9</v>
      </c>
      <c r="C1432" t="str">
        <f>'Male SR Individual Freestyle'!B14</f>
        <v>MSRF</v>
      </c>
      <c r="D1432" t="str">
        <f>'Male SR Individual Freestyle'!C14</f>
        <v>8-under</v>
      </c>
      <c r="E1432">
        <f>'Male SR Individual Freestyle'!D14</f>
        <v>0</v>
      </c>
      <c r="I1432" t="str">
        <f t="shared" si="48"/>
        <v>MSRF-Male Single Rope Freestyle</v>
      </c>
    </row>
    <row r="1433" spans="1:9" x14ac:dyDescent="0.25">
      <c r="A1433">
        <f>'Team Info'!$B$3</f>
        <v>0</v>
      </c>
      <c r="B1433">
        <f>'Male SR Individual Freestyle'!A15</f>
        <v>10</v>
      </c>
      <c r="C1433" t="str">
        <f>'Male SR Individual Freestyle'!B15</f>
        <v>MSRF</v>
      </c>
      <c r="D1433" t="str">
        <f>'Male SR Individual Freestyle'!C15</f>
        <v>8-under</v>
      </c>
      <c r="E1433">
        <f>'Male SR Individual Freestyle'!D15</f>
        <v>0</v>
      </c>
      <c r="I1433" t="str">
        <f t="shared" si="48"/>
        <v>MSRF-Male Single Rope Freestyle</v>
      </c>
    </row>
    <row r="1434" spans="1:9" x14ac:dyDescent="0.25">
      <c r="A1434">
        <f>'Team Info'!$B$3</f>
        <v>0</v>
      </c>
      <c r="B1434">
        <f>'Male SR Individual Freestyle'!A18</f>
        <v>1</v>
      </c>
      <c r="C1434" t="str">
        <f>'Male SR Individual Freestyle'!B18</f>
        <v>MSRF</v>
      </c>
      <c r="D1434" t="str">
        <f>'Male SR Individual Freestyle'!C18</f>
        <v>10-under</v>
      </c>
      <c r="E1434">
        <f>'Male SR Individual Freestyle'!D18</f>
        <v>0</v>
      </c>
      <c r="I1434" t="str">
        <f t="shared" si="46"/>
        <v>MSRF-Male Single Rope Freestyle</v>
      </c>
    </row>
    <row r="1435" spans="1:9" x14ac:dyDescent="0.25">
      <c r="A1435">
        <f>'Team Info'!$B$3</f>
        <v>0</v>
      </c>
      <c r="B1435">
        <f>'Male SR Individual Freestyle'!A19</f>
        <v>2</v>
      </c>
      <c r="C1435" t="str">
        <f>'Male SR Individual Freestyle'!B19</f>
        <v>MSRF</v>
      </c>
      <c r="D1435" t="str">
        <f>'Male SR Individual Freestyle'!C19</f>
        <v>10-under</v>
      </c>
      <c r="E1435">
        <f>'Male SR Individual Freestyle'!D19</f>
        <v>0</v>
      </c>
      <c r="I1435" t="str">
        <f t="shared" si="46"/>
        <v>MSRF-Male Single Rope Freestyle</v>
      </c>
    </row>
    <row r="1436" spans="1:9" x14ac:dyDescent="0.25">
      <c r="A1436">
        <f>'Team Info'!$B$3</f>
        <v>0</v>
      </c>
      <c r="B1436">
        <f>'Male SR Individual Freestyle'!A20</f>
        <v>3</v>
      </c>
      <c r="C1436" t="str">
        <f>'Male SR Individual Freestyle'!B20</f>
        <v>MSRF</v>
      </c>
      <c r="D1436" t="str">
        <f>'Male SR Individual Freestyle'!C20</f>
        <v>10-under</v>
      </c>
      <c r="E1436">
        <f>'Male SR Individual Freestyle'!D20</f>
        <v>0</v>
      </c>
      <c r="I1436" t="str">
        <f t="shared" si="46"/>
        <v>MSRF-Male Single Rope Freestyle</v>
      </c>
    </row>
    <row r="1437" spans="1:9" x14ac:dyDescent="0.25">
      <c r="A1437">
        <f>'Team Info'!$B$3</f>
        <v>0</v>
      </c>
      <c r="B1437">
        <f>'Male SR Individual Freestyle'!A21</f>
        <v>4</v>
      </c>
      <c r="C1437" t="str">
        <f>'Male SR Individual Freestyle'!B21</f>
        <v>MSRF</v>
      </c>
      <c r="D1437" t="str">
        <f>'Male SR Individual Freestyle'!C21</f>
        <v>10-under</v>
      </c>
      <c r="E1437">
        <f>'Male SR Individual Freestyle'!D21</f>
        <v>0</v>
      </c>
      <c r="I1437" t="str">
        <f t="shared" si="46"/>
        <v>MSRF-Male Single Rope Freestyle</v>
      </c>
    </row>
    <row r="1438" spans="1:9" x14ac:dyDescent="0.25">
      <c r="A1438">
        <f>'Team Info'!$B$3</f>
        <v>0</v>
      </c>
      <c r="B1438">
        <f>'Male SR Individual Freestyle'!A22</f>
        <v>5</v>
      </c>
      <c r="C1438" t="str">
        <f>'Male SR Individual Freestyle'!B22</f>
        <v>MSRF</v>
      </c>
      <c r="D1438" t="str">
        <f>'Male SR Individual Freestyle'!C22</f>
        <v>10-under</v>
      </c>
      <c r="E1438">
        <f>'Male SR Individual Freestyle'!D22</f>
        <v>0</v>
      </c>
      <c r="I1438" t="str">
        <f t="shared" si="46"/>
        <v>MSRF-Male Single Rope Freestyle</v>
      </c>
    </row>
    <row r="1439" spans="1:9" x14ac:dyDescent="0.25">
      <c r="A1439">
        <f>'Team Info'!$B$3</f>
        <v>0</v>
      </c>
      <c r="B1439">
        <f>'Male SR Individual Freestyle'!A23</f>
        <v>6</v>
      </c>
      <c r="C1439" t="str">
        <f>'Male SR Individual Freestyle'!B23</f>
        <v>MSRF</v>
      </c>
      <c r="D1439" t="str">
        <f>'Male SR Individual Freestyle'!C23</f>
        <v>10-under</v>
      </c>
      <c r="E1439">
        <f>'Male SR Individual Freestyle'!D23</f>
        <v>0</v>
      </c>
      <c r="I1439" t="str">
        <f t="shared" si="46"/>
        <v>MSRF-Male Single Rope Freestyle</v>
      </c>
    </row>
    <row r="1440" spans="1:9" x14ac:dyDescent="0.25">
      <c r="A1440">
        <f>'Team Info'!$B$3</f>
        <v>0</v>
      </c>
      <c r="B1440">
        <f>'Male SR Individual Freestyle'!A24</f>
        <v>7</v>
      </c>
      <c r="C1440" t="str">
        <f>'Male SR Individual Freestyle'!B24</f>
        <v>MSRF</v>
      </c>
      <c r="D1440" t="str">
        <f>'Male SR Individual Freestyle'!C24</f>
        <v>10-under</v>
      </c>
      <c r="E1440">
        <f>'Male SR Individual Freestyle'!D24</f>
        <v>0</v>
      </c>
      <c r="I1440" t="str">
        <f t="shared" si="46"/>
        <v>MSRF-Male Single Rope Freestyle</v>
      </c>
    </row>
    <row r="1441" spans="1:9" x14ac:dyDescent="0.25">
      <c r="A1441">
        <f>'Team Info'!$B$3</f>
        <v>0</v>
      </c>
      <c r="B1441">
        <f>'Male SR Individual Freestyle'!A25</f>
        <v>8</v>
      </c>
      <c r="C1441" t="str">
        <f>'Male SR Individual Freestyle'!B25</f>
        <v>MSRF</v>
      </c>
      <c r="D1441" t="str">
        <f>'Male SR Individual Freestyle'!C25</f>
        <v>10-under</v>
      </c>
      <c r="E1441">
        <f>'Male SR Individual Freestyle'!D25</f>
        <v>0</v>
      </c>
      <c r="I1441" t="str">
        <f t="shared" si="46"/>
        <v>MSRF-Male Single Rope Freestyle</v>
      </c>
    </row>
    <row r="1442" spans="1:9" x14ac:dyDescent="0.25">
      <c r="A1442">
        <f>'Team Info'!$B$3</f>
        <v>0</v>
      </c>
      <c r="B1442">
        <f>'Male SR Individual Freestyle'!A26</f>
        <v>9</v>
      </c>
      <c r="C1442" t="str">
        <f>'Male SR Individual Freestyle'!B26</f>
        <v>MSRF</v>
      </c>
      <c r="D1442" t="str">
        <f>'Male SR Individual Freestyle'!C26</f>
        <v>10-under</v>
      </c>
      <c r="E1442">
        <f>'Male SR Individual Freestyle'!D26</f>
        <v>0</v>
      </c>
      <c r="I1442" t="str">
        <f t="shared" si="46"/>
        <v>MSRF-Male Single Rope Freestyle</v>
      </c>
    </row>
    <row r="1443" spans="1:9" x14ac:dyDescent="0.25">
      <c r="A1443">
        <f>'Team Info'!$B$3</f>
        <v>0</v>
      </c>
      <c r="B1443">
        <f>'Male SR Individual Freestyle'!A27</f>
        <v>10</v>
      </c>
      <c r="C1443" t="str">
        <f>'Male SR Individual Freestyle'!B27</f>
        <v>MSRF</v>
      </c>
      <c r="D1443" t="str">
        <f>'Male SR Individual Freestyle'!C27</f>
        <v>10-under</v>
      </c>
      <c r="E1443">
        <f>'Male SR Individual Freestyle'!D27</f>
        <v>0</v>
      </c>
      <c r="I1443" t="str">
        <f t="shared" si="46"/>
        <v>MSRF-Male Single Rope Freestyle</v>
      </c>
    </row>
    <row r="1444" spans="1:9" x14ac:dyDescent="0.25">
      <c r="A1444">
        <f>'Team Info'!$B$3</f>
        <v>0</v>
      </c>
      <c r="B1444">
        <f>'Male SR Individual Freestyle'!A28</f>
        <v>11</v>
      </c>
      <c r="C1444" t="str">
        <f>'Male SR Individual Freestyle'!B28</f>
        <v>MSRF</v>
      </c>
      <c r="D1444" t="str">
        <f>'Male SR Individual Freestyle'!C28</f>
        <v>10-under</v>
      </c>
      <c r="E1444">
        <f>'Male SR Individual Freestyle'!D28</f>
        <v>0</v>
      </c>
      <c r="I1444" t="str">
        <f t="shared" si="46"/>
        <v>MSRF-Male Single Rope Freestyle</v>
      </c>
    </row>
    <row r="1445" spans="1:9" x14ac:dyDescent="0.25">
      <c r="A1445">
        <f>'Team Info'!$B$3</f>
        <v>0</v>
      </c>
      <c r="B1445">
        <f>'Male SR Individual Freestyle'!A29</f>
        <v>12</v>
      </c>
      <c r="C1445" t="str">
        <f>'Male SR Individual Freestyle'!B29</f>
        <v>MSRF</v>
      </c>
      <c r="D1445" t="str">
        <f>'Male SR Individual Freestyle'!C29</f>
        <v>10-under</v>
      </c>
      <c r="E1445">
        <f>'Male SR Individual Freestyle'!D29</f>
        <v>0</v>
      </c>
      <c r="I1445" t="str">
        <f t="shared" si="46"/>
        <v>MSRF-Male Single Rope Freestyle</v>
      </c>
    </row>
    <row r="1446" spans="1:9" x14ac:dyDescent="0.25">
      <c r="A1446">
        <f>'Team Info'!$B$3</f>
        <v>0</v>
      </c>
      <c r="B1446">
        <f>'Male SR Individual Freestyle'!A30</f>
        <v>13</v>
      </c>
      <c r="C1446" t="str">
        <f>'Male SR Individual Freestyle'!B30</f>
        <v>MSRF</v>
      </c>
      <c r="D1446" t="str">
        <f>'Male SR Individual Freestyle'!C30</f>
        <v>10-under</v>
      </c>
      <c r="E1446">
        <f>'Male SR Individual Freestyle'!D30</f>
        <v>0</v>
      </c>
      <c r="I1446" t="str">
        <f t="shared" si="46"/>
        <v>MSRF-Male Single Rope Freestyle</v>
      </c>
    </row>
    <row r="1447" spans="1:9" x14ac:dyDescent="0.25">
      <c r="A1447">
        <f>'Team Info'!$B$3</f>
        <v>0</v>
      </c>
      <c r="B1447">
        <f>'Male SR Individual Freestyle'!A31</f>
        <v>14</v>
      </c>
      <c r="C1447" t="str">
        <f>'Male SR Individual Freestyle'!B31</f>
        <v>MSRF</v>
      </c>
      <c r="D1447" t="str">
        <f>'Male SR Individual Freestyle'!C31</f>
        <v>10-under</v>
      </c>
      <c r="E1447">
        <f>'Male SR Individual Freestyle'!D31</f>
        <v>0</v>
      </c>
      <c r="I1447" t="str">
        <f t="shared" si="46"/>
        <v>MSRF-Male Single Rope Freestyle</v>
      </c>
    </row>
    <row r="1448" spans="1:9" x14ac:dyDescent="0.25">
      <c r="A1448">
        <f>'Team Info'!$B$3</f>
        <v>0</v>
      </c>
      <c r="B1448">
        <f>'Male SR Individual Freestyle'!A32</f>
        <v>15</v>
      </c>
      <c r="C1448" t="str">
        <f>'Male SR Individual Freestyle'!B32</f>
        <v>MSRF</v>
      </c>
      <c r="D1448" t="str">
        <f>'Male SR Individual Freestyle'!C32</f>
        <v>10-under</v>
      </c>
      <c r="E1448">
        <f>'Male SR Individual Freestyle'!D32</f>
        <v>0</v>
      </c>
      <c r="I1448" t="str">
        <f t="shared" si="46"/>
        <v>MSRF-Male Single Rope Freestyle</v>
      </c>
    </row>
    <row r="1449" spans="1:9" x14ac:dyDescent="0.25">
      <c r="A1449">
        <f>'Team Info'!$B$3</f>
        <v>0</v>
      </c>
      <c r="B1449">
        <f>'Male SR Individual Freestyle'!A33</f>
        <v>16</v>
      </c>
      <c r="C1449" t="str">
        <f>'Male SR Individual Freestyle'!B33</f>
        <v>MSRF</v>
      </c>
      <c r="D1449" t="str">
        <f>'Male SR Individual Freestyle'!C33</f>
        <v>10-under</v>
      </c>
      <c r="E1449">
        <f>'Male SR Individual Freestyle'!D33</f>
        <v>0</v>
      </c>
      <c r="I1449" t="str">
        <f t="shared" si="46"/>
        <v>MSRF-Male Single Rope Freestyle</v>
      </c>
    </row>
    <row r="1450" spans="1:9" x14ac:dyDescent="0.25">
      <c r="A1450">
        <f>'Team Info'!$B$3</f>
        <v>0</v>
      </c>
      <c r="B1450">
        <f>'Male SR Individual Freestyle'!A34</f>
        <v>17</v>
      </c>
      <c r="C1450" t="str">
        <f>'Male SR Individual Freestyle'!B34</f>
        <v>MSRF</v>
      </c>
      <c r="D1450" t="str">
        <f>'Male SR Individual Freestyle'!C34</f>
        <v>10-under</v>
      </c>
      <c r="E1450">
        <f>'Male SR Individual Freestyle'!D34</f>
        <v>0</v>
      </c>
      <c r="I1450" t="str">
        <f t="shared" si="46"/>
        <v>MSRF-Male Single Rope Freestyle</v>
      </c>
    </row>
    <row r="1451" spans="1:9" x14ac:dyDescent="0.25">
      <c r="A1451">
        <f>'Team Info'!$B$3</f>
        <v>0</v>
      </c>
      <c r="B1451">
        <f>'Male SR Individual Freestyle'!A35</f>
        <v>18</v>
      </c>
      <c r="C1451" t="str">
        <f>'Male SR Individual Freestyle'!B35</f>
        <v>MSRF</v>
      </c>
      <c r="D1451" t="str">
        <f>'Male SR Individual Freestyle'!C35</f>
        <v>10-under</v>
      </c>
      <c r="E1451">
        <f>'Male SR Individual Freestyle'!D35</f>
        <v>0</v>
      </c>
      <c r="I1451" t="str">
        <f t="shared" si="46"/>
        <v>MSRF-Male Single Rope Freestyle</v>
      </c>
    </row>
    <row r="1452" spans="1:9" x14ac:dyDescent="0.25">
      <c r="A1452">
        <f>'Team Info'!$B$3</f>
        <v>0</v>
      </c>
      <c r="B1452">
        <f>'Male SR Individual Freestyle'!A36</f>
        <v>19</v>
      </c>
      <c r="C1452" t="str">
        <f>'Male SR Individual Freestyle'!B36</f>
        <v>MSRF</v>
      </c>
      <c r="D1452" t="str">
        <f>'Male SR Individual Freestyle'!C36</f>
        <v>10-under</v>
      </c>
      <c r="E1452">
        <f>'Male SR Individual Freestyle'!D36</f>
        <v>0</v>
      </c>
      <c r="I1452" t="str">
        <f t="shared" si="46"/>
        <v>MSRF-Male Single Rope Freestyle</v>
      </c>
    </row>
    <row r="1453" spans="1:9" x14ac:dyDescent="0.25">
      <c r="A1453">
        <f>'Team Info'!$B$3</f>
        <v>0</v>
      </c>
      <c r="B1453">
        <f>'Male SR Individual Freestyle'!A37</f>
        <v>20</v>
      </c>
      <c r="C1453" t="str">
        <f>'Male SR Individual Freestyle'!B37</f>
        <v>MSRF</v>
      </c>
      <c r="D1453" t="str">
        <f>'Male SR Individual Freestyle'!C37</f>
        <v>10-under</v>
      </c>
      <c r="E1453">
        <f>'Male SR Individual Freestyle'!D37</f>
        <v>0</v>
      </c>
      <c r="I1453" t="str">
        <f t="shared" si="46"/>
        <v>MSRF-Male Single Rope Freestyle</v>
      </c>
    </row>
    <row r="1454" spans="1:9" x14ac:dyDescent="0.25">
      <c r="A1454">
        <f>'Team Info'!$B$3</f>
        <v>0</v>
      </c>
      <c r="B1454">
        <f>'Male SR Individual Freestyle'!H18</f>
        <v>1</v>
      </c>
      <c r="C1454" t="str">
        <f>'Male SR Individual Freestyle'!I18</f>
        <v>MSRF</v>
      </c>
      <c r="D1454" t="str">
        <f>'Male SR Individual Freestyle'!J18</f>
        <v>11-12</v>
      </c>
      <c r="E1454">
        <f>'Male SR Individual Freestyle'!K18</f>
        <v>0</v>
      </c>
      <c r="I1454" t="str">
        <f t="shared" si="46"/>
        <v>MSRF-Male Single Rope Freestyle</v>
      </c>
    </row>
    <row r="1455" spans="1:9" x14ac:dyDescent="0.25">
      <c r="A1455">
        <f>'Team Info'!$B$3</f>
        <v>0</v>
      </c>
      <c r="B1455">
        <f>'Male SR Individual Freestyle'!H19</f>
        <v>2</v>
      </c>
      <c r="C1455" t="str">
        <f>'Male SR Individual Freestyle'!I19</f>
        <v>MSRF</v>
      </c>
      <c r="D1455" t="str">
        <f>'Male SR Individual Freestyle'!J19</f>
        <v>11-12</v>
      </c>
      <c r="E1455">
        <f>'Male SR Individual Freestyle'!K19</f>
        <v>0</v>
      </c>
      <c r="I1455" t="str">
        <f t="shared" si="46"/>
        <v>MSRF-Male Single Rope Freestyle</v>
      </c>
    </row>
    <row r="1456" spans="1:9" x14ac:dyDescent="0.25">
      <c r="A1456">
        <f>'Team Info'!$B$3</f>
        <v>0</v>
      </c>
      <c r="B1456">
        <f>'Male SR Individual Freestyle'!H20</f>
        <v>3</v>
      </c>
      <c r="C1456" t="str">
        <f>'Male SR Individual Freestyle'!I20</f>
        <v>MSRF</v>
      </c>
      <c r="D1456" t="str">
        <f>'Male SR Individual Freestyle'!J20</f>
        <v>11-12</v>
      </c>
      <c r="E1456">
        <f>'Male SR Individual Freestyle'!K20</f>
        <v>0</v>
      </c>
      <c r="I1456" t="str">
        <f t="shared" si="46"/>
        <v>MSRF-Male Single Rope Freestyle</v>
      </c>
    </row>
    <row r="1457" spans="1:9" x14ac:dyDescent="0.25">
      <c r="A1457">
        <f>'Team Info'!$B$3</f>
        <v>0</v>
      </c>
      <c r="B1457">
        <f>'Male SR Individual Freestyle'!H21</f>
        <v>4</v>
      </c>
      <c r="C1457" t="str">
        <f>'Male SR Individual Freestyle'!I21</f>
        <v>MSRF</v>
      </c>
      <c r="D1457" t="str">
        <f>'Male SR Individual Freestyle'!J21</f>
        <v>11-12</v>
      </c>
      <c r="E1457">
        <f>'Male SR Individual Freestyle'!K21</f>
        <v>0</v>
      </c>
      <c r="I1457" t="str">
        <f t="shared" si="46"/>
        <v>MSRF-Male Single Rope Freestyle</v>
      </c>
    </row>
    <row r="1458" spans="1:9" x14ac:dyDescent="0.25">
      <c r="A1458">
        <f>'Team Info'!$B$3</f>
        <v>0</v>
      </c>
      <c r="B1458">
        <f>'Male SR Individual Freestyle'!H22</f>
        <v>5</v>
      </c>
      <c r="C1458" t="str">
        <f>'Male SR Individual Freestyle'!I22</f>
        <v>MSRF</v>
      </c>
      <c r="D1458" t="str">
        <f>'Male SR Individual Freestyle'!J22</f>
        <v>11-12</v>
      </c>
      <c r="E1458">
        <f>'Male SR Individual Freestyle'!K22</f>
        <v>0</v>
      </c>
      <c r="I1458" t="str">
        <f t="shared" si="46"/>
        <v>MSRF-Male Single Rope Freestyle</v>
      </c>
    </row>
    <row r="1459" spans="1:9" x14ac:dyDescent="0.25">
      <c r="A1459">
        <f>'Team Info'!$B$3</f>
        <v>0</v>
      </c>
      <c r="B1459">
        <f>'Male SR Individual Freestyle'!H23</f>
        <v>6</v>
      </c>
      <c r="C1459" t="str">
        <f>'Male SR Individual Freestyle'!I23</f>
        <v>MSRF</v>
      </c>
      <c r="D1459" t="str">
        <f>'Male SR Individual Freestyle'!J23</f>
        <v>11-12</v>
      </c>
      <c r="E1459">
        <f>'Male SR Individual Freestyle'!K23</f>
        <v>0</v>
      </c>
      <c r="I1459" t="str">
        <f t="shared" si="46"/>
        <v>MSRF-Male Single Rope Freestyle</v>
      </c>
    </row>
    <row r="1460" spans="1:9" x14ac:dyDescent="0.25">
      <c r="A1460">
        <f>'Team Info'!$B$3</f>
        <v>0</v>
      </c>
      <c r="B1460">
        <f>'Male SR Individual Freestyle'!H24</f>
        <v>7</v>
      </c>
      <c r="C1460" t="str">
        <f>'Male SR Individual Freestyle'!I24</f>
        <v>MSRF</v>
      </c>
      <c r="D1460" t="str">
        <f>'Male SR Individual Freestyle'!J24</f>
        <v>11-12</v>
      </c>
      <c r="E1460">
        <f>'Male SR Individual Freestyle'!K24</f>
        <v>0</v>
      </c>
      <c r="I1460" t="str">
        <f t="shared" si="46"/>
        <v>MSRF-Male Single Rope Freestyle</v>
      </c>
    </row>
    <row r="1461" spans="1:9" x14ac:dyDescent="0.25">
      <c r="A1461">
        <f>'Team Info'!$B$3</f>
        <v>0</v>
      </c>
      <c r="B1461">
        <f>'Male SR Individual Freestyle'!H25</f>
        <v>8</v>
      </c>
      <c r="C1461" t="str">
        <f>'Male SR Individual Freestyle'!I25</f>
        <v>MSRF</v>
      </c>
      <c r="D1461" t="str">
        <f>'Male SR Individual Freestyle'!J25</f>
        <v>11-12</v>
      </c>
      <c r="E1461">
        <f>'Male SR Individual Freestyle'!K25</f>
        <v>0</v>
      </c>
      <c r="I1461" t="str">
        <f t="shared" si="46"/>
        <v>MSRF-Male Single Rope Freestyle</v>
      </c>
    </row>
    <row r="1462" spans="1:9" x14ac:dyDescent="0.25">
      <c r="A1462">
        <f>'Team Info'!$B$3</f>
        <v>0</v>
      </c>
      <c r="B1462">
        <f>'Male SR Individual Freestyle'!H26</f>
        <v>9</v>
      </c>
      <c r="C1462" t="str">
        <f>'Male SR Individual Freestyle'!I26</f>
        <v>MSRF</v>
      </c>
      <c r="D1462" t="str">
        <f>'Male SR Individual Freestyle'!J26</f>
        <v>11-12</v>
      </c>
      <c r="E1462">
        <f>'Male SR Individual Freestyle'!K26</f>
        <v>0</v>
      </c>
      <c r="I1462" t="str">
        <f t="shared" si="46"/>
        <v>MSRF-Male Single Rope Freestyle</v>
      </c>
    </row>
    <row r="1463" spans="1:9" x14ac:dyDescent="0.25">
      <c r="A1463">
        <f>'Team Info'!$B$3</f>
        <v>0</v>
      </c>
      <c r="B1463">
        <f>'Male SR Individual Freestyle'!H27</f>
        <v>10</v>
      </c>
      <c r="C1463" t="str">
        <f>'Male SR Individual Freestyle'!I27</f>
        <v>MSRF</v>
      </c>
      <c r="D1463" t="str">
        <f>'Male SR Individual Freestyle'!J27</f>
        <v>11-12</v>
      </c>
      <c r="E1463">
        <f>'Male SR Individual Freestyle'!K27</f>
        <v>0</v>
      </c>
      <c r="I1463" t="str">
        <f t="shared" si="46"/>
        <v>MSRF-Male Single Rope Freestyle</v>
      </c>
    </row>
    <row r="1464" spans="1:9" x14ac:dyDescent="0.25">
      <c r="A1464">
        <f>'Team Info'!$B$3</f>
        <v>0</v>
      </c>
      <c r="B1464">
        <f>'Male SR Individual Freestyle'!H28</f>
        <v>11</v>
      </c>
      <c r="C1464" t="str">
        <f>'Male SR Individual Freestyle'!I28</f>
        <v>MSRF</v>
      </c>
      <c r="D1464" t="str">
        <f>'Male SR Individual Freestyle'!J28</f>
        <v>11-12</v>
      </c>
      <c r="E1464">
        <f>'Male SR Individual Freestyle'!K28</f>
        <v>0</v>
      </c>
      <c r="I1464" t="str">
        <f t="shared" si="46"/>
        <v>MSRF-Male Single Rope Freestyle</v>
      </c>
    </row>
    <row r="1465" spans="1:9" x14ac:dyDescent="0.25">
      <c r="A1465">
        <f>'Team Info'!$B$3</f>
        <v>0</v>
      </c>
      <c r="B1465">
        <f>'Male SR Individual Freestyle'!H29</f>
        <v>12</v>
      </c>
      <c r="C1465" t="str">
        <f>'Male SR Individual Freestyle'!I29</f>
        <v>MSRF</v>
      </c>
      <c r="D1465" t="str">
        <f>'Male SR Individual Freestyle'!J29</f>
        <v>11-12</v>
      </c>
      <c r="E1465">
        <f>'Male SR Individual Freestyle'!K29</f>
        <v>0</v>
      </c>
      <c r="I1465" t="str">
        <f t="shared" si="46"/>
        <v>MSRF-Male Single Rope Freestyle</v>
      </c>
    </row>
    <row r="1466" spans="1:9" x14ac:dyDescent="0.25">
      <c r="A1466">
        <f>'Team Info'!$B$3</f>
        <v>0</v>
      </c>
      <c r="B1466">
        <f>'Male SR Individual Freestyle'!H30</f>
        <v>13</v>
      </c>
      <c r="C1466" t="str">
        <f>'Male SR Individual Freestyle'!I30</f>
        <v>MSRF</v>
      </c>
      <c r="D1466" t="str">
        <f>'Male SR Individual Freestyle'!J30</f>
        <v>11-12</v>
      </c>
      <c r="E1466">
        <f>'Male SR Individual Freestyle'!K30</f>
        <v>0</v>
      </c>
      <c r="I1466" t="str">
        <f t="shared" si="46"/>
        <v>MSRF-Male Single Rope Freestyle</v>
      </c>
    </row>
    <row r="1467" spans="1:9" x14ac:dyDescent="0.25">
      <c r="A1467">
        <f>'Team Info'!$B$3</f>
        <v>0</v>
      </c>
      <c r="B1467">
        <f>'Male SR Individual Freestyle'!H31</f>
        <v>14</v>
      </c>
      <c r="C1467" t="str">
        <f>'Male SR Individual Freestyle'!I31</f>
        <v>MSRF</v>
      </c>
      <c r="D1467" t="str">
        <f>'Male SR Individual Freestyle'!J31</f>
        <v>11-12</v>
      </c>
      <c r="E1467">
        <f>'Male SR Individual Freestyle'!K31</f>
        <v>0</v>
      </c>
      <c r="I1467" t="str">
        <f t="shared" si="46"/>
        <v>MSRF-Male Single Rope Freestyle</v>
      </c>
    </row>
    <row r="1468" spans="1:9" x14ac:dyDescent="0.25">
      <c r="A1468">
        <f>'Team Info'!$B$3</f>
        <v>0</v>
      </c>
      <c r="B1468">
        <f>'Male SR Individual Freestyle'!H32</f>
        <v>15</v>
      </c>
      <c r="C1468" t="str">
        <f>'Male SR Individual Freestyle'!I32</f>
        <v>MSRF</v>
      </c>
      <c r="D1468" t="str">
        <f>'Male SR Individual Freestyle'!J32</f>
        <v>11-12</v>
      </c>
      <c r="E1468">
        <f>'Male SR Individual Freestyle'!K32</f>
        <v>0</v>
      </c>
      <c r="I1468" t="str">
        <f t="shared" si="46"/>
        <v>MSRF-Male Single Rope Freestyle</v>
      </c>
    </row>
    <row r="1469" spans="1:9" x14ac:dyDescent="0.25">
      <c r="A1469">
        <f>'Team Info'!$B$3</f>
        <v>0</v>
      </c>
      <c r="B1469">
        <f>'Male SR Individual Freestyle'!H33</f>
        <v>16</v>
      </c>
      <c r="C1469" t="str">
        <f>'Male SR Individual Freestyle'!I33</f>
        <v>MSRF</v>
      </c>
      <c r="D1469" t="str">
        <f>'Male SR Individual Freestyle'!J33</f>
        <v>11-12</v>
      </c>
      <c r="E1469">
        <f>'Male SR Individual Freestyle'!K33</f>
        <v>0</v>
      </c>
      <c r="I1469" t="str">
        <f t="shared" si="46"/>
        <v>MSRF-Male Single Rope Freestyle</v>
      </c>
    </row>
    <row r="1470" spans="1:9" x14ac:dyDescent="0.25">
      <c r="A1470">
        <f>'Team Info'!$B$3</f>
        <v>0</v>
      </c>
      <c r="B1470">
        <f>'Male SR Individual Freestyle'!H34</f>
        <v>17</v>
      </c>
      <c r="C1470" t="str">
        <f>'Male SR Individual Freestyle'!I34</f>
        <v>MSRF</v>
      </c>
      <c r="D1470" t="str">
        <f>'Male SR Individual Freestyle'!J34</f>
        <v>11-12</v>
      </c>
      <c r="E1470">
        <f>'Male SR Individual Freestyle'!K34</f>
        <v>0</v>
      </c>
      <c r="I1470" t="str">
        <f t="shared" si="46"/>
        <v>MSRF-Male Single Rope Freestyle</v>
      </c>
    </row>
    <row r="1471" spans="1:9" x14ac:dyDescent="0.25">
      <c r="A1471">
        <f>'Team Info'!$B$3</f>
        <v>0</v>
      </c>
      <c r="B1471">
        <f>'Male SR Individual Freestyle'!H35</f>
        <v>18</v>
      </c>
      <c r="C1471" t="str">
        <f>'Male SR Individual Freestyle'!I35</f>
        <v>MSRF</v>
      </c>
      <c r="D1471" t="str">
        <f>'Male SR Individual Freestyle'!J35</f>
        <v>11-12</v>
      </c>
      <c r="E1471">
        <f>'Male SR Individual Freestyle'!K35</f>
        <v>0</v>
      </c>
      <c r="I1471" t="str">
        <f t="shared" si="46"/>
        <v>MSRF-Male Single Rope Freestyle</v>
      </c>
    </row>
    <row r="1472" spans="1:9" x14ac:dyDescent="0.25">
      <c r="A1472">
        <f>'Team Info'!$B$3</f>
        <v>0</v>
      </c>
      <c r="B1472">
        <f>'Male SR Individual Freestyle'!H36</f>
        <v>19</v>
      </c>
      <c r="C1472" t="str">
        <f>'Male SR Individual Freestyle'!I36</f>
        <v>MSRF</v>
      </c>
      <c r="D1472" t="str">
        <f>'Male SR Individual Freestyle'!J36</f>
        <v>11-12</v>
      </c>
      <c r="E1472">
        <f>'Male SR Individual Freestyle'!K36</f>
        <v>0</v>
      </c>
      <c r="I1472" t="str">
        <f t="shared" si="46"/>
        <v>MSRF-Male Single Rope Freestyle</v>
      </c>
    </row>
    <row r="1473" spans="1:9" x14ac:dyDescent="0.25">
      <c r="A1473">
        <f>'Team Info'!$B$3</f>
        <v>0</v>
      </c>
      <c r="B1473">
        <f>'Male SR Individual Freestyle'!H37</f>
        <v>20</v>
      </c>
      <c r="C1473" t="str">
        <f>'Male SR Individual Freestyle'!I37</f>
        <v>MSRF</v>
      </c>
      <c r="D1473" t="str">
        <f>'Male SR Individual Freestyle'!J37</f>
        <v>11-12</v>
      </c>
      <c r="E1473">
        <f>'Male SR Individual Freestyle'!K37</f>
        <v>0</v>
      </c>
      <c r="I1473" t="str">
        <f t="shared" si="46"/>
        <v>MSRF-Male Single Rope Freestyle</v>
      </c>
    </row>
    <row r="1474" spans="1:9" x14ac:dyDescent="0.25">
      <c r="A1474">
        <f>'Team Info'!$B$3</f>
        <v>0</v>
      </c>
      <c r="B1474">
        <f>'Male SR Individual Freestyle'!A40</f>
        <v>1</v>
      </c>
      <c r="C1474" t="str">
        <f>'Male SR Individual Freestyle'!B40</f>
        <v>MSRF</v>
      </c>
      <c r="D1474" t="str">
        <f>'Male SR Individual Freestyle'!C40</f>
        <v>13-14</v>
      </c>
      <c r="E1474">
        <f>'Male SR Individual Freestyle'!D40</f>
        <v>0</v>
      </c>
      <c r="I1474" t="str">
        <f t="shared" si="46"/>
        <v>MSRF-Male Single Rope Freestyle</v>
      </c>
    </row>
    <row r="1475" spans="1:9" x14ac:dyDescent="0.25">
      <c r="A1475">
        <f>'Team Info'!$B$3</f>
        <v>0</v>
      </c>
      <c r="B1475">
        <f>'Male SR Individual Freestyle'!A41</f>
        <v>2</v>
      </c>
      <c r="C1475" t="str">
        <f>'Male SR Individual Freestyle'!B41</f>
        <v>MSRF</v>
      </c>
      <c r="D1475" t="str">
        <f>'Male SR Individual Freestyle'!C41</f>
        <v>13-14</v>
      </c>
      <c r="E1475">
        <f>'Male SR Individual Freestyle'!D41</f>
        <v>0</v>
      </c>
      <c r="I1475" t="str">
        <f t="shared" si="46"/>
        <v>MSRF-Male Single Rope Freestyle</v>
      </c>
    </row>
    <row r="1476" spans="1:9" x14ac:dyDescent="0.25">
      <c r="A1476">
        <f>'Team Info'!$B$3</f>
        <v>0</v>
      </c>
      <c r="B1476">
        <f>'Male SR Individual Freestyle'!A42</f>
        <v>3</v>
      </c>
      <c r="C1476" t="str">
        <f>'Male SR Individual Freestyle'!B42</f>
        <v>MSRF</v>
      </c>
      <c r="D1476" t="str">
        <f>'Male SR Individual Freestyle'!C42</f>
        <v>13-14</v>
      </c>
      <c r="E1476">
        <f>'Male SR Individual Freestyle'!D42</f>
        <v>0</v>
      </c>
      <c r="I1476" t="str">
        <f t="shared" si="46"/>
        <v>MSRF-Male Single Rope Freestyle</v>
      </c>
    </row>
    <row r="1477" spans="1:9" x14ac:dyDescent="0.25">
      <c r="A1477">
        <f>'Team Info'!$B$3</f>
        <v>0</v>
      </c>
      <c r="B1477">
        <f>'Male SR Individual Freestyle'!A43</f>
        <v>4</v>
      </c>
      <c r="C1477" t="str">
        <f>'Male SR Individual Freestyle'!B43</f>
        <v>MSRF</v>
      </c>
      <c r="D1477" t="str">
        <f>'Male SR Individual Freestyle'!C43</f>
        <v>13-14</v>
      </c>
      <c r="E1477">
        <f>'Male SR Individual Freestyle'!D43</f>
        <v>0</v>
      </c>
      <c r="I1477" t="str">
        <f t="shared" si="46"/>
        <v>MSRF-Male Single Rope Freestyle</v>
      </c>
    </row>
    <row r="1478" spans="1:9" x14ac:dyDescent="0.25">
      <c r="A1478">
        <f>'Team Info'!$B$3</f>
        <v>0</v>
      </c>
      <c r="B1478">
        <f>'Male SR Individual Freestyle'!A44</f>
        <v>5</v>
      </c>
      <c r="C1478" t="str">
        <f>'Male SR Individual Freestyle'!B44</f>
        <v>MSRF</v>
      </c>
      <c r="D1478" t="str">
        <f>'Male SR Individual Freestyle'!C44</f>
        <v>13-14</v>
      </c>
      <c r="E1478">
        <f>'Male SR Individual Freestyle'!D44</f>
        <v>0</v>
      </c>
      <c r="I1478" t="str">
        <f t="shared" si="46"/>
        <v>MSRF-Male Single Rope Freestyle</v>
      </c>
    </row>
    <row r="1479" spans="1:9" x14ac:dyDescent="0.25">
      <c r="A1479">
        <f>'Team Info'!$B$3</f>
        <v>0</v>
      </c>
      <c r="B1479">
        <f>'Male SR Individual Freestyle'!A45</f>
        <v>6</v>
      </c>
      <c r="C1479" t="str">
        <f>'Male SR Individual Freestyle'!B45</f>
        <v>MSRF</v>
      </c>
      <c r="D1479" t="str">
        <f>'Male SR Individual Freestyle'!C45</f>
        <v>13-14</v>
      </c>
      <c r="E1479">
        <f>'Male SR Individual Freestyle'!D45</f>
        <v>0</v>
      </c>
      <c r="I1479" t="str">
        <f t="shared" si="46"/>
        <v>MSRF-Male Single Rope Freestyle</v>
      </c>
    </row>
    <row r="1480" spans="1:9" x14ac:dyDescent="0.25">
      <c r="A1480">
        <f>'Team Info'!$B$3</f>
        <v>0</v>
      </c>
      <c r="B1480">
        <f>'Male SR Individual Freestyle'!A46</f>
        <v>7</v>
      </c>
      <c r="C1480" t="str">
        <f>'Male SR Individual Freestyle'!B46</f>
        <v>MSRF</v>
      </c>
      <c r="D1480" t="str">
        <f>'Male SR Individual Freestyle'!C46</f>
        <v>13-14</v>
      </c>
      <c r="E1480">
        <f>'Male SR Individual Freestyle'!D46</f>
        <v>0</v>
      </c>
      <c r="I1480" t="str">
        <f t="shared" si="46"/>
        <v>MSRF-Male Single Rope Freestyle</v>
      </c>
    </row>
    <row r="1481" spans="1:9" x14ac:dyDescent="0.25">
      <c r="A1481">
        <f>'Team Info'!$B$3</f>
        <v>0</v>
      </c>
      <c r="B1481">
        <f>'Male SR Individual Freestyle'!A47</f>
        <v>8</v>
      </c>
      <c r="C1481" t="str">
        <f>'Male SR Individual Freestyle'!B47</f>
        <v>MSRF</v>
      </c>
      <c r="D1481" t="str">
        <f>'Male SR Individual Freestyle'!C47</f>
        <v>13-14</v>
      </c>
      <c r="E1481">
        <f>'Male SR Individual Freestyle'!D47</f>
        <v>0</v>
      </c>
      <c r="I1481" t="str">
        <f t="shared" si="46"/>
        <v>MSRF-Male Single Rope Freestyle</v>
      </c>
    </row>
    <row r="1482" spans="1:9" x14ac:dyDescent="0.25">
      <c r="A1482">
        <f>'Team Info'!$B$3</f>
        <v>0</v>
      </c>
      <c r="B1482">
        <f>'Male SR Individual Freestyle'!A48</f>
        <v>9</v>
      </c>
      <c r="C1482" t="str">
        <f>'Male SR Individual Freestyle'!B48</f>
        <v>MSRF</v>
      </c>
      <c r="D1482" t="str">
        <f>'Male SR Individual Freestyle'!C48</f>
        <v>13-14</v>
      </c>
      <c r="E1482">
        <f>'Male SR Individual Freestyle'!D48</f>
        <v>0</v>
      </c>
      <c r="I1482" t="str">
        <f t="shared" si="46"/>
        <v>MSRF-Male Single Rope Freestyle</v>
      </c>
    </row>
    <row r="1483" spans="1:9" x14ac:dyDescent="0.25">
      <c r="A1483">
        <f>'Team Info'!$B$3</f>
        <v>0</v>
      </c>
      <c r="B1483">
        <f>'Male SR Individual Freestyle'!A49</f>
        <v>10</v>
      </c>
      <c r="C1483" t="str">
        <f>'Male SR Individual Freestyle'!B49</f>
        <v>MSRF</v>
      </c>
      <c r="D1483" t="str">
        <f>'Male SR Individual Freestyle'!C49</f>
        <v>13-14</v>
      </c>
      <c r="E1483">
        <f>'Male SR Individual Freestyle'!D49</f>
        <v>0</v>
      </c>
      <c r="I1483" t="str">
        <f t="shared" ref="I1483:I1548" si="49">VLOOKUP(C1483,EVENTS,2,FALSE)</f>
        <v>MSRF-Male Single Rope Freestyle</v>
      </c>
    </row>
    <row r="1484" spans="1:9" x14ac:dyDescent="0.25">
      <c r="A1484">
        <f>'Team Info'!$B$3</f>
        <v>0</v>
      </c>
      <c r="B1484">
        <f>'Male SR Individual Freestyle'!A50</f>
        <v>11</v>
      </c>
      <c r="C1484" t="str">
        <f>'Male SR Individual Freestyle'!B50</f>
        <v>MSRF</v>
      </c>
      <c r="D1484" t="str">
        <f>'Male SR Individual Freestyle'!C50</f>
        <v>13-14</v>
      </c>
      <c r="E1484">
        <f>'Male SR Individual Freestyle'!D50</f>
        <v>0</v>
      </c>
      <c r="I1484" t="str">
        <f t="shared" si="49"/>
        <v>MSRF-Male Single Rope Freestyle</v>
      </c>
    </row>
    <row r="1485" spans="1:9" x14ac:dyDescent="0.25">
      <c r="A1485">
        <f>'Team Info'!$B$3</f>
        <v>0</v>
      </c>
      <c r="B1485">
        <f>'Male SR Individual Freestyle'!A51</f>
        <v>12</v>
      </c>
      <c r="C1485" t="str">
        <f>'Male SR Individual Freestyle'!B51</f>
        <v>MSRF</v>
      </c>
      <c r="D1485" t="str">
        <f>'Male SR Individual Freestyle'!C51</f>
        <v>13-14</v>
      </c>
      <c r="E1485">
        <f>'Male SR Individual Freestyle'!D51</f>
        <v>0</v>
      </c>
      <c r="I1485" t="str">
        <f t="shared" si="49"/>
        <v>MSRF-Male Single Rope Freestyle</v>
      </c>
    </row>
    <row r="1486" spans="1:9" x14ac:dyDescent="0.25">
      <c r="A1486">
        <f>'Team Info'!$B$3</f>
        <v>0</v>
      </c>
      <c r="B1486">
        <f>'Male SR Individual Freestyle'!A52</f>
        <v>13</v>
      </c>
      <c r="C1486" t="str">
        <f>'Male SR Individual Freestyle'!B52</f>
        <v>MSRF</v>
      </c>
      <c r="D1486" t="str">
        <f>'Male SR Individual Freestyle'!C52</f>
        <v>13-14</v>
      </c>
      <c r="E1486">
        <f>'Male SR Individual Freestyle'!D52</f>
        <v>0</v>
      </c>
      <c r="I1486" t="str">
        <f t="shared" si="49"/>
        <v>MSRF-Male Single Rope Freestyle</v>
      </c>
    </row>
    <row r="1487" spans="1:9" x14ac:dyDescent="0.25">
      <c r="A1487">
        <f>'Team Info'!$B$3</f>
        <v>0</v>
      </c>
      <c r="B1487">
        <f>'Male SR Individual Freestyle'!A53</f>
        <v>14</v>
      </c>
      <c r="C1487" t="str">
        <f>'Male SR Individual Freestyle'!B53</f>
        <v>MSRF</v>
      </c>
      <c r="D1487" t="str">
        <f>'Male SR Individual Freestyle'!C53</f>
        <v>13-14</v>
      </c>
      <c r="E1487">
        <f>'Male SR Individual Freestyle'!D53</f>
        <v>0</v>
      </c>
      <c r="I1487" t="str">
        <f t="shared" si="49"/>
        <v>MSRF-Male Single Rope Freestyle</v>
      </c>
    </row>
    <row r="1488" spans="1:9" x14ac:dyDescent="0.25">
      <c r="A1488">
        <f>'Team Info'!$B$3</f>
        <v>0</v>
      </c>
      <c r="B1488">
        <f>'Male SR Individual Freestyle'!A54</f>
        <v>15</v>
      </c>
      <c r="C1488" t="str">
        <f>'Male SR Individual Freestyle'!B54</f>
        <v>MSRF</v>
      </c>
      <c r="D1488" t="str">
        <f>'Male SR Individual Freestyle'!C54</f>
        <v>13-14</v>
      </c>
      <c r="E1488">
        <f>'Male SR Individual Freestyle'!D54</f>
        <v>0</v>
      </c>
      <c r="I1488" t="str">
        <f t="shared" si="49"/>
        <v>MSRF-Male Single Rope Freestyle</v>
      </c>
    </row>
    <row r="1489" spans="1:9" x14ac:dyDescent="0.25">
      <c r="A1489">
        <f>'Team Info'!$B$3</f>
        <v>0</v>
      </c>
      <c r="B1489">
        <f>'Male SR Individual Freestyle'!A55</f>
        <v>16</v>
      </c>
      <c r="C1489" t="str">
        <f>'Male SR Individual Freestyle'!B55</f>
        <v>MSRF</v>
      </c>
      <c r="D1489" t="str">
        <f>'Male SR Individual Freestyle'!C55</f>
        <v>13-14</v>
      </c>
      <c r="E1489">
        <f>'Male SR Individual Freestyle'!D55</f>
        <v>0</v>
      </c>
      <c r="I1489" t="str">
        <f t="shared" si="49"/>
        <v>MSRF-Male Single Rope Freestyle</v>
      </c>
    </row>
    <row r="1490" spans="1:9" x14ac:dyDescent="0.25">
      <c r="A1490">
        <f>'Team Info'!$B$3</f>
        <v>0</v>
      </c>
      <c r="B1490">
        <f>'Male SR Individual Freestyle'!A56</f>
        <v>17</v>
      </c>
      <c r="C1490" t="str">
        <f>'Male SR Individual Freestyle'!B56</f>
        <v>MSRF</v>
      </c>
      <c r="D1490" t="str">
        <f>'Male SR Individual Freestyle'!C56</f>
        <v>13-14</v>
      </c>
      <c r="E1490">
        <f>'Male SR Individual Freestyle'!D56</f>
        <v>0</v>
      </c>
      <c r="I1490" t="str">
        <f t="shared" si="49"/>
        <v>MSRF-Male Single Rope Freestyle</v>
      </c>
    </row>
    <row r="1491" spans="1:9" x14ac:dyDescent="0.25">
      <c r="A1491">
        <f>'Team Info'!$B$3</f>
        <v>0</v>
      </c>
      <c r="B1491">
        <f>'Male SR Individual Freestyle'!A57</f>
        <v>18</v>
      </c>
      <c r="C1491" t="str">
        <f>'Male SR Individual Freestyle'!B57</f>
        <v>MSRF</v>
      </c>
      <c r="D1491" t="str">
        <f>'Male SR Individual Freestyle'!C57</f>
        <v>13-14</v>
      </c>
      <c r="E1491">
        <f>'Male SR Individual Freestyle'!D57</f>
        <v>0</v>
      </c>
      <c r="I1491" t="str">
        <f t="shared" si="49"/>
        <v>MSRF-Male Single Rope Freestyle</v>
      </c>
    </row>
    <row r="1492" spans="1:9" x14ac:dyDescent="0.25">
      <c r="A1492">
        <f>'Team Info'!$B$3</f>
        <v>0</v>
      </c>
      <c r="B1492">
        <f>'Male SR Individual Freestyle'!A58</f>
        <v>19</v>
      </c>
      <c r="C1492" t="str">
        <f>'Male SR Individual Freestyle'!B58</f>
        <v>MSRF</v>
      </c>
      <c r="D1492" t="str">
        <f>'Male SR Individual Freestyle'!C58</f>
        <v>13-14</v>
      </c>
      <c r="E1492">
        <f>'Male SR Individual Freestyle'!D58</f>
        <v>0</v>
      </c>
      <c r="I1492" t="str">
        <f t="shared" si="49"/>
        <v>MSRF-Male Single Rope Freestyle</v>
      </c>
    </row>
    <row r="1493" spans="1:9" x14ac:dyDescent="0.25">
      <c r="A1493">
        <f>'Team Info'!$B$3</f>
        <v>0</v>
      </c>
      <c r="B1493">
        <f>'Male SR Individual Freestyle'!A59</f>
        <v>20</v>
      </c>
      <c r="C1493" t="str">
        <f>'Male SR Individual Freestyle'!B59</f>
        <v>MSRF</v>
      </c>
      <c r="D1493" t="str">
        <f>'Male SR Individual Freestyle'!C59</f>
        <v>13-14</v>
      </c>
      <c r="E1493">
        <f>'Male SR Individual Freestyle'!D59</f>
        <v>0</v>
      </c>
      <c r="I1493" t="str">
        <f t="shared" si="49"/>
        <v>MSRF-Male Single Rope Freestyle</v>
      </c>
    </row>
    <row r="1494" spans="1:9" x14ac:dyDescent="0.25">
      <c r="A1494">
        <f>'Team Info'!$B$3</f>
        <v>0</v>
      </c>
      <c r="B1494">
        <f>'Male SR Individual Freestyle'!H40</f>
        <v>1</v>
      </c>
      <c r="C1494" t="str">
        <f>'Male SR Individual Freestyle'!I40</f>
        <v>MSRF</v>
      </c>
      <c r="D1494" t="str">
        <f>'Male SR Individual Freestyle'!J40</f>
        <v>15-16</v>
      </c>
      <c r="E1494">
        <f>'Male SR Individual Freestyle'!K40</f>
        <v>0</v>
      </c>
      <c r="I1494" t="str">
        <f t="shared" si="49"/>
        <v>MSRF-Male Single Rope Freestyle</v>
      </c>
    </row>
    <row r="1495" spans="1:9" x14ac:dyDescent="0.25">
      <c r="A1495">
        <f>'Team Info'!$B$3</f>
        <v>0</v>
      </c>
      <c r="B1495">
        <f>'Male SR Individual Freestyle'!H41</f>
        <v>2</v>
      </c>
      <c r="C1495" t="str">
        <f>'Male SR Individual Freestyle'!I41</f>
        <v>MSRF</v>
      </c>
      <c r="D1495" t="str">
        <f>'Male SR Individual Freestyle'!J41</f>
        <v>15-16</v>
      </c>
      <c r="E1495">
        <f>'Male SR Individual Freestyle'!K41</f>
        <v>0</v>
      </c>
      <c r="F1495" s="34"/>
      <c r="I1495" t="str">
        <f t="shared" si="49"/>
        <v>MSRF-Male Single Rope Freestyle</v>
      </c>
    </row>
    <row r="1496" spans="1:9" x14ac:dyDescent="0.25">
      <c r="A1496">
        <f>'Team Info'!$B$3</f>
        <v>0</v>
      </c>
      <c r="B1496">
        <f>'Male SR Individual Freestyle'!H42</f>
        <v>3</v>
      </c>
      <c r="C1496" t="str">
        <f>'Male SR Individual Freestyle'!I42</f>
        <v>MSRF</v>
      </c>
      <c r="D1496" t="str">
        <f>'Male SR Individual Freestyle'!J42</f>
        <v>15-16</v>
      </c>
      <c r="E1496">
        <f>'Male SR Individual Freestyle'!K42</f>
        <v>0</v>
      </c>
      <c r="F1496" s="34"/>
      <c r="I1496" t="str">
        <f t="shared" si="49"/>
        <v>MSRF-Male Single Rope Freestyle</v>
      </c>
    </row>
    <row r="1497" spans="1:9" x14ac:dyDescent="0.25">
      <c r="A1497">
        <f>'Team Info'!$B$3</f>
        <v>0</v>
      </c>
      <c r="B1497">
        <f>'Male SR Individual Freestyle'!H43</f>
        <v>4</v>
      </c>
      <c r="C1497" t="str">
        <f>'Male SR Individual Freestyle'!I43</f>
        <v>MSRF</v>
      </c>
      <c r="D1497" t="str">
        <f>'Male SR Individual Freestyle'!J43</f>
        <v>15-16</v>
      </c>
      <c r="E1497">
        <f>'Male SR Individual Freestyle'!K43</f>
        <v>0</v>
      </c>
      <c r="F1497" s="34"/>
      <c r="I1497" t="str">
        <f t="shared" si="49"/>
        <v>MSRF-Male Single Rope Freestyle</v>
      </c>
    </row>
    <row r="1498" spans="1:9" x14ac:dyDescent="0.25">
      <c r="A1498">
        <f>'Team Info'!$B$3</f>
        <v>0</v>
      </c>
      <c r="B1498">
        <f>'Male SR Individual Freestyle'!H44</f>
        <v>5</v>
      </c>
      <c r="C1498" t="str">
        <f>'Male SR Individual Freestyle'!I44</f>
        <v>MSRF</v>
      </c>
      <c r="D1498" t="str">
        <f>'Male SR Individual Freestyle'!J44</f>
        <v>15-16</v>
      </c>
      <c r="E1498">
        <f>'Male SR Individual Freestyle'!K44</f>
        <v>0</v>
      </c>
      <c r="F1498" s="34"/>
      <c r="I1498" t="str">
        <f t="shared" si="49"/>
        <v>MSRF-Male Single Rope Freestyle</v>
      </c>
    </row>
    <row r="1499" spans="1:9" x14ac:dyDescent="0.25">
      <c r="A1499">
        <f>'Team Info'!$B$3</f>
        <v>0</v>
      </c>
      <c r="B1499">
        <f>'Male SR Individual Freestyle'!H45</f>
        <v>6</v>
      </c>
      <c r="C1499" t="str">
        <f>'Male SR Individual Freestyle'!I45</f>
        <v>MSRF</v>
      </c>
      <c r="D1499" t="str">
        <f>'Male SR Individual Freestyle'!J45</f>
        <v>15-16</v>
      </c>
      <c r="E1499">
        <f>'Male SR Individual Freestyle'!K45</f>
        <v>0</v>
      </c>
      <c r="F1499" s="34"/>
      <c r="I1499" t="str">
        <f t="shared" si="49"/>
        <v>MSRF-Male Single Rope Freestyle</v>
      </c>
    </row>
    <row r="1500" spans="1:9" x14ac:dyDescent="0.25">
      <c r="A1500">
        <f>'Team Info'!$B$3</f>
        <v>0</v>
      </c>
      <c r="B1500">
        <f>'Male SR Individual Freestyle'!H46</f>
        <v>7</v>
      </c>
      <c r="C1500" t="str">
        <f>'Male SR Individual Freestyle'!I46</f>
        <v>MSRF</v>
      </c>
      <c r="D1500" t="str">
        <f>'Male SR Individual Freestyle'!J46</f>
        <v>15-16</v>
      </c>
      <c r="E1500">
        <f>'Male SR Individual Freestyle'!K46</f>
        <v>0</v>
      </c>
      <c r="F1500" s="34"/>
      <c r="I1500" t="str">
        <f t="shared" si="49"/>
        <v>MSRF-Male Single Rope Freestyle</v>
      </c>
    </row>
    <row r="1501" spans="1:9" x14ac:dyDescent="0.25">
      <c r="A1501">
        <f>'Team Info'!$B$3</f>
        <v>0</v>
      </c>
      <c r="B1501">
        <f>'Male SR Individual Freestyle'!H47</f>
        <v>8</v>
      </c>
      <c r="C1501" t="str">
        <f>'Male SR Individual Freestyle'!I47</f>
        <v>MSRF</v>
      </c>
      <c r="D1501" t="str">
        <f>'Male SR Individual Freestyle'!J47</f>
        <v>15-16</v>
      </c>
      <c r="E1501">
        <f>'Male SR Individual Freestyle'!K47</f>
        <v>0</v>
      </c>
      <c r="F1501" s="34"/>
      <c r="I1501" t="str">
        <f t="shared" si="49"/>
        <v>MSRF-Male Single Rope Freestyle</v>
      </c>
    </row>
    <row r="1502" spans="1:9" x14ac:dyDescent="0.25">
      <c r="A1502">
        <f>'Team Info'!$B$3</f>
        <v>0</v>
      </c>
      <c r="B1502">
        <f>'Male SR Individual Freestyle'!H48</f>
        <v>9</v>
      </c>
      <c r="C1502" t="str">
        <f>'Male SR Individual Freestyle'!I48</f>
        <v>MSRF</v>
      </c>
      <c r="D1502" t="str">
        <f>'Male SR Individual Freestyle'!J48</f>
        <v>15-16</v>
      </c>
      <c r="E1502">
        <f>'Male SR Individual Freestyle'!K48</f>
        <v>0</v>
      </c>
      <c r="F1502" s="34"/>
      <c r="I1502" t="str">
        <f t="shared" si="49"/>
        <v>MSRF-Male Single Rope Freestyle</v>
      </c>
    </row>
    <row r="1503" spans="1:9" x14ac:dyDescent="0.25">
      <c r="A1503">
        <f>'Team Info'!$B$3</f>
        <v>0</v>
      </c>
      <c r="B1503">
        <f>'Male SR Individual Freestyle'!H49</f>
        <v>10</v>
      </c>
      <c r="C1503" t="str">
        <f>'Male SR Individual Freestyle'!I49</f>
        <v>MSRF</v>
      </c>
      <c r="D1503" t="str">
        <f>'Male SR Individual Freestyle'!J49</f>
        <v>15-16</v>
      </c>
      <c r="E1503">
        <f>'Male SR Individual Freestyle'!K49</f>
        <v>0</v>
      </c>
      <c r="F1503" s="34"/>
      <c r="I1503" t="str">
        <f t="shared" si="49"/>
        <v>MSRF-Male Single Rope Freestyle</v>
      </c>
    </row>
    <row r="1504" spans="1:9" x14ac:dyDescent="0.25">
      <c r="A1504">
        <f>'Team Info'!$B$3</f>
        <v>0</v>
      </c>
      <c r="B1504">
        <f>'Male SR Individual Freestyle'!H50</f>
        <v>11</v>
      </c>
      <c r="C1504" t="str">
        <f>'Male SR Individual Freestyle'!I50</f>
        <v>MSRF</v>
      </c>
      <c r="D1504" t="str">
        <f>'Male SR Individual Freestyle'!J50</f>
        <v>15-16</v>
      </c>
      <c r="E1504">
        <f>'Male SR Individual Freestyle'!K50</f>
        <v>0</v>
      </c>
      <c r="F1504" s="34"/>
      <c r="I1504" t="str">
        <f t="shared" si="49"/>
        <v>MSRF-Male Single Rope Freestyle</v>
      </c>
    </row>
    <row r="1505" spans="1:9" x14ac:dyDescent="0.25">
      <c r="A1505">
        <f>'Team Info'!$B$3</f>
        <v>0</v>
      </c>
      <c r="B1505">
        <f>'Male SR Individual Freestyle'!H51</f>
        <v>12</v>
      </c>
      <c r="C1505" t="str">
        <f>'Male SR Individual Freestyle'!I51</f>
        <v>MSRF</v>
      </c>
      <c r="D1505" t="str">
        <f>'Male SR Individual Freestyle'!J51</f>
        <v>15-16</v>
      </c>
      <c r="E1505">
        <f>'Male SR Individual Freestyle'!K51</f>
        <v>0</v>
      </c>
      <c r="F1505" s="34"/>
      <c r="I1505" t="str">
        <f t="shared" si="49"/>
        <v>MSRF-Male Single Rope Freestyle</v>
      </c>
    </row>
    <row r="1506" spans="1:9" x14ac:dyDescent="0.25">
      <c r="A1506">
        <f>'Team Info'!$B$3</f>
        <v>0</v>
      </c>
      <c r="B1506">
        <f>'Male SR Individual Freestyle'!H52</f>
        <v>13</v>
      </c>
      <c r="C1506" t="str">
        <f>'Male SR Individual Freestyle'!I52</f>
        <v>MSRF</v>
      </c>
      <c r="D1506" t="str">
        <f>'Male SR Individual Freestyle'!J52</f>
        <v>15-16</v>
      </c>
      <c r="E1506">
        <f>'Male SR Individual Freestyle'!K52</f>
        <v>0</v>
      </c>
      <c r="F1506" s="34"/>
      <c r="I1506" t="str">
        <f t="shared" si="49"/>
        <v>MSRF-Male Single Rope Freestyle</v>
      </c>
    </row>
    <row r="1507" spans="1:9" x14ac:dyDescent="0.25">
      <c r="A1507">
        <f>'Team Info'!$B$3</f>
        <v>0</v>
      </c>
      <c r="B1507">
        <f>'Male SR Individual Freestyle'!H53</f>
        <v>14</v>
      </c>
      <c r="C1507" t="str">
        <f>'Male SR Individual Freestyle'!I53</f>
        <v>MSRF</v>
      </c>
      <c r="D1507" t="str">
        <f>'Male SR Individual Freestyle'!J53</f>
        <v>15-16</v>
      </c>
      <c r="E1507">
        <f>'Male SR Individual Freestyle'!K53</f>
        <v>0</v>
      </c>
      <c r="F1507" s="34"/>
      <c r="I1507" t="str">
        <f t="shared" si="49"/>
        <v>MSRF-Male Single Rope Freestyle</v>
      </c>
    </row>
    <row r="1508" spans="1:9" x14ac:dyDescent="0.25">
      <c r="A1508">
        <f>'Team Info'!$B$3</f>
        <v>0</v>
      </c>
      <c r="B1508">
        <f>'Male SR Individual Freestyle'!H54</f>
        <v>15</v>
      </c>
      <c r="C1508" t="str">
        <f>'Male SR Individual Freestyle'!I54</f>
        <v>MSRF</v>
      </c>
      <c r="D1508" t="str">
        <f>'Male SR Individual Freestyle'!J54</f>
        <v>15-16</v>
      </c>
      <c r="E1508">
        <f>'Male SR Individual Freestyle'!K54</f>
        <v>0</v>
      </c>
      <c r="F1508" s="34"/>
      <c r="I1508" t="str">
        <f t="shared" si="49"/>
        <v>MSRF-Male Single Rope Freestyle</v>
      </c>
    </row>
    <row r="1509" spans="1:9" x14ac:dyDescent="0.25">
      <c r="A1509">
        <f>'Team Info'!$B$3</f>
        <v>0</v>
      </c>
      <c r="B1509">
        <f>'Male SR Individual Freestyle'!H55</f>
        <v>16</v>
      </c>
      <c r="C1509" t="str">
        <f>'Male SR Individual Freestyle'!I55</f>
        <v>MSRF</v>
      </c>
      <c r="D1509" t="str">
        <f>'Male SR Individual Freestyle'!J55</f>
        <v>15-16</v>
      </c>
      <c r="E1509">
        <f>'Male SR Individual Freestyle'!K55</f>
        <v>0</v>
      </c>
      <c r="F1509" s="34"/>
      <c r="I1509" t="str">
        <f t="shared" si="49"/>
        <v>MSRF-Male Single Rope Freestyle</v>
      </c>
    </row>
    <row r="1510" spans="1:9" x14ac:dyDescent="0.25">
      <c r="A1510">
        <f>'Team Info'!$B$3</f>
        <v>0</v>
      </c>
      <c r="B1510">
        <f>'Male SR Individual Freestyle'!H56</f>
        <v>17</v>
      </c>
      <c r="C1510" t="str">
        <f>'Male SR Individual Freestyle'!I56</f>
        <v>MSRF</v>
      </c>
      <c r="D1510" t="str">
        <f>'Male SR Individual Freestyle'!J56</f>
        <v>15-16</v>
      </c>
      <c r="E1510">
        <f>'Male SR Individual Freestyle'!K56</f>
        <v>0</v>
      </c>
      <c r="F1510" s="34"/>
      <c r="I1510" t="str">
        <f t="shared" si="49"/>
        <v>MSRF-Male Single Rope Freestyle</v>
      </c>
    </row>
    <row r="1511" spans="1:9" x14ac:dyDescent="0.25">
      <c r="A1511">
        <f>'Team Info'!$B$3</f>
        <v>0</v>
      </c>
      <c r="B1511">
        <f>'Male SR Individual Freestyle'!H57</f>
        <v>18</v>
      </c>
      <c r="C1511" t="str">
        <f>'Male SR Individual Freestyle'!I57</f>
        <v>MSRF</v>
      </c>
      <c r="D1511" t="str">
        <f>'Male SR Individual Freestyle'!J57</f>
        <v>15-16</v>
      </c>
      <c r="E1511">
        <f>'Male SR Individual Freestyle'!K57</f>
        <v>0</v>
      </c>
      <c r="F1511" s="34"/>
      <c r="I1511" t="str">
        <f t="shared" si="49"/>
        <v>MSRF-Male Single Rope Freestyle</v>
      </c>
    </row>
    <row r="1512" spans="1:9" x14ac:dyDescent="0.25">
      <c r="A1512">
        <f>'Team Info'!$B$3</f>
        <v>0</v>
      </c>
      <c r="B1512">
        <f>'Male SR Individual Freestyle'!H58</f>
        <v>19</v>
      </c>
      <c r="C1512" t="str">
        <f>'Male SR Individual Freestyle'!I58</f>
        <v>MSRF</v>
      </c>
      <c r="D1512" t="str">
        <f>'Male SR Individual Freestyle'!J58</f>
        <v>15-16</v>
      </c>
      <c r="E1512">
        <f>'Male SR Individual Freestyle'!K58</f>
        <v>0</v>
      </c>
      <c r="F1512" s="34"/>
      <c r="I1512" t="str">
        <f t="shared" si="49"/>
        <v>MSRF-Male Single Rope Freestyle</v>
      </c>
    </row>
    <row r="1513" spans="1:9" x14ac:dyDescent="0.25">
      <c r="A1513">
        <f>'Team Info'!$B$3</f>
        <v>0</v>
      </c>
      <c r="B1513">
        <f>'Male SR Individual Freestyle'!H59</f>
        <v>20</v>
      </c>
      <c r="C1513" t="str">
        <f>'Male SR Individual Freestyle'!I59</f>
        <v>MSRF</v>
      </c>
      <c r="D1513" t="str">
        <f>'Male SR Individual Freestyle'!J59</f>
        <v>15-16</v>
      </c>
      <c r="E1513">
        <f>'Male SR Individual Freestyle'!K59</f>
        <v>0</v>
      </c>
      <c r="F1513" s="34"/>
      <c r="I1513" t="str">
        <f t="shared" si="49"/>
        <v>MSRF-Male Single Rope Freestyle</v>
      </c>
    </row>
    <row r="1514" spans="1:9" x14ac:dyDescent="0.25">
      <c r="A1514">
        <f>'Team Info'!$B$3</f>
        <v>0</v>
      </c>
      <c r="B1514">
        <f>'Male SR Individual Freestyle'!A62</f>
        <v>1</v>
      </c>
      <c r="C1514" t="str">
        <f>'Male SR Individual Freestyle'!B62</f>
        <v>MSRF</v>
      </c>
      <c r="D1514" t="str">
        <f>'Male SR Individual Freestyle'!C62</f>
        <v>17-18</v>
      </c>
      <c r="E1514">
        <f>'Male SR Individual Freestyle'!D62</f>
        <v>0</v>
      </c>
      <c r="I1514" t="str">
        <f t="shared" si="49"/>
        <v>MSRF-Male Single Rope Freestyle</v>
      </c>
    </row>
    <row r="1515" spans="1:9" x14ac:dyDescent="0.25">
      <c r="A1515">
        <f>'Team Info'!$B$3</f>
        <v>0</v>
      </c>
      <c r="B1515">
        <f>'Male SR Individual Freestyle'!A63</f>
        <v>2</v>
      </c>
      <c r="C1515" t="str">
        <f>'Male SR Individual Freestyle'!B63</f>
        <v>MSRF</v>
      </c>
      <c r="D1515" t="str">
        <f>'Male SR Individual Freestyle'!C63</f>
        <v>17-18</v>
      </c>
      <c r="E1515">
        <f>'Male SR Individual Freestyle'!D63</f>
        <v>0</v>
      </c>
      <c r="I1515" t="str">
        <f t="shared" si="49"/>
        <v>MSRF-Male Single Rope Freestyle</v>
      </c>
    </row>
    <row r="1516" spans="1:9" x14ac:dyDescent="0.25">
      <c r="A1516">
        <f>'Team Info'!$B$3</f>
        <v>0</v>
      </c>
      <c r="B1516">
        <f>'Male SR Individual Freestyle'!A64</f>
        <v>3</v>
      </c>
      <c r="C1516" t="str">
        <f>'Male SR Individual Freestyle'!B64</f>
        <v>MSRF</v>
      </c>
      <c r="D1516" t="str">
        <f>'Male SR Individual Freestyle'!C64</f>
        <v>17-18</v>
      </c>
      <c r="E1516">
        <f>'Male SR Individual Freestyle'!D64</f>
        <v>0</v>
      </c>
      <c r="I1516" t="str">
        <f t="shared" si="49"/>
        <v>MSRF-Male Single Rope Freestyle</v>
      </c>
    </row>
    <row r="1517" spans="1:9" x14ac:dyDescent="0.25">
      <c r="A1517">
        <f>'Team Info'!$B$3</f>
        <v>0</v>
      </c>
      <c r="B1517">
        <f>'Male SR Individual Freestyle'!A65</f>
        <v>4</v>
      </c>
      <c r="C1517" t="str">
        <f>'Male SR Individual Freestyle'!B65</f>
        <v>MSRF</v>
      </c>
      <c r="D1517" t="str">
        <f>'Male SR Individual Freestyle'!C65</f>
        <v>17-18</v>
      </c>
      <c r="E1517">
        <f>'Male SR Individual Freestyle'!D65</f>
        <v>0</v>
      </c>
      <c r="I1517" t="str">
        <f t="shared" si="49"/>
        <v>MSRF-Male Single Rope Freestyle</v>
      </c>
    </row>
    <row r="1518" spans="1:9" x14ac:dyDescent="0.25">
      <c r="A1518">
        <f>'Team Info'!$B$3</f>
        <v>0</v>
      </c>
      <c r="B1518">
        <f>'Male SR Individual Freestyle'!A66</f>
        <v>5</v>
      </c>
      <c r="C1518" t="str">
        <f>'Male SR Individual Freestyle'!B66</f>
        <v>MSRF</v>
      </c>
      <c r="D1518" t="str">
        <f>'Male SR Individual Freestyle'!C66</f>
        <v>17-18</v>
      </c>
      <c r="E1518">
        <f>'Male SR Individual Freestyle'!D66</f>
        <v>0</v>
      </c>
      <c r="I1518" t="str">
        <f t="shared" si="49"/>
        <v>MSRF-Male Single Rope Freestyle</v>
      </c>
    </row>
    <row r="1519" spans="1:9" x14ac:dyDescent="0.25">
      <c r="A1519">
        <f>'Team Info'!$B$3</f>
        <v>0</v>
      </c>
      <c r="B1519">
        <f>'Male SR Individual Freestyle'!A67</f>
        <v>6</v>
      </c>
      <c r="C1519" t="str">
        <f>'Male SR Individual Freestyle'!B67</f>
        <v>MSRF</v>
      </c>
      <c r="D1519" t="str">
        <f>'Male SR Individual Freestyle'!C67</f>
        <v>17-18</v>
      </c>
      <c r="E1519">
        <f>'Male SR Individual Freestyle'!D67</f>
        <v>0</v>
      </c>
      <c r="I1519" t="str">
        <f t="shared" si="49"/>
        <v>MSRF-Male Single Rope Freestyle</v>
      </c>
    </row>
    <row r="1520" spans="1:9" x14ac:dyDescent="0.25">
      <c r="A1520">
        <f>'Team Info'!$B$3</f>
        <v>0</v>
      </c>
      <c r="B1520">
        <f>'Male SR Individual Freestyle'!A68</f>
        <v>7</v>
      </c>
      <c r="C1520" t="str">
        <f>'Male SR Individual Freestyle'!B68</f>
        <v>MSRF</v>
      </c>
      <c r="D1520" t="str">
        <f>'Male SR Individual Freestyle'!C68</f>
        <v>17-18</v>
      </c>
      <c r="E1520">
        <f>'Male SR Individual Freestyle'!D68</f>
        <v>0</v>
      </c>
      <c r="I1520" t="str">
        <f t="shared" si="49"/>
        <v>MSRF-Male Single Rope Freestyle</v>
      </c>
    </row>
    <row r="1521" spans="1:9" x14ac:dyDescent="0.25">
      <c r="A1521">
        <f>'Team Info'!$B$3</f>
        <v>0</v>
      </c>
      <c r="B1521">
        <f>'Male SR Individual Freestyle'!A69</f>
        <v>8</v>
      </c>
      <c r="C1521" t="str">
        <f>'Male SR Individual Freestyle'!B69</f>
        <v>MSRF</v>
      </c>
      <c r="D1521" t="str">
        <f>'Male SR Individual Freestyle'!C69</f>
        <v>17-18</v>
      </c>
      <c r="E1521">
        <f>'Male SR Individual Freestyle'!D69</f>
        <v>0</v>
      </c>
      <c r="I1521" t="str">
        <f t="shared" ref="I1521:I1522" si="50">VLOOKUP(C1521,EVENTS,2,FALSE)</f>
        <v>MSRF-Male Single Rope Freestyle</v>
      </c>
    </row>
    <row r="1522" spans="1:9" x14ac:dyDescent="0.25">
      <c r="A1522">
        <f>'Team Info'!$B$3</f>
        <v>0</v>
      </c>
      <c r="B1522">
        <f>'Male SR Individual Freestyle'!A70</f>
        <v>9</v>
      </c>
      <c r="C1522" t="str">
        <f>'Male SR Individual Freestyle'!B70</f>
        <v>MSRF</v>
      </c>
      <c r="D1522" t="str">
        <f>'Male SR Individual Freestyle'!C70</f>
        <v>17-18</v>
      </c>
      <c r="E1522">
        <f>'Male SR Individual Freestyle'!D70</f>
        <v>0</v>
      </c>
      <c r="I1522" t="str">
        <f t="shared" si="50"/>
        <v>MSRF-Male Single Rope Freestyle</v>
      </c>
    </row>
    <row r="1523" spans="1:9" x14ac:dyDescent="0.25">
      <c r="A1523">
        <f>'Team Info'!$B$3</f>
        <v>0</v>
      </c>
      <c r="B1523">
        <f>'Male SR Individual Freestyle'!A71</f>
        <v>10</v>
      </c>
      <c r="C1523" t="str">
        <f>'Male SR Individual Freestyle'!B71</f>
        <v>MSRF</v>
      </c>
      <c r="D1523" t="str">
        <f>'Male SR Individual Freestyle'!C71</f>
        <v>17-18</v>
      </c>
      <c r="E1523">
        <f>'Male SR Individual Freestyle'!D71</f>
        <v>0</v>
      </c>
      <c r="I1523" t="str">
        <f t="shared" si="49"/>
        <v>MSRF-Male Single Rope Freestyle</v>
      </c>
    </row>
    <row r="1524" spans="1:9" x14ac:dyDescent="0.25">
      <c r="A1524">
        <f>'Team Info'!$B$3</f>
        <v>0</v>
      </c>
      <c r="B1524">
        <f>'Male SR Individual Freestyle'!H62</f>
        <v>1</v>
      </c>
      <c r="C1524" t="str">
        <f>'Male SR Individual Freestyle'!I62</f>
        <v>MSRF</v>
      </c>
      <c r="D1524" t="str">
        <f>'Male SR Individual Freestyle'!J62</f>
        <v>19-22</v>
      </c>
      <c r="E1524">
        <f>'Male SR Individual Freestyle'!K62</f>
        <v>0</v>
      </c>
      <c r="F1524" s="34"/>
      <c r="I1524" t="str">
        <f t="shared" si="49"/>
        <v>MSRF-Male Single Rope Freestyle</v>
      </c>
    </row>
    <row r="1525" spans="1:9" x14ac:dyDescent="0.25">
      <c r="A1525">
        <f>'Team Info'!$B$3</f>
        <v>0</v>
      </c>
      <c r="B1525">
        <f>'Male SR Individual Freestyle'!H63</f>
        <v>2</v>
      </c>
      <c r="C1525" t="str">
        <f>'Male SR Individual Freestyle'!I63</f>
        <v>MSRF</v>
      </c>
      <c r="D1525" t="str">
        <f>'Male SR Individual Freestyle'!J63</f>
        <v>19-22</v>
      </c>
      <c r="E1525">
        <f>'Male SR Individual Freestyle'!K63</f>
        <v>0</v>
      </c>
      <c r="F1525" s="34"/>
      <c r="I1525" t="str">
        <f t="shared" si="49"/>
        <v>MSRF-Male Single Rope Freestyle</v>
      </c>
    </row>
    <row r="1526" spans="1:9" x14ac:dyDescent="0.25">
      <c r="A1526">
        <f>'Team Info'!$B$3</f>
        <v>0</v>
      </c>
      <c r="B1526">
        <f>'Male SR Individual Freestyle'!H64</f>
        <v>3</v>
      </c>
      <c r="C1526" t="str">
        <f>'Male SR Individual Freestyle'!I64</f>
        <v>MSRF</v>
      </c>
      <c r="D1526" t="str">
        <f>'Male SR Individual Freestyle'!J64</f>
        <v>19-22</v>
      </c>
      <c r="E1526">
        <f>'Male SR Individual Freestyle'!K64</f>
        <v>0</v>
      </c>
      <c r="F1526" s="34"/>
      <c r="I1526" t="str">
        <f t="shared" si="49"/>
        <v>MSRF-Male Single Rope Freestyle</v>
      </c>
    </row>
    <row r="1527" spans="1:9" x14ac:dyDescent="0.25">
      <c r="A1527">
        <f>'Team Info'!$B$3</f>
        <v>0</v>
      </c>
      <c r="B1527">
        <f>'Male SR Individual Freestyle'!H65</f>
        <v>4</v>
      </c>
      <c r="C1527" t="str">
        <f>'Male SR Individual Freestyle'!I65</f>
        <v>MSRF</v>
      </c>
      <c r="D1527" t="str">
        <f>'Male SR Individual Freestyle'!J65</f>
        <v>19-22</v>
      </c>
      <c r="E1527">
        <f>'Male SR Individual Freestyle'!K65</f>
        <v>0</v>
      </c>
      <c r="F1527" s="34"/>
      <c r="I1527" t="str">
        <f t="shared" si="49"/>
        <v>MSRF-Male Single Rope Freestyle</v>
      </c>
    </row>
    <row r="1528" spans="1:9" x14ac:dyDescent="0.25">
      <c r="A1528">
        <f>'Team Info'!$B$3</f>
        <v>0</v>
      </c>
      <c r="B1528">
        <f>'Male SR Individual Freestyle'!H66</f>
        <v>5</v>
      </c>
      <c r="C1528" t="str">
        <f>'Male SR Individual Freestyle'!I66</f>
        <v>MSRF</v>
      </c>
      <c r="D1528" t="str">
        <f>'Male SR Individual Freestyle'!J66</f>
        <v>19-22</v>
      </c>
      <c r="E1528">
        <f>'Male SR Individual Freestyle'!K66</f>
        <v>0</v>
      </c>
      <c r="F1528" s="34"/>
      <c r="I1528" t="str">
        <f t="shared" si="49"/>
        <v>MSRF-Male Single Rope Freestyle</v>
      </c>
    </row>
    <row r="1529" spans="1:9" x14ac:dyDescent="0.25">
      <c r="A1529">
        <f>'Team Info'!$B$3</f>
        <v>0</v>
      </c>
      <c r="B1529">
        <f>'Male SR Individual Freestyle'!H67</f>
        <v>6</v>
      </c>
      <c r="C1529" t="str">
        <f>'Male SR Individual Freestyle'!I67</f>
        <v>MSRF</v>
      </c>
      <c r="D1529" t="str">
        <f>'Male SR Individual Freestyle'!J67</f>
        <v>19-22</v>
      </c>
      <c r="E1529">
        <f>'Male SR Individual Freestyle'!K67</f>
        <v>0</v>
      </c>
      <c r="F1529" s="34"/>
      <c r="I1529" t="str">
        <f t="shared" si="49"/>
        <v>MSRF-Male Single Rope Freestyle</v>
      </c>
    </row>
    <row r="1530" spans="1:9" x14ac:dyDescent="0.25">
      <c r="A1530">
        <f>'Team Info'!$B$3</f>
        <v>0</v>
      </c>
      <c r="B1530">
        <f>'Male SR Individual Freestyle'!H68</f>
        <v>7</v>
      </c>
      <c r="C1530" t="str">
        <f>'Male SR Individual Freestyle'!I68</f>
        <v>MSRF</v>
      </c>
      <c r="D1530" t="str">
        <f>'Male SR Individual Freestyle'!J68</f>
        <v>19-22</v>
      </c>
      <c r="E1530">
        <f>'Male SR Individual Freestyle'!K68</f>
        <v>0</v>
      </c>
      <c r="F1530" s="34"/>
      <c r="I1530" t="str">
        <f t="shared" si="49"/>
        <v>MSRF-Male Single Rope Freestyle</v>
      </c>
    </row>
    <row r="1531" spans="1:9" x14ac:dyDescent="0.25">
      <c r="A1531">
        <f>'Team Info'!$B$3</f>
        <v>0</v>
      </c>
      <c r="B1531">
        <f>'Male SR Individual Freestyle'!H69</f>
        <v>8</v>
      </c>
      <c r="C1531" t="str">
        <f>'Male SR Individual Freestyle'!I69</f>
        <v>MSRF</v>
      </c>
      <c r="D1531" t="str">
        <f>'Male SR Individual Freestyle'!J69</f>
        <v>19-22</v>
      </c>
      <c r="E1531">
        <f>'Male SR Individual Freestyle'!K69</f>
        <v>0</v>
      </c>
      <c r="F1531" s="34"/>
      <c r="I1531" t="str">
        <f t="shared" ref="I1531" si="51">VLOOKUP(C1531,EVENTS,2,FALSE)</f>
        <v>MSRF-Male Single Rope Freestyle</v>
      </c>
    </row>
    <row r="1532" spans="1:9" x14ac:dyDescent="0.25">
      <c r="A1532">
        <f>'Team Info'!$B$3</f>
        <v>0</v>
      </c>
      <c r="B1532">
        <f>'Male SR Individual Freestyle'!H70</f>
        <v>9</v>
      </c>
      <c r="C1532" t="str">
        <f>'Male SR Individual Freestyle'!I70</f>
        <v>MSRF</v>
      </c>
      <c r="D1532" t="str">
        <f>'Male SR Individual Freestyle'!J70</f>
        <v>19-22</v>
      </c>
      <c r="E1532">
        <f>'Male SR Individual Freestyle'!K70</f>
        <v>0</v>
      </c>
      <c r="F1532" s="34"/>
      <c r="I1532" t="str">
        <f t="shared" ref="I1532" si="52">VLOOKUP(C1532,EVENTS,2,FALSE)</f>
        <v>MSRF-Male Single Rope Freestyle</v>
      </c>
    </row>
    <row r="1533" spans="1:9" x14ac:dyDescent="0.25">
      <c r="A1533">
        <f>'Team Info'!$B$3</f>
        <v>0</v>
      </c>
      <c r="B1533">
        <f>'Male SR Individual Freestyle'!H71</f>
        <v>10</v>
      </c>
      <c r="C1533" t="str">
        <f>'Male SR Individual Freestyle'!I71</f>
        <v>MSRF</v>
      </c>
      <c r="D1533" t="str">
        <f>'Male SR Individual Freestyle'!J71</f>
        <v>19-22</v>
      </c>
      <c r="E1533">
        <f>'Male SR Individual Freestyle'!K71</f>
        <v>0</v>
      </c>
      <c r="F1533" s="34"/>
      <c r="I1533" t="str">
        <f t="shared" si="49"/>
        <v>MSRF-Male Single Rope Freestyle</v>
      </c>
    </row>
    <row r="1534" spans="1:9" x14ac:dyDescent="0.25">
      <c r="A1534">
        <f>'Team Info'!$B$3</f>
        <v>0</v>
      </c>
      <c r="B1534">
        <f>'Male SR Individual Freestyle'!A74</f>
        <v>1</v>
      </c>
      <c r="C1534" t="str">
        <f>'Male SR Individual Freestyle'!B74</f>
        <v>MSRF</v>
      </c>
      <c r="D1534" t="str">
        <f>'Male SR Individual Freestyle'!C74</f>
        <v>23-29</v>
      </c>
      <c r="E1534">
        <f>'Male SR Individual Freestyle'!D74</f>
        <v>0</v>
      </c>
      <c r="I1534" t="str">
        <f t="shared" ref="I1534" si="53">VLOOKUP(C1534,EVENTS,2,FALSE)</f>
        <v>MSRF-Male Single Rope Freestyle</v>
      </c>
    </row>
    <row r="1535" spans="1:9" x14ac:dyDescent="0.25">
      <c r="A1535">
        <f>'Team Info'!$B$3</f>
        <v>0</v>
      </c>
      <c r="B1535">
        <f>'Male SR Individual Freestyle'!A75</f>
        <v>2</v>
      </c>
      <c r="C1535" t="str">
        <f>'Male SR Individual Freestyle'!B75</f>
        <v>MSRF</v>
      </c>
      <c r="D1535" t="str">
        <f>'Male SR Individual Freestyle'!C75</f>
        <v>23-29</v>
      </c>
      <c r="E1535">
        <f>'Male SR Individual Freestyle'!D75</f>
        <v>0</v>
      </c>
      <c r="I1535" t="str">
        <f t="shared" ref="I1535:I1538" si="54">VLOOKUP(C1535,EVENTS,2,FALSE)</f>
        <v>MSRF-Male Single Rope Freestyle</v>
      </c>
    </row>
    <row r="1536" spans="1:9" x14ac:dyDescent="0.25">
      <c r="A1536">
        <f>'Team Info'!$B$3</f>
        <v>0</v>
      </c>
      <c r="B1536">
        <f>'Male SR Individual Freestyle'!A76</f>
        <v>3</v>
      </c>
      <c r="C1536" t="str">
        <f>'Male SR Individual Freestyle'!B76</f>
        <v>MSRF</v>
      </c>
      <c r="D1536" t="str">
        <f>'Male SR Individual Freestyle'!C76</f>
        <v>23-29</v>
      </c>
      <c r="E1536">
        <f>'Male SR Individual Freestyle'!D76</f>
        <v>0</v>
      </c>
      <c r="I1536" t="str">
        <f t="shared" si="54"/>
        <v>MSRF-Male Single Rope Freestyle</v>
      </c>
    </row>
    <row r="1537" spans="1:9" x14ac:dyDescent="0.25">
      <c r="A1537">
        <f>'Team Info'!$B$3</f>
        <v>0</v>
      </c>
      <c r="B1537">
        <f>'Male SR Individual Freestyle'!A77</f>
        <v>4</v>
      </c>
      <c r="C1537" t="str">
        <f>'Male SR Individual Freestyle'!B77</f>
        <v>MSRF</v>
      </c>
      <c r="D1537" t="str">
        <f>'Male SR Individual Freestyle'!C77</f>
        <v>23-29</v>
      </c>
      <c r="E1537">
        <f>'Male SR Individual Freestyle'!D77</f>
        <v>0</v>
      </c>
      <c r="I1537" t="str">
        <f t="shared" si="54"/>
        <v>MSRF-Male Single Rope Freestyle</v>
      </c>
    </row>
    <row r="1538" spans="1:9" x14ac:dyDescent="0.25">
      <c r="A1538">
        <f>'Team Info'!$B$3</f>
        <v>0</v>
      </c>
      <c r="B1538">
        <f>'Male SR Individual Freestyle'!A78</f>
        <v>5</v>
      </c>
      <c r="C1538" t="str">
        <f>'Male SR Individual Freestyle'!B78</f>
        <v>MSRF</v>
      </c>
      <c r="D1538" t="str">
        <f>'Male SR Individual Freestyle'!C78</f>
        <v>23-29</v>
      </c>
      <c r="E1538">
        <f>'Male SR Individual Freestyle'!D78</f>
        <v>0</v>
      </c>
      <c r="I1538" t="str">
        <f t="shared" si="54"/>
        <v>MSRF-Male Single Rope Freestyle</v>
      </c>
    </row>
    <row r="1539" spans="1:9" x14ac:dyDescent="0.25">
      <c r="A1539">
        <f>'Team Info'!$B$3</f>
        <v>0</v>
      </c>
      <c r="B1539">
        <f>'Male SR Individual Freestyle'!H74</f>
        <v>1</v>
      </c>
      <c r="C1539" t="str">
        <f>'Male SR Individual Freestyle'!I74</f>
        <v>MSRF</v>
      </c>
      <c r="D1539" t="str">
        <f>'Male SR Individual Freestyle'!J74</f>
        <v>30-49</v>
      </c>
      <c r="E1539">
        <f>'Male SR Individual Freestyle'!K74</f>
        <v>0</v>
      </c>
      <c r="I1539" t="str">
        <f t="shared" si="49"/>
        <v>MSRF-Male Single Rope Freestyle</v>
      </c>
    </row>
    <row r="1540" spans="1:9" x14ac:dyDescent="0.25">
      <c r="A1540">
        <f>'Team Info'!$B$3</f>
        <v>0</v>
      </c>
      <c r="B1540">
        <f>'Male SR Individual Freestyle'!H75</f>
        <v>2</v>
      </c>
      <c r="C1540" t="str">
        <f>'Male SR Individual Freestyle'!I75</f>
        <v>MSRF</v>
      </c>
      <c r="D1540" t="str">
        <f>'Male SR Individual Freestyle'!J75</f>
        <v>30-49</v>
      </c>
      <c r="E1540">
        <f>'Male SR Individual Freestyle'!K75</f>
        <v>0</v>
      </c>
      <c r="I1540" t="str">
        <f t="shared" si="49"/>
        <v>MSRF-Male Single Rope Freestyle</v>
      </c>
    </row>
    <row r="1541" spans="1:9" x14ac:dyDescent="0.25">
      <c r="A1541">
        <f>'Team Info'!$B$3</f>
        <v>0</v>
      </c>
      <c r="B1541">
        <f>'Male SR Individual Freestyle'!H76</f>
        <v>3</v>
      </c>
      <c r="C1541" t="str">
        <f>'Male SR Individual Freestyle'!I76</f>
        <v>MSRF</v>
      </c>
      <c r="D1541" t="str">
        <f>'Male SR Individual Freestyle'!J76</f>
        <v>30-49</v>
      </c>
      <c r="E1541">
        <f>'Male SR Individual Freestyle'!K76</f>
        <v>0</v>
      </c>
      <c r="I1541" t="str">
        <f t="shared" si="49"/>
        <v>MSRF-Male Single Rope Freestyle</v>
      </c>
    </row>
    <row r="1542" spans="1:9" x14ac:dyDescent="0.25">
      <c r="A1542">
        <f>'Team Info'!$B$3</f>
        <v>0</v>
      </c>
      <c r="B1542">
        <f>'Male SR Individual Freestyle'!H77</f>
        <v>4</v>
      </c>
      <c r="C1542" t="str">
        <f>'Male SR Individual Freestyle'!I77</f>
        <v>MSRF</v>
      </c>
      <c r="D1542" t="str">
        <f>'Male SR Individual Freestyle'!J77</f>
        <v>30-49</v>
      </c>
      <c r="E1542">
        <f>'Male SR Individual Freestyle'!K77</f>
        <v>0</v>
      </c>
      <c r="I1542" t="str">
        <f t="shared" si="49"/>
        <v>MSRF-Male Single Rope Freestyle</v>
      </c>
    </row>
    <row r="1543" spans="1:9" x14ac:dyDescent="0.25">
      <c r="A1543">
        <f>'Team Info'!$B$3</f>
        <v>0</v>
      </c>
      <c r="B1543">
        <f>'Male SR Individual Freestyle'!H78</f>
        <v>5</v>
      </c>
      <c r="C1543" t="str">
        <f>'Male SR Individual Freestyle'!I78</f>
        <v>MSRF</v>
      </c>
      <c r="D1543" t="str">
        <f>'Male SR Individual Freestyle'!J78</f>
        <v>30-49</v>
      </c>
      <c r="E1543">
        <f>'Male SR Individual Freestyle'!K78</f>
        <v>0</v>
      </c>
      <c r="I1543" t="str">
        <f t="shared" si="49"/>
        <v>MSRF-Male Single Rope Freestyle</v>
      </c>
    </row>
    <row r="1544" spans="1:9" x14ac:dyDescent="0.25">
      <c r="A1544">
        <f>'Team Info'!$B$3</f>
        <v>0</v>
      </c>
      <c r="B1544">
        <f>'Male SR Individual Freestyle'!A81</f>
        <v>1</v>
      </c>
      <c r="C1544" t="str">
        <f>'Male SR Individual Freestyle'!B81</f>
        <v>MSRF</v>
      </c>
      <c r="D1544" t="str">
        <f>'Male SR Individual Freestyle'!C81</f>
        <v>50-Over</v>
      </c>
      <c r="E1544">
        <f>'Male SR Individual Freestyle'!D81</f>
        <v>0</v>
      </c>
      <c r="F1544" s="34"/>
      <c r="I1544" t="str">
        <f t="shared" si="49"/>
        <v>MSRF-Male Single Rope Freestyle</v>
      </c>
    </row>
    <row r="1545" spans="1:9" x14ac:dyDescent="0.25">
      <c r="A1545">
        <f>'Team Info'!$B$3</f>
        <v>0</v>
      </c>
      <c r="B1545">
        <f>'Male SR Individual Freestyle'!A82</f>
        <v>2</v>
      </c>
      <c r="C1545" t="str">
        <f>'Male SR Individual Freestyle'!B82</f>
        <v>MSRF</v>
      </c>
      <c r="D1545" t="str">
        <f>'Male SR Individual Freestyle'!C82</f>
        <v>50-Over</v>
      </c>
      <c r="E1545">
        <f>'Male SR Individual Freestyle'!D82</f>
        <v>0</v>
      </c>
      <c r="F1545" s="34"/>
      <c r="I1545" t="str">
        <f t="shared" si="49"/>
        <v>MSRF-Male Single Rope Freestyle</v>
      </c>
    </row>
    <row r="1546" spans="1:9" x14ac:dyDescent="0.25">
      <c r="A1546">
        <f>'Team Info'!$B$3</f>
        <v>0</v>
      </c>
      <c r="B1546">
        <f>'Male SR Individual Freestyle'!A83</f>
        <v>3</v>
      </c>
      <c r="C1546" t="str">
        <f>'Male SR Individual Freestyle'!B83</f>
        <v>MSRF</v>
      </c>
      <c r="D1546" t="str">
        <f>'Male SR Individual Freestyle'!C83</f>
        <v>50-Over</v>
      </c>
      <c r="E1546">
        <f>'Male SR Individual Freestyle'!D83</f>
        <v>0</v>
      </c>
      <c r="F1546" s="34"/>
      <c r="I1546" t="str">
        <f t="shared" si="49"/>
        <v>MSRF-Male Single Rope Freestyle</v>
      </c>
    </row>
    <row r="1547" spans="1:9" x14ac:dyDescent="0.25">
      <c r="A1547">
        <f>'Team Info'!$B$3</f>
        <v>0</v>
      </c>
      <c r="B1547">
        <f>'Male SR Individual Freestyle'!A84</f>
        <v>4</v>
      </c>
      <c r="C1547" t="str">
        <f>'Male SR Individual Freestyle'!B84</f>
        <v>MSRF</v>
      </c>
      <c r="D1547" t="str">
        <f>'Male SR Individual Freestyle'!C84</f>
        <v>50-Over</v>
      </c>
      <c r="E1547">
        <f>'Male SR Individual Freestyle'!D84</f>
        <v>0</v>
      </c>
      <c r="F1547" s="34"/>
      <c r="I1547" t="str">
        <f t="shared" si="49"/>
        <v>MSRF-Male Single Rope Freestyle</v>
      </c>
    </row>
    <row r="1548" spans="1:9" x14ac:dyDescent="0.25">
      <c r="A1548">
        <f>'Team Info'!$B$3</f>
        <v>0</v>
      </c>
      <c r="B1548">
        <f>'Male SR Individual Freestyle'!A85</f>
        <v>5</v>
      </c>
      <c r="C1548" t="str">
        <f>'Male SR Individual Freestyle'!B85</f>
        <v>MSRF</v>
      </c>
      <c r="D1548" t="str">
        <f>'Male SR Individual Freestyle'!C85</f>
        <v>50-Over</v>
      </c>
      <c r="E1548">
        <f>'Male SR Individual Freestyle'!D85</f>
        <v>0</v>
      </c>
      <c r="F1548" s="34"/>
      <c r="I1548" t="str">
        <f t="shared" si="49"/>
        <v>MSRF-Male Single Rope Freestyle</v>
      </c>
    </row>
    <row r="1549" spans="1:9" x14ac:dyDescent="0.25">
      <c r="A1549">
        <f>'Team Info'!$B$3</f>
        <v>0</v>
      </c>
      <c r="B1549">
        <f>'Male SR Individual Speed'!A5</f>
        <v>1</v>
      </c>
      <c r="C1549" t="str">
        <f>'Male SR Individual Speed'!B5</f>
        <v>MSRS</v>
      </c>
      <c r="D1549" t="str">
        <f>'Male SR Individual Speed'!C5</f>
        <v>8-under</v>
      </c>
      <c r="E1549">
        <f>'Male SR Individual Speed'!D5</f>
        <v>0</v>
      </c>
      <c r="I1549" t="str">
        <f t="shared" ref="I1549:I1558" si="55">VLOOKUP(C1549,EVENTS,2,FALSE)</f>
        <v>MSRS-Male Single Rope Speed</v>
      </c>
    </row>
    <row r="1550" spans="1:9" x14ac:dyDescent="0.25">
      <c r="A1550">
        <f>'Team Info'!$B$3</f>
        <v>0</v>
      </c>
      <c r="B1550">
        <f>'Male SR Individual Speed'!A6</f>
        <v>2</v>
      </c>
      <c r="C1550" t="str">
        <f>'Male SR Individual Speed'!B6</f>
        <v>MSRS</v>
      </c>
      <c r="D1550" t="str">
        <f>'Male SR Individual Speed'!C6</f>
        <v>8-under</v>
      </c>
      <c r="E1550">
        <f>'Male SR Individual Speed'!D6</f>
        <v>0</v>
      </c>
      <c r="I1550" t="str">
        <f t="shared" si="55"/>
        <v>MSRS-Male Single Rope Speed</v>
      </c>
    </row>
    <row r="1551" spans="1:9" x14ac:dyDescent="0.25">
      <c r="A1551">
        <f>'Team Info'!$B$3</f>
        <v>0</v>
      </c>
      <c r="B1551">
        <f>'Male SR Individual Speed'!A7</f>
        <v>3</v>
      </c>
      <c r="C1551" t="str">
        <f>'Male SR Individual Speed'!B7</f>
        <v>MSRS</v>
      </c>
      <c r="D1551" t="str">
        <f>'Male SR Individual Speed'!C7</f>
        <v>8-under</v>
      </c>
      <c r="E1551">
        <f>'Male SR Individual Speed'!D7</f>
        <v>0</v>
      </c>
      <c r="I1551" t="str">
        <f t="shared" si="55"/>
        <v>MSRS-Male Single Rope Speed</v>
      </c>
    </row>
    <row r="1552" spans="1:9" x14ac:dyDescent="0.25">
      <c r="A1552">
        <f>'Team Info'!$B$3</f>
        <v>0</v>
      </c>
      <c r="B1552">
        <f>'Male SR Individual Speed'!A8</f>
        <v>4</v>
      </c>
      <c r="C1552" t="str">
        <f>'Male SR Individual Speed'!B8</f>
        <v>MSRS</v>
      </c>
      <c r="D1552" t="str">
        <f>'Male SR Individual Speed'!C8</f>
        <v>8-under</v>
      </c>
      <c r="E1552">
        <f>'Male SR Individual Speed'!D8</f>
        <v>0</v>
      </c>
      <c r="I1552" t="str">
        <f t="shared" si="55"/>
        <v>MSRS-Male Single Rope Speed</v>
      </c>
    </row>
    <row r="1553" spans="1:9" x14ac:dyDescent="0.25">
      <c r="A1553">
        <f>'Team Info'!$B$3</f>
        <v>0</v>
      </c>
      <c r="B1553">
        <f>'Male SR Individual Speed'!A9</f>
        <v>5</v>
      </c>
      <c r="C1553" t="str">
        <f>'Male SR Individual Speed'!B9</f>
        <v>MSRS</v>
      </c>
      <c r="D1553" t="str">
        <f>'Male SR Individual Speed'!C9</f>
        <v>8-under</v>
      </c>
      <c r="E1553">
        <f>'Male SR Individual Speed'!D9</f>
        <v>0</v>
      </c>
      <c r="I1553" t="str">
        <f t="shared" si="55"/>
        <v>MSRS-Male Single Rope Speed</v>
      </c>
    </row>
    <row r="1554" spans="1:9" x14ac:dyDescent="0.25">
      <c r="A1554">
        <f>'Team Info'!$B$3</f>
        <v>0</v>
      </c>
      <c r="B1554">
        <f>'Male SR Individual Speed'!A10</f>
        <v>6</v>
      </c>
      <c r="C1554" t="str">
        <f>'Male SR Individual Speed'!B10</f>
        <v>MSRS</v>
      </c>
      <c r="D1554" t="str">
        <f>'Male SR Individual Speed'!C10</f>
        <v>8-under</v>
      </c>
      <c r="E1554">
        <f>'Male SR Individual Speed'!D10</f>
        <v>0</v>
      </c>
      <c r="I1554" t="str">
        <f t="shared" si="55"/>
        <v>MSRS-Male Single Rope Speed</v>
      </c>
    </row>
    <row r="1555" spans="1:9" x14ac:dyDescent="0.25">
      <c r="A1555">
        <f>'Team Info'!$B$3</f>
        <v>0</v>
      </c>
      <c r="B1555">
        <f>'Male SR Individual Speed'!A11</f>
        <v>7</v>
      </c>
      <c r="C1555" t="str">
        <f>'Male SR Individual Speed'!B11</f>
        <v>MSRS</v>
      </c>
      <c r="D1555" t="str">
        <f>'Male SR Individual Speed'!C11</f>
        <v>8-under</v>
      </c>
      <c r="E1555">
        <f>'Male SR Individual Speed'!D11</f>
        <v>0</v>
      </c>
      <c r="I1555" t="str">
        <f t="shared" si="55"/>
        <v>MSRS-Male Single Rope Speed</v>
      </c>
    </row>
    <row r="1556" spans="1:9" x14ac:dyDescent="0.25">
      <c r="A1556">
        <f>'Team Info'!$B$3</f>
        <v>0</v>
      </c>
      <c r="B1556">
        <f>'Male SR Individual Speed'!A12</f>
        <v>8</v>
      </c>
      <c r="C1556" t="str">
        <f>'Male SR Individual Speed'!B12</f>
        <v>MSRS</v>
      </c>
      <c r="D1556" t="str">
        <f>'Male SR Individual Speed'!C12</f>
        <v>8-under</v>
      </c>
      <c r="E1556">
        <f>'Male SR Individual Speed'!D12</f>
        <v>0</v>
      </c>
      <c r="I1556" t="str">
        <f t="shared" si="55"/>
        <v>MSRS-Male Single Rope Speed</v>
      </c>
    </row>
    <row r="1557" spans="1:9" x14ac:dyDescent="0.25">
      <c r="A1557">
        <f>'Team Info'!$B$3</f>
        <v>0</v>
      </c>
      <c r="B1557">
        <f>'Male SR Individual Speed'!A13</f>
        <v>9</v>
      </c>
      <c r="C1557" t="str">
        <f>'Male SR Individual Speed'!B13</f>
        <v>MSRS</v>
      </c>
      <c r="D1557" t="str">
        <f>'Male SR Individual Speed'!C13</f>
        <v>8-under</v>
      </c>
      <c r="E1557">
        <f>'Male SR Individual Speed'!D13</f>
        <v>0</v>
      </c>
      <c r="I1557" t="str">
        <f t="shared" si="55"/>
        <v>MSRS-Male Single Rope Speed</v>
      </c>
    </row>
    <row r="1558" spans="1:9" ht="14.25" customHeight="1" x14ac:dyDescent="0.25">
      <c r="A1558">
        <f>'Team Info'!$B$3</f>
        <v>0</v>
      </c>
      <c r="B1558">
        <f>'Male SR Individual Speed'!A14</f>
        <v>10</v>
      </c>
      <c r="C1558" t="str">
        <f>'Male SR Individual Speed'!B14</f>
        <v>MSRS</v>
      </c>
      <c r="D1558" t="str">
        <f>'Male SR Individual Speed'!C14</f>
        <v>8-under</v>
      </c>
      <c r="E1558">
        <f>'Male SR Individual Speed'!D14</f>
        <v>0</v>
      </c>
      <c r="I1558" t="str">
        <f t="shared" si="55"/>
        <v>MSRS-Male Single Rope Speed</v>
      </c>
    </row>
    <row r="1559" spans="1:9" x14ac:dyDescent="0.25">
      <c r="A1559">
        <f>'Team Info'!$B$3</f>
        <v>0</v>
      </c>
      <c r="B1559">
        <f>'Male SR Individual Speed'!A17</f>
        <v>1</v>
      </c>
      <c r="C1559" t="str">
        <f>'Male SR Individual Speed'!B17</f>
        <v>MSRS</v>
      </c>
      <c r="D1559" t="str">
        <f>'Male SR Individual Speed'!C17</f>
        <v>10-under</v>
      </c>
      <c r="E1559">
        <f>'Male SR Individual Speed'!D17</f>
        <v>0</v>
      </c>
      <c r="I1559" t="str">
        <f t="shared" ref="I1559:I1619" si="56">VLOOKUP(C1559,EVENTS,2,FALSE)</f>
        <v>MSRS-Male Single Rope Speed</v>
      </c>
    </row>
    <row r="1560" spans="1:9" x14ac:dyDescent="0.25">
      <c r="A1560">
        <f>'Team Info'!$B$3</f>
        <v>0</v>
      </c>
      <c r="B1560">
        <f>'Male SR Individual Speed'!A18</f>
        <v>2</v>
      </c>
      <c r="C1560" t="str">
        <f>'Male SR Individual Speed'!B18</f>
        <v>MSRS</v>
      </c>
      <c r="D1560" t="str">
        <f>'Male SR Individual Speed'!C18</f>
        <v>10-under</v>
      </c>
      <c r="E1560">
        <f>'Male SR Individual Speed'!D18</f>
        <v>0</v>
      </c>
      <c r="I1560" t="str">
        <f t="shared" si="56"/>
        <v>MSRS-Male Single Rope Speed</v>
      </c>
    </row>
    <row r="1561" spans="1:9" x14ac:dyDescent="0.25">
      <c r="A1561">
        <f>'Team Info'!$B$3</f>
        <v>0</v>
      </c>
      <c r="B1561">
        <f>'Male SR Individual Speed'!A19</f>
        <v>3</v>
      </c>
      <c r="C1561" t="str">
        <f>'Male SR Individual Speed'!B19</f>
        <v>MSRS</v>
      </c>
      <c r="D1561" t="str">
        <f>'Male SR Individual Speed'!C19</f>
        <v>10-under</v>
      </c>
      <c r="E1561">
        <f>'Male SR Individual Speed'!D19</f>
        <v>0</v>
      </c>
      <c r="I1561" t="str">
        <f t="shared" si="56"/>
        <v>MSRS-Male Single Rope Speed</v>
      </c>
    </row>
    <row r="1562" spans="1:9" x14ac:dyDescent="0.25">
      <c r="A1562">
        <f>'Team Info'!$B$3</f>
        <v>0</v>
      </c>
      <c r="B1562">
        <f>'Male SR Individual Speed'!A20</f>
        <v>4</v>
      </c>
      <c r="C1562" t="str">
        <f>'Male SR Individual Speed'!B20</f>
        <v>MSRS</v>
      </c>
      <c r="D1562" t="str">
        <f>'Male SR Individual Speed'!C20</f>
        <v>10-under</v>
      </c>
      <c r="E1562">
        <f>'Male SR Individual Speed'!D20</f>
        <v>0</v>
      </c>
      <c r="I1562" t="str">
        <f t="shared" si="56"/>
        <v>MSRS-Male Single Rope Speed</v>
      </c>
    </row>
    <row r="1563" spans="1:9" x14ac:dyDescent="0.25">
      <c r="A1563">
        <f>'Team Info'!$B$3</f>
        <v>0</v>
      </c>
      <c r="B1563">
        <f>'Male SR Individual Speed'!A21</f>
        <v>5</v>
      </c>
      <c r="C1563" t="str">
        <f>'Male SR Individual Speed'!B21</f>
        <v>MSRS</v>
      </c>
      <c r="D1563" t="str">
        <f>'Male SR Individual Speed'!C21</f>
        <v>10-under</v>
      </c>
      <c r="E1563">
        <f>'Male SR Individual Speed'!D21</f>
        <v>0</v>
      </c>
      <c r="I1563" t="str">
        <f t="shared" si="56"/>
        <v>MSRS-Male Single Rope Speed</v>
      </c>
    </row>
    <row r="1564" spans="1:9" x14ac:dyDescent="0.25">
      <c r="A1564">
        <f>'Team Info'!$B$3</f>
        <v>0</v>
      </c>
      <c r="B1564">
        <f>'Male SR Individual Speed'!A22</f>
        <v>6</v>
      </c>
      <c r="C1564" t="str">
        <f>'Male SR Individual Speed'!B22</f>
        <v>MSRS</v>
      </c>
      <c r="D1564" t="str">
        <f>'Male SR Individual Speed'!C22</f>
        <v>10-under</v>
      </c>
      <c r="E1564">
        <f>'Male SR Individual Speed'!D22</f>
        <v>0</v>
      </c>
      <c r="I1564" t="str">
        <f t="shared" si="56"/>
        <v>MSRS-Male Single Rope Speed</v>
      </c>
    </row>
    <row r="1565" spans="1:9" x14ac:dyDescent="0.25">
      <c r="A1565">
        <f>'Team Info'!$B$3</f>
        <v>0</v>
      </c>
      <c r="B1565">
        <f>'Male SR Individual Speed'!A23</f>
        <v>7</v>
      </c>
      <c r="C1565" t="str">
        <f>'Male SR Individual Speed'!B23</f>
        <v>MSRS</v>
      </c>
      <c r="D1565" t="str">
        <f>'Male SR Individual Speed'!C23</f>
        <v>10-under</v>
      </c>
      <c r="E1565">
        <f>'Male SR Individual Speed'!D23</f>
        <v>0</v>
      </c>
      <c r="I1565" t="str">
        <f t="shared" si="56"/>
        <v>MSRS-Male Single Rope Speed</v>
      </c>
    </row>
    <row r="1566" spans="1:9" x14ac:dyDescent="0.25">
      <c r="A1566">
        <f>'Team Info'!$B$3</f>
        <v>0</v>
      </c>
      <c r="B1566">
        <f>'Male SR Individual Speed'!A24</f>
        <v>8</v>
      </c>
      <c r="C1566" t="str">
        <f>'Male SR Individual Speed'!B24</f>
        <v>MSRS</v>
      </c>
      <c r="D1566" t="str">
        <f>'Male SR Individual Speed'!C24</f>
        <v>10-under</v>
      </c>
      <c r="E1566">
        <f>'Male SR Individual Speed'!D24</f>
        <v>0</v>
      </c>
      <c r="I1566" t="str">
        <f t="shared" si="56"/>
        <v>MSRS-Male Single Rope Speed</v>
      </c>
    </row>
    <row r="1567" spans="1:9" x14ac:dyDescent="0.25">
      <c r="A1567">
        <f>'Team Info'!$B$3</f>
        <v>0</v>
      </c>
      <c r="B1567">
        <f>'Male SR Individual Speed'!A25</f>
        <v>9</v>
      </c>
      <c r="C1567" t="str">
        <f>'Male SR Individual Speed'!B25</f>
        <v>MSRS</v>
      </c>
      <c r="D1567" t="str">
        <f>'Male SR Individual Speed'!C25</f>
        <v>10-under</v>
      </c>
      <c r="E1567">
        <f>'Male SR Individual Speed'!D25</f>
        <v>0</v>
      </c>
      <c r="I1567" t="str">
        <f t="shared" si="56"/>
        <v>MSRS-Male Single Rope Speed</v>
      </c>
    </row>
    <row r="1568" spans="1:9" x14ac:dyDescent="0.25">
      <c r="A1568">
        <f>'Team Info'!$B$3</f>
        <v>0</v>
      </c>
      <c r="B1568">
        <f>'Male SR Individual Speed'!A26</f>
        <v>10</v>
      </c>
      <c r="C1568" t="str">
        <f>'Male SR Individual Speed'!B26</f>
        <v>MSRS</v>
      </c>
      <c r="D1568" t="str">
        <f>'Male SR Individual Speed'!C26</f>
        <v>10-under</v>
      </c>
      <c r="E1568">
        <f>'Male SR Individual Speed'!D26</f>
        <v>0</v>
      </c>
      <c r="I1568" t="str">
        <f t="shared" si="56"/>
        <v>MSRS-Male Single Rope Speed</v>
      </c>
    </row>
    <row r="1569" spans="1:9" x14ac:dyDescent="0.25">
      <c r="A1569">
        <f>'Team Info'!$B$3</f>
        <v>0</v>
      </c>
      <c r="B1569">
        <f>'Male SR Individual Speed'!A27</f>
        <v>11</v>
      </c>
      <c r="C1569" t="str">
        <f>'Male SR Individual Speed'!B27</f>
        <v>MSRS</v>
      </c>
      <c r="D1569" t="str">
        <f>'Male SR Individual Speed'!C27</f>
        <v>10-under</v>
      </c>
      <c r="E1569">
        <f>'Male SR Individual Speed'!D27</f>
        <v>0</v>
      </c>
      <c r="I1569" t="str">
        <f t="shared" si="56"/>
        <v>MSRS-Male Single Rope Speed</v>
      </c>
    </row>
    <row r="1570" spans="1:9" x14ac:dyDescent="0.25">
      <c r="A1570">
        <f>'Team Info'!$B$3</f>
        <v>0</v>
      </c>
      <c r="B1570">
        <f>'Male SR Individual Speed'!A28</f>
        <v>12</v>
      </c>
      <c r="C1570" t="str">
        <f>'Male SR Individual Speed'!B28</f>
        <v>MSRS</v>
      </c>
      <c r="D1570" t="str">
        <f>'Male SR Individual Speed'!C28</f>
        <v>10-under</v>
      </c>
      <c r="E1570">
        <f>'Male SR Individual Speed'!D28</f>
        <v>0</v>
      </c>
      <c r="I1570" t="str">
        <f t="shared" si="56"/>
        <v>MSRS-Male Single Rope Speed</v>
      </c>
    </row>
    <row r="1571" spans="1:9" x14ac:dyDescent="0.25">
      <c r="A1571">
        <f>'Team Info'!$B$3</f>
        <v>0</v>
      </c>
      <c r="B1571">
        <f>'Male SR Individual Speed'!A29</f>
        <v>13</v>
      </c>
      <c r="C1571" t="str">
        <f>'Male SR Individual Speed'!B29</f>
        <v>MSRS</v>
      </c>
      <c r="D1571" t="str">
        <f>'Male SR Individual Speed'!C29</f>
        <v>10-under</v>
      </c>
      <c r="E1571">
        <f>'Male SR Individual Speed'!D29</f>
        <v>0</v>
      </c>
      <c r="I1571" t="str">
        <f t="shared" si="56"/>
        <v>MSRS-Male Single Rope Speed</v>
      </c>
    </row>
    <row r="1572" spans="1:9" x14ac:dyDescent="0.25">
      <c r="A1572">
        <f>'Team Info'!$B$3</f>
        <v>0</v>
      </c>
      <c r="B1572">
        <f>'Male SR Individual Speed'!A30</f>
        <v>14</v>
      </c>
      <c r="C1572" t="str">
        <f>'Male SR Individual Speed'!B30</f>
        <v>MSRS</v>
      </c>
      <c r="D1572" t="str">
        <f>'Male SR Individual Speed'!C30</f>
        <v>10-under</v>
      </c>
      <c r="E1572">
        <f>'Male SR Individual Speed'!D30</f>
        <v>0</v>
      </c>
      <c r="I1572" t="str">
        <f t="shared" si="56"/>
        <v>MSRS-Male Single Rope Speed</v>
      </c>
    </row>
    <row r="1573" spans="1:9" x14ac:dyDescent="0.25">
      <c r="A1573">
        <f>'Team Info'!$B$3</f>
        <v>0</v>
      </c>
      <c r="B1573">
        <f>'Male SR Individual Speed'!A31</f>
        <v>15</v>
      </c>
      <c r="C1573" t="str">
        <f>'Male SR Individual Speed'!B31</f>
        <v>MSRS</v>
      </c>
      <c r="D1573" t="str">
        <f>'Male SR Individual Speed'!C31</f>
        <v>10-under</v>
      </c>
      <c r="E1573">
        <f>'Male SR Individual Speed'!D31</f>
        <v>0</v>
      </c>
      <c r="I1573" t="str">
        <f t="shared" si="56"/>
        <v>MSRS-Male Single Rope Speed</v>
      </c>
    </row>
    <row r="1574" spans="1:9" x14ac:dyDescent="0.25">
      <c r="A1574">
        <f>'Team Info'!$B$3</f>
        <v>0</v>
      </c>
      <c r="B1574">
        <f>'Male SR Individual Speed'!A32</f>
        <v>16</v>
      </c>
      <c r="C1574" t="str">
        <f>'Male SR Individual Speed'!B32</f>
        <v>MSRS</v>
      </c>
      <c r="D1574" t="str">
        <f>'Male SR Individual Speed'!C32</f>
        <v>10-under</v>
      </c>
      <c r="E1574">
        <f>'Male SR Individual Speed'!D32</f>
        <v>0</v>
      </c>
      <c r="I1574" t="str">
        <f t="shared" si="56"/>
        <v>MSRS-Male Single Rope Speed</v>
      </c>
    </row>
    <row r="1575" spans="1:9" x14ac:dyDescent="0.25">
      <c r="A1575">
        <f>'Team Info'!$B$3</f>
        <v>0</v>
      </c>
      <c r="B1575">
        <f>'Male SR Individual Speed'!A33</f>
        <v>17</v>
      </c>
      <c r="C1575" t="str">
        <f>'Male SR Individual Speed'!B33</f>
        <v>MSRS</v>
      </c>
      <c r="D1575" t="str">
        <f>'Male SR Individual Speed'!C33</f>
        <v>10-under</v>
      </c>
      <c r="E1575">
        <f>'Male SR Individual Speed'!D33</f>
        <v>0</v>
      </c>
      <c r="I1575" t="str">
        <f t="shared" si="56"/>
        <v>MSRS-Male Single Rope Speed</v>
      </c>
    </row>
    <row r="1576" spans="1:9" x14ac:dyDescent="0.25">
      <c r="A1576">
        <f>'Team Info'!$B$3</f>
        <v>0</v>
      </c>
      <c r="B1576">
        <f>'Male SR Individual Speed'!A34</f>
        <v>18</v>
      </c>
      <c r="C1576" t="str">
        <f>'Male SR Individual Speed'!B34</f>
        <v>MSRS</v>
      </c>
      <c r="D1576" t="str">
        <f>'Male SR Individual Speed'!C34</f>
        <v>10-under</v>
      </c>
      <c r="E1576">
        <f>'Male SR Individual Speed'!D34</f>
        <v>0</v>
      </c>
      <c r="I1576" t="str">
        <f t="shared" si="56"/>
        <v>MSRS-Male Single Rope Speed</v>
      </c>
    </row>
    <row r="1577" spans="1:9" x14ac:dyDescent="0.25">
      <c r="A1577">
        <f>'Team Info'!$B$3</f>
        <v>0</v>
      </c>
      <c r="B1577">
        <f>'Male SR Individual Speed'!A35</f>
        <v>19</v>
      </c>
      <c r="C1577" t="str">
        <f>'Male SR Individual Speed'!B35</f>
        <v>MSRS</v>
      </c>
      <c r="D1577" t="str">
        <f>'Male SR Individual Speed'!C35</f>
        <v>10-under</v>
      </c>
      <c r="E1577">
        <f>'Male SR Individual Speed'!D35</f>
        <v>0</v>
      </c>
      <c r="I1577" t="str">
        <f t="shared" si="56"/>
        <v>MSRS-Male Single Rope Speed</v>
      </c>
    </row>
    <row r="1578" spans="1:9" x14ac:dyDescent="0.25">
      <c r="A1578">
        <f>'Team Info'!$B$3</f>
        <v>0</v>
      </c>
      <c r="B1578">
        <f>'Male SR Individual Speed'!A36</f>
        <v>20</v>
      </c>
      <c r="C1578" t="str">
        <f>'Male SR Individual Speed'!B36</f>
        <v>MSRS</v>
      </c>
      <c r="D1578" t="str">
        <f>'Male SR Individual Speed'!C36</f>
        <v>10-under</v>
      </c>
      <c r="E1578">
        <f>'Male SR Individual Speed'!D36</f>
        <v>0</v>
      </c>
      <c r="I1578" t="str">
        <f t="shared" si="56"/>
        <v>MSRS-Male Single Rope Speed</v>
      </c>
    </row>
    <row r="1579" spans="1:9" x14ac:dyDescent="0.25">
      <c r="A1579">
        <f>'Team Info'!$B$3</f>
        <v>0</v>
      </c>
      <c r="B1579">
        <f>'Male SR Individual Speed'!H17</f>
        <v>1</v>
      </c>
      <c r="C1579" t="str">
        <f>'Male SR Individual Speed'!I17</f>
        <v>MSRS</v>
      </c>
      <c r="D1579" t="str">
        <f>'Male SR Individual Speed'!J17</f>
        <v>11-12</v>
      </c>
      <c r="E1579">
        <f>'Male SR Individual Speed'!K17</f>
        <v>0</v>
      </c>
      <c r="I1579" t="str">
        <f t="shared" si="56"/>
        <v>MSRS-Male Single Rope Speed</v>
      </c>
    </row>
    <row r="1580" spans="1:9" x14ac:dyDescent="0.25">
      <c r="A1580">
        <f>'Team Info'!$B$3</f>
        <v>0</v>
      </c>
      <c r="B1580">
        <f>'Male SR Individual Speed'!H18</f>
        <v>2</v>
      </c>
      <c r="C1580" t="str">
        <f>'Male SR Individual Speed'!I18</f>
        <v>MSRS</v>
      </c>
      <c r="D1580" t="str">
        <f>'Male SR Individual Speed'!J18</f>
        <v>11-12</v>
      </c>
      <c r="E1580">
        <f>'Male SR Individual Speed'!K18</f>
        <v>0</v>
      </c>
      <c r="I1580" t="str">
        <f t="shared" si="56"/>
        <v>MSRS-Male Single Rope Speed</v>
      </c>
    </row>
    <row r="1581" spans="1:9" x14ac:dyDescent="0.25">
      <c r="A1581">
        <f>'Team Info'!$B$3</f>
        <v>0</v>
      </c>
      <c r="B1581">
        <f>'Male SR Individual Speed'!H19</f>
        <v>3</v>
      </c>
      <c r="C1581" t="str">
        <f>'Male SR Individual Speed'!I19</f>
        <v>MSRS</v>
      </c>
      <c r="D1581" t="str">
        <f>'Male SR Individual Speed'!J19</f>
        <v>11-12</v>
      </c>
      <c r="E1581">
        <f>'Male SR Individual Speed'!K19</f>
        <v>0</v>
      </c>
      <c r="I1581" t="str">
        <f t="shared" si="56"/>
        <v>MSRS-Male Single Rope Speed</v>
      </c>
    </row>
    <row r="1582" spans="1:9" x14ac:dyDescent="0.25">
      <c r="A1582">
        <f>'Team Info'!$B$3</f>
        <v>0</v>
      </c>
      <c r="B1582">
        <f>'Male SR Individual Speed'!H20</f>
        <v>4</v>
      </c>
      <c r="C1582" t="str">
        <f>'Male SR Individual Speed'!I20</f>
        <v>MSRS</v>
      </c>
      <c r="D1582" t="str">
        <f>'Male SR Individual Speed'!J20</f>
        <v>11-12</v>
      </c>
      <c r="E1582">
        <f>'Male SR Individual Speed'!K20</f>
        <v>0</v>
      </c>
      <c r="I1582" t="str">
        <f t="shared" si="56"/>
        <v>MSRS-Male Single Rope Speed</v>
      </c>
    </row>
    <row r="1583" spans="1:9" x14ac:dyDescent="0.25">
      <c r="A1583">
        <f>'Team Info'!$B$3</f>
        <v>0</v>
      </c>
      <c r="B1583">
        <f>'Male SR Individual Speed'!H21</f>
        <v>5</v>
      </c>
      <c r="C1583" t="str">
        <f>'Male SR Individual Speed'!I21</f>
        <v>MSRS</v>
      </c>
      <c r="D1583" t="str">
        <f>'Male SR Individual Speed'!J21</f>
        <v>11-12</v>
      </c>
      <c r="E1583">
        <f>'Male SR Individual Speed'!K21</f>
        <v>0</v>
      </c>
      <c r="I1583" t="str">
        <f t="shared" si="56"/>
        <v>MSRS-Male Single Rope Speed</v>
      </c>
    </row>
    <row r="1584" spans="1:9" x14ac:dyDescent="0.25">
      <c r="A1584">
        <f>'Team Info'!$B$3</f>
        <v>0</v>
      </c>
      <c r="B1584">
        <f>'Male SR Individual Speed'!H22</f>
        <v>6</v>
      </c>
      <c r="C1584" t="str">
        <f>'Male SR Individual Speed'!I22</f>
        <v>MSRS</v>
      </c>
      <c r="D1584" t="str">
        <f>'Male SR Individual Speed'!J22</f>
        <v>11-12</v>
      </c>
      <c r="E1584">
        <f>'Male SR Individual Speed'!K22</f>
        <v>0</v>
      </c>
      <c r="I1584" t="str">
        <f t="shared" si="56"/>
        <v>MSRS-Male Single Rope Speed</v>
      </c>
    </row>
    <row r="1585" spans="1:9" x14ac:dyDescent="0.25">
      <c r="A1585">
        <f>'Team Info'!$B$3</f>
        <v>0</v>
      </c>
      <c r="B1585">
        <f>'Male SR Individual Speed'!H23</f>
        <v>7</v>
      </c>
      <c r="C1585" t="str">
        <f>'Male SR Individual Speed'!I23</f>
        <v>MSRS</v>
      </c>
      <c r="D1585" t="str">
        <f>'Male SR Individual Speed'!J23</f>
        <v>11-12</v>
      </c>
      <c r="E1585">
        <f>'Male SR Individual Speed'!K23</f>
        <v>0</v>
      </c>
      <c r="I1585" t="str">
        <f t="shared" si="56"/>
        <v>MSRS-Male Single Rope Speed</v>
      </c>
    </row>
    <row r="1586" spans="1:9" x14ac:dyDescent="0.25">
      <c r="A1586">
        <f>'Team Info'!$B$3</f>
        <v>0</v>
      </c>
      <c r="B1586">
        <f>'Male SR Individual Speed'!H24</f>
        <v>8</v>
      </c>
      <c r="C1586" t="str">
        <f>'Male SR Individual Speed'!I24</f>
        <v>MSRS</v>
      </c>
      <c r="D1586" t="str">
        <f>'Male SR Individual Speed'!J24</f>
        <v>11-12</v>
      </c>
      <c r="E1586">
        <f>'Male SR Individual Speed'!K24</f>
        <v>0</v>
      </c>
      <c r="I1586" t="str">
        <f t="shared" si="56"/>
        <v>MSRS-Male Single Rope Speed</v>
      </c>
    </row>
    <row r="1587" spans="1:9" x14ac:dyDescent="0.25">
      <c r="A1587">
        <f>'Team Info'!$B$3</f>
        <v>0</v>
      </c>
      <c r="B1587">
        <f>'Male SR Individual Speed'!H25</f>
        <v>9</v>
      </c>
      <c r="C1587" t="str">
        <f>'Male SR Individual Speed'!I25</f>
        <v>MSRS</v>
      </c>
      <c r="D1587" t="str">
        <f>'Male SR Individual Speed'!J25</f>
        <v>11-12</v>
      </c>
      <c r="E1587">
        <f>'Male SR Individual Speed'!K25</f>
        <v>0</v>
      </c>
      <c r="I1587" t="str">
        <f t="shared" si="56"/>
        <v>MSRS-Male Single Rope Speed</v>
      </c>
    </row>
    <row r="1588" spans="1:9" x14ac:dyDescent="0.25">
      <c r="A1588">
        <f>'Team Info'!$B$3</f>
        <v>0</v>
      </c>
      <c r="B1588">
        <f>'Male SR Individual Speed'!H26</f>
        <v>10</v>
      </c>
      <c r="C1588" t="str">
        <f>'Male SR Individual Speed'!I26</f>
        <v>MSRS</v>
      </c>
      <c r="D1588" t="str">
        <f>'Male SR Individual Speed'!J26</f>
        <v>11-12</v>
      </c>
      <c r="E1588">
        <f>'Male SR Individual Speed'!K26</f>
        <v>0</v>
      </c>
      <c r="I1588" t="str">
        <f t="shared" si="56"/>
        <v>MSRS-Male Single Rope Speed</v>
      </c>
    </row>
    <row r="1589" spans="1:9" x14ac:dyDescent="0.25">
      <c r="A1589">
        <f>'Team Info'!$B$3</f>
        <v>0</v>
      </c>
      <c r="B1589">
        <f>'Male SR Individual Speed'!H27</f>
        <v>11</v>
      </c>
      <c r="C1589" t="str">
        <f>'Male SR Individual Speed'!I27</f>
        <v>MSRS</v>
      </c>
      <c r="D1589" t="str">
        <f>'Male SR Individual Speed'!J27</f>
        <v>11-12</v>
      </c>
      <c r="E1589">
        <f>'Male SR Individual Speed'!K27</f>
        <v>0</v>
      </c>
      <c r="I1589" t="str">
        <f t="shared" si="56"/>
        <v>MSRS-Male Single Rope Speed</v>
      </c>
    </row>
    <row r="1590" spans="1:9" x14ac:dyDescent="0.25">
      <c r="A1590">
        <f>'Team Info'!$B$3</f>
        <v>0</v>
      </c>
      <c r="B1590">
        <f>'Male SR Individual Speed'!H28</f>
        <v>12</v>
      </c>
      <c r="C1590" t="str">
        <f>'Male SR Individual Speed'!I28</f>
        <v>MSRS</v>
      </c>
      <c r="D1590" t="str">
        <f>'Male SR Individual Speed'!J28</f>
        <v>11-12</v>
      </c>
      <c r="E1590">
        <f>'Male SR Individual Speed'!K28</f>
        <v>0</v>
      </c>
      <c r="I1590" t="str">
        <f t="shared" si="56"/>
        <v>MSRS-Male Single Rope Speed</v>
      </c>
    </row>
    <row r="1591" spans="1:9" x14ac:dyDescent="0.25">
      <c r="A1591">
        <f>'Team Info'!$B$3</f>
        <v>0</v>
      </c>
      <c r="B1591">
        <f>'Male SR Individual Speed'!H29</f>
        <v>13</v>
      </c>
      <c r="C1591" t="str">
        <f>'Male SR Individual Speed'!I29</f>
        <v>MSRS</v>
      </c>
      <c r="D1591" t="str">
        <f>'Male SR Individual Speed'!J29</f>
        <v>11-12</v>
      </c>
      <c r="E1591">
        <f>'Male SR Individual Speed'!K29</f>
        <v>0</v>
      </c>
      <c r="I1591" t="str">
        <f t="shared" si="56"/>
        <v>MSRS-Male Single Rope Speed</v>
      </c>
    </row>
    <row r="1592" spans="1:9" x14ac:dyDescent="0.25">
      <c r="A1592">
        <f>'Team Info'!$B$3</f>
        <v>0</v>
      </c>
      <c r="B1592">
        <f>'Male SR Individual Speed'!H30</f>
        <v>14</v>
      </c>
      <c r="C1592" t="str">
        <f>'Male SR Individual Speed'!I30</f>
        <v>MSRS</v>
      </c>
      <c r="D1592" t="str">
        <f>'Male SR Individual Speed'!J30</f>
        <v>11-12</v>
      </c>
      <c r="E1592">
        <f>'Male SR Individual Speed'!K30</f>
        <v>0</v>
      </c>
      <c r="I1592" t="str">
        <f t="shared" si="56"/>
        <v>MSRS-Male Single Rope Speed</v>
      </c>
    </row>
    <row r="1593" spans="1:9" x14ac:dyDescent="0.25">
      <c r="A1593">
        <f>'Team Info'!$B$3</f>
        <v>0</v>
      </c>
      <c r="B1593">
        <f>'Male SR Individual Speed'!H31</f>
        <v>15</v>
      </c>
      <c r="C1593" t="str">
        <f>'Male SR Individual Speed'!I31</f>
        <v>MSRS</v>
      </c>
      <c r="D1593" t="str">
        <f>'Male SR Individual Speed'!J31</f>
        <v>11-12</v>
      </c>
      <c r="E1593">
        <f>'Male SR Individual Speed'!K31</f>
        <v>0</v>
      </c>
      <c r="I1593" t="str">
        <f t="shared" si="56"/>
        <v>MSRS-Male Single Rope Speed</v>
      </c>
    </row>
    <row r="1594" spans="1:9" x14ac:dyDescent="0.25">
      <c r="A1594">
        <f>'Team Info'!$B$3</f>
        <v>0</v>
      </c>
      <c r="B1594">
        <f>'Male SR Individual Speed'!H32</f>
        <v>16</v>
      </c>
      <c r="C1594" t="str">
        <f>'Male SR Individual Speed'!I32</f>
        <v>MSRS</v>
      </c>
      <c r="D1594" t="str">
        <f>'Male SR Individual Speed'!J32</f>
        <v>11-12</v>
      </c>
      <c r="E1594">
        <f>'Male SR Individual Speed'!K32</f>
        <v>0</v>
      </c>
      <c r="I1594" t="str">
        <f t="shared" si="56"/>
        <v>MSRS-Male Single Rope Speed</v>
      </c>
    </row>
    <row r="1595" spans="1:9" x14ac:dyDescent="0.25">
      <c r="A1595">
        <f>'Team Info'!$B$3</f>
        <v>0</v>
      </c>
      <c r="B1595">
        <f>'Male SR Individual Speed'!H33</f>
        <v>17</v>
      </c>
      <c r="C1595" t="str">
        <f>'Male SR Individual Speed'!I33</f>
        <v>MSRS</v>
      </c>
      <c r="D1595" t="str">
        <f>'Male SR Individual Speed'!J33</f>
        <v>11-12</v>
      </c>
      <c r="E1595">
        <f>'Male SR Individual Speed'!K33</f>
        <v>0</v>
      </c>
      <c r="I1595" t="str">
        <f t="shared" si="56"/>
        <v>MSRS-Male Single Rope Speed</v>
      </c>
    </row>
    <row r="1596" spans="1:9" x14ac:dyDescent="0.25">
      <c r="A1596">
        <f>'Team Info'!$B$3</f>
        <v>0</v>
      </c>
      <c r="B1596">
        <f>'Male SR Individual Speed'!H34</f>
        <v>18</v>
      </c>
      <c r="C1596" t="str">
        <f>'Male SR Individual Speed'!I34</f>
        <v>MSRS</v>
      </c>
      <c r="D1596" t="str">
        <f>'Male SR Individual Speed'!J34</f>
        <v>11-12</v>
      </c>
      <c r="E1596">
        <f>'Male SR Individual Speed'!K34</f>
        <v>0</v>
      </c>
      <c r="I1596" t="str">
        <f t="shared" si="56"/>
        <v>MSRS-Male Single Rope Speed</v>
      </c>
    </row>
    <row r="1597" spans="1:9" x14ac:dyDescent="0.25">
      <c r="A1597">
        <f>'Team Info'!$B$3</f>
        <v>0</v>
      </c>
      <c r="B1597">
        <f>'Male SR Individual Speed'!H35</f>
        <v>19</v>
      </c>
      <c r="C1597" t="str">
        <f>'Male SR Individual Speed'!I35</f>
        <v>MSRS</v>
      </c>
      <c r="D1597" t="str">
        <f>'Male SR Individual Speed'!J35</f>
        <v>11-12</v>
      </c>
      <c r="E1597">
        <f>'Male SR Individual Speed'!K35</f>
        <v>0</v>
      </c>
      <c r="I1597" t="str">
        <f t="shared" si="56"/>
        <v>MSRS-Male Single Rope Speed</v>
      </c>
    </row>
    <row r="1598" spans="1:9" x14ac:dyDescent="0.25">
      <c r="A1598">
        <f>'Team Info'!$B$3</f>
        <v>0</v>
      </c>
      <c r="B1598">
        <f>'Male SR Individual Speed'!H36</f>
        <v>20</v>
      </c>
      <c r="C1598" t="str">
        <f>'Male SR Individual Speed'!I36</f>
        <v>MSRS</v>
      </c>
      <c r="D1598" t="str">
        <f>'Male SR Individual Speed'!J36</f>
        <v>11-12</v>
      </c>
      <c r="E1598">
        <f>'Male SR Individual Speed'!K36</f>
        <v>0</v>
      </c>
      <c r="I1598" t="str">
        <f t="shared" si="56"/>
        <v>MSRS-Male Single Rope Speed</v>
      </c>
    </row>
    <row r="1599" spans="1:9" x14ac:dyDescent="0.25">
      <c r="A1599">
        <f>'Team Info'!$B$3</f>
        <v>0</v>
      </c>
      <c r="B1599">
        <f>'Male SR Individual Speed'!A39</f>
        <v>1</v>
      </c>
      <c r="C1599" t="str">
        <f>'Male SR Individual Speed'!B39</f>
        <v>MSRS</v>
      </c>
      <c r="D1599" t="str">
        <f>'Male SR Individual Speed'!C39</f>
        <v>13-14</v>
      </c>
      <c r="E1599">
        <f>'Male SR Individual Speed'!D39</f>
        <v>0</v>
      </c>
      <c r="I1599" t="str">
        <f t="shared" si="56"/>
        <v>MSRS-Male Single Rope Speed</v>
      </c>
    </row>
    <row r="1600" spans="1:9" x14ac:dyDescent="0.25">
      <c r="A1600">
        <f>'Team Info'!$B$3</f>
        <v>0</v>
      </c>
      <c r="B1600">
        <f>'Male SR Individual Speed'!A40</f>
        <v>2</v>
      </c>
      <c r="C1600" t="str">
        <f>'Male SR Individual Speed'!B40</f>
        <v>MSRS</v>
      </c>
      <c r="D1600" t="str">
        <f>'Male SR Individual Speed'!C40</f>
        <v>13-14</v>
      </c>
      <c r="E1600">
        <f>'Male SR Individual Speed'!D40</f>
        <v>0</v>
      </c>
      <c r="I1600" t="str">
        <f t="shared" si="56"/>
        <v>MSRS-Male Single Rope Speed</v>
      </c>
    </row>
    <row r="1601" spans="1:9" x14ac:dyDescent="0.25">
      <c r="A1601">
        <f>'Team Info'!$B$3</f>
        <v>0</v>
      </c>
      <c r="B1601">
        <f>'Male SR Individual Speed'!A41</f>
        <v>3</v>
      </c>
      <c r="C1601" t="str">
        <f>'Male SR Individual Speed'!B41</f>
        <v>MSRS</v>
      </c>
      <c r="D1601" t="str">
        <f>'Male SR Individual Speed'!C41</f>
        <v>13-14</v>
      </c>
      <c r="E1601">
        <f>'Male SR Individual Speed'!D41</f>
        <v>0</v>
      </c>
      <c r="I1601" t="str">
        <f t="shared" si="56"/>
        <v>MSRS-Male Single Rope Speed</v>
      </c>
    </row>
    <row r="1602" spans="1:9" x14ac:dyDescent="0.25">
      <c r="A1602">
        <f>'Team Info'!$B$3</f>
        <v>0</v>
      </c>
      <c r="B1602">
        <f>'Male SR Individual Speed'!A42</f>
        <v>4</v>
      </c>
      <c r="C1602" t="str">
        <f>'Male SR Individual Speed'!B42</f>
        <v>MSRS</v>
      </c>
      <c r="D1602" t="str">
        <f>'Male SR Individual Speed'!C42</f>
        <v>13-14</v>
      </c>
      <c r="E1602">
        <f>'Male SR Individual Speed'!D42</f>
        <v>0</v>
      </c>
      <c r="I1602" t="str">
        <f t="shared" si="56"/>
        <v>MSRS-Male Single Rope Speed</v>
      </c>
    </row>
    <row r="1603" spans="1:9" x14ac:dyDescent="0.25">
      <c r="A1603">
        <f>'Team Info'!$B$3</f>
        <v>0</v>
      </c>
      <c r="B1603">
        <f>'Male SR Individual Speed'!A43</f>
        <v>5</v>
      </c>
      <c r="C1603" t="str">
        <f>'Male SR Individual Speed'!B43</f>
        <v>MSRS</v>
      </c>
      <c r="D1603" t="str">
        <f>'Male SR Individual Speed'!C43</f>
        <v>13-14</v>
      </c>
      <c r="E1603">
        <f>'Male SR Individual Speed'!D43</f>
        <v>0</v>
      </c>
      <c r="I1603" t="str">
        <f t="shared" si="56"/>
        <v>MSRS-Male Single Rope Speed</v>
      </c>
    </row>
    <row r="1604" spans="1:9" x14ac:dyDescent="0.25">
      <c r="A1604">
        <f>'Team Info'!$B$3</f>
        <v>0</v>
      </c>
      <c r="B1604">
        <f>'Male SR Individual Speed'!A44</f>
        <v>6</v>
      </c>
      <c r="C1604" t="str">
        <f>'Male SR Individual Speed'!B44</f>
        <v>MSRS</v>
      </c>
      <c r="D1604" t="str">
        <f>'Male SR Individual Speed'!C44</f>
        <v>13-14</v>
      </c>
      <c r="E1604">
        <f>'Male SR Individual Speed'!D44</f>
        <v>0</v>
      </c>
      <c r="I1604" t="str">
        <f t="shared" si="56"/>
        <v>MSRS-Male Single Rope Speed</v>
      </c>
    </row>
    <row r="1605" spans="1:9" x14ac:dyDescent="0.25">
      <c r="A1605">
        <f>'Team Info'!$B$3</f>
        <v>0</v>
      </c>
      <c r="B1605">
        <f>'Male SR Individual Speed'!A45</f>
        <v>7</v>
      </c>
      <c r="C1605" t="str">
        <f>'Male SR Individual Speed'!B45</f>
        <v>MSRS</v>
      </c>
      <c r="D1605" t="str">
        <f>'Male SR Individual Speed'!C45</f>
        <v>13-14</v>
      </c>
      <c r="E1605">
        <f>'Male SR Individual Speed'!D45</f>
        <v>0</v>
      </c>
      <c r="I1605" t="str">
        <f t="shared" si="56"/>
        <v>MSRS-Male Single Rope Speed</v>
      </c>
    </row>
    <row r="1606" spans="1:9" x14ac:dyDescent="0.25">
      <c r="A1606">
        <f>'Team Info'!$B$3</f>
        <v>0</v>
      </c>
      <c r="B1606">
        <f>'Male SR Individual Speed'!A46</f>
        <v>8</v>
      </c>
      <c r="C1606" t="str">
        <f>'Male SR Individual Speed'!B46</f>
        <v>MSRS</v>
      </c>
      <c r="D1606" t="str">
        <f>'Male SR Individual Speed'!C46</f>
        <v>13-14</v>
      </c>
      <c r="E1606">
        <f>'Male SR Individual Speed'!D46</f>
        <v>0</v>
      </c>
      <c r="I1606" t="str">
        <f t="shared" si="56"/>
        <v>MSRS-Male Single Rope Speed</v>
      </c>
    </row>
    <row r="1607" spans="1:9" x14ac:dyDescent="0.25">
      <c r="A1607">
        <f>'Team Info'!$B$3</f>
        <v>0</v>
      </c>
      <c r="B1607">
        <f>'Male SR Individual Speed'!A47</f>
        <v>9</v>
      </c>
      <c r="C1607" t="str">
        <f>'Male SR Individual Speed'!B47</f>
        <v>MSRS</v>
      </c>
      <c r="D1607" t="str">
        <f>'Male SR Individual Speed'!C47</f>
        <v>13-14</v>
      </c>
      <c r="E1607">
        <f>'Male SR Individual Speed'!D47</f>
        <v>0</v>
      </c>
      <c r="I1607" t="str">
        <f t="shared" si="56"/>
        <v>MSRS-Male Single Rope Speed</v>
      </c>
    </row>
    <row r="1608" spans="1:9" x14ac:dyDescent="0.25">
      <c r="A1608">
        <f>'Team Info'!$B$3</f>
        <v>0</v>
      </c>
      <c r="B1608">
        <f>'Male SR Individual Speed'!A48</f>
        <v>10</v>
      </c>
      <c r="C1608" t="str">
        <f>'Male SR Individual Speed'!B48</f>
        <v>MSRS</v>
      </c>
      <c r="D1608" t="str">
        <f>'Male SR Individual Speed'!C48</f>
        <v>13-14</v>
      </c>
      <c r="E1608">
        <f>'Male SR Individual Speed'!D48</f>
        <v>0</v>
      </c>
      <c r="I1608" t="str">
        <f t="shared" si="56"/>
        <v>MSRS-Male Single Rope Speed</v>
      </c>
    </row>
    <row r="1609" spans="1:9" x14ac:dyDescent="0.25">
      <c r="A1609">
        <f>'Team Info'!$B$3</f>
        <v>0</v>
      </c>
      <c r="B1609">
        <f>'Male SR Individual Speed'!A49</f>
        <v>11</v>
      </c>
      <c r="C1609" t="str">
        <f>'Male SR Individual Speed'!B49</f>
        <v>MSRS</v>
      </c>
      <c r="D1609" t="str">
        <f>'Male SR Individual Speed'!C49</f>
        <v>13-14</v>
      </c>
      <c r="E1609">
        <f>'Male SR Individual Speed'!D49</f>
        <v>0</v>
      </c>
      <c r="I1609" t="str">
        <f t="shared" si="56"/>
        <v>MSRS-Male Single Rope Speed</v>
      </c>
    </row>
    <row r="1610" spans="1:9" x14ac:dyDescent="0.25">
      <c r="A1610">
        <f>'Team Info'!$B$3</f>
        <v>0</v>
      </c>
      <c r="B1610">
        <f>'Male SR Individual Speed'!A50</f>
        <v>12</v>
      </c>
      <c r="C1610" t="str">
        <f>'Male SR Individual Speed'!B50</f>
        <v>MSRS</v>
      </c>
      <c r="D1610" t="str">
        <f>'Male SR Individual Speed'!C50</f>
        <v>13-14</v>
      </c>
      <c r="E1610">
        <f>'Male SR Individual Speed'!D50</f>
        <v>0</v>
      </c>
      <c r="I1610" t="str">
        <f t="shared" si="56"/>
        <v>MSRS-Male Single Rope Speed</v>
      </c>
    </row>
    <row r="1611" spans="1:9" x14ac:dyDescent="0.25">
      <c r="A1611">
        <f>'Team Info'!$B$3</f>
        <v>0</v>
      </c>
      <c r="B1611">
        <f>'Male SR Individual Speed'!A51</f>
        <v>13</v>
      </c>
      <c r="C1611" t="str">
        <f>'Male SR Individual Speed'!B51</f>
        <v>MSRS</v>
      </c>
      <c r="D1611" t="str">
        <f>'Male SR Individual Speed'!C51</f>
        <v>13-14</v>
      </c>
      <c r="E1611">
        <f>'Male SR Individual Speed'!D51</f>
        <v>0</v>
      </c>
      <c r="I1611" t="str">
        <f t="shared" si="56"/>
        <v>MSRS-Male Single Rope Speed</v>
      </c>
    </row>
    <row r="1612" spans="1:9" x14ac:dyDescent="0.25">
      <c r="A1612">
        <f>'Team Info'!$B$3</f>
        <v>0</v>
      </c>
      <c r="B1612">
        <f>'Male SR Individual Speed'!A52</f>
        <v>14</v>
      </c>
      <c r="C1612" t="str">
        <f>'Male SR Individual Speed'!B52</f>
        <v>MSRS</v>
      </c>
      <c r="D1612" t="str">
        <f>'Male SR Individual Speed'!C52</f>
        <v>13-14</v>
      </c>
      <c r="E1612">
        <f>'Male SR Individual Speed'!D52</f>
        <v>0</v>
      </c>
      <c r="I1612" t="str">
        <f t="shared" si="56"/>
        <v>MSRS-Male Single Rope Speed</v>
      </c>
    </row>
    <row r="1613" spans="1:9" x14ac:dyDescent="0.25">
      <c r="A1613">
        <f>'Team Info'!$B$3</f>
        <v>0</v>
      </c>
      <c r="B1613">
        <f>'Male SR Individual Speed'!A53</f>
        <v>15</v>
      </c>
      <c r="C1613" t="str">
        <f>'Male SR Individual Speed'!B53</f>
        <v>MSRS</v>
      </c>
      <c r="D1613" t="str">
        <f>'Male SR Individual Speed'!C53</f>
        <v>13-14</v>
      </c>
      <c r="E1613">
        <f>'Male SR Individual Speed'!D53</f>
        <v>0</v>
      </c>
      <c r="I1613" t="str">
        <f t="shared" si="56"/>
        <v>MSRS-Male Single Rope Speed</v>
      </c>
    </row>
    <row r="1614" spans="1:9" x14ac:dyDescent="0.25">
      <c r="A1614">
        <f>'Team Info'!$B$3</f>
        <v>0</v>
      </c>
      <c r="B1614">
        <f>'Male SR Individual Speed'!A54</f>
        <v>16</v>
      </c>
      <c r="C1614" t="str">
        <f>'Male SR Individual Speed'!B54</f>
        <v>MSRS</v>
      </c>
      <c r="D1614" t="str">
        <f>'Male SR Individual Speed'!C54</f>
        <v>13-14</v>
      </c>
      <c r="E1614">
        <f>'Male SR Individual Speed'!D54</f>
        <v>0</v>
      </c>
      <c r="I1614" t="str">
        <f t="shared" si="56"/>
        <v>MSRS-Male Single Rope Speed</v>
      </c>
    </row>
    <row r="1615" spans="1:9" x14ac:dyDescent="0.25">
      <c r="A1615">
        <f>'Team Info'!$B$3</f>
        <v>0</v>
      </c>
      <c r="B1615">
        <f>'Male SR Individual Speed'!A55</f>
        <v>17</v>
      </c>
      <c r="C1615" t="str">
        <f>'Male SR Individual Speed'!B55</f>
        <v>MSRS</v>
      </c>
      <c r="D1615" t="str">
        <f>'Male SR Individual Speed'!C55</f>
        <v>13-14</v>
      </c>
      <c r="E1615">
        <f>'Male SR Individual Speed'!D55</f>
        <v>0</v>
      </c>
      <c r="I1615" t="str">
        <f t="shared" si="56"/>
        <v>MSRS-Male Single Rope Speed</v>
      </c>
    </row>
    <row r="1616" spans="1:9" x14ac:dyDescent="0.25">
      <c r="A1616">
        <f>'Team Info'!$B$3</f>
        <v>0</v>
      </c>
      <c r="B1616">
        <f>'Male SR Individual Speed'!A56</f>
        <v>18</v>
      </c>
      <c r="C1616" t="str">
        <f>'Male SR Individual Speed'!B56</f>
        <v>MSRS</v>
      </c>
      <c r="D1616" t="str">
        <f>'Male SR Individual Speed'!C56</f>
        <v>13-14</v>
      </c>
      <c r="E1616">
        <f>'Male SR Individual Speed'!D56</f>
        <v>0</v>
      </c>
      <c r="I1616" t="str">
        <f t="shared" si="56"/>
        <v>MSRS-Male Single Rope Speed</v>
      </c>
    </row>
    <row r="1617" spans="1:9" x14ac:dyDescent="0.25">
      <c r="A1617">
        <f>'Team Info'!$B$3</f>
        <v>0</v>
      </c>
      <c r="B1617">
        <f>'Male SR Individual Speed'!A57</f>
        <v>19</v>
      </c>
      <c r="C1617" t="str">
        <f>'Male SR Individual Speed'!B57</f>
        <v>MSRS</v>
      </c>
      <c r="D1617" t="str">
        <f>'Male SR Individual Speed'!C57</f>
        <v>13-14</v>
      </c>
      <c r="E1617">
        <f>'Male SR Individual Speed'!D57</f>
        <v>0</v>
      </c>
      <c r="I1617" t="str">
        <f t="shared" si="56"/>
        <v>MSRS-Male Single Rope Speed</v>
      </c>
    </row>
    <row r="1618" spans="1:9" x14ac:dyDescent="0.25">
      <c r="A1618">
        <f>'Team Info'!$B$3</f>
        <v>0</v>
      </c>
      <c r="B1618">
        <f>'Male SR Individual Speed'!A58</f>
        <v>20</v>
      </c>
      <c r="C1618" t="str">
        <f>'Male SR Individual Speed'!B58</f>
        <v>MSRS</v>
      </c>
      <c r="D1618" t="str">
        <f>'Male SR Individual Speed'!C58</f>
        <v>13-14</v>
      </c>
      <c r="E1618">
        <f>'Male SR Individual Speed'!D58</f>
        <v>0</v>
      </c>
      <c r="I1618" t="str">
        <f t="shared" si="56"/>
        <v>MSRS-Male Single Rope Speed</v>
      </c>
    </row>
    <row r="1619" spans="1:9" x14ac:dyDescent="0.25">
      <c r="A1619">
        <f>'Team Info'!$B$3</f>
        <v>0</v>
      </c>
      <c r="B1619">
        <f>'Male SR Individual Speed'!H39</f>
        <v>1</v>
      </c>
      <c r="C1619" t="str">
        <f>'Male SR Individual Speed'!I39</f>
        <v>MSRS</v>
      </c>
      <c r="D1619" t="str">
        <f>'Male SR Individual Speed'!J39</f>
        <v>15-16</v>
      </c>
      <c r="E1619">
        <f>'Male SR Individual Speed'!K39</f>
        <v>0</v>
      </c>
      <c r="I1619" t="str">
        <f t="shared" si="56"/>
        <v>MSRS-Male Single Rope Speed</v>
      </c>
    </row>
    <row r="1620" spans="1:9" x14ac:dyDescent="0.25">
      <c r="A1620">
        <f>'Team Info'!$B$3</f>
        <v>0</v>
      </c>
      <c r="B1620">
        <f>'Male SR Individual Speed'!H40</f>
        <v>2</v>
      </c>
      <c r="C1620" t="str">
        <f>'Male SR Individual Speed'!I40</f>
        <v>MSRS</v>
      </c>
      <c r="D1620" t="str">
        <f>'Male SR Individual Speed'!J40</f>
        <v>15-16</v>
      </c>
      <c r="E1620">
        <f>'Male SR Individual Speed'!K40</f>
        <v>0</v>
      </c>
      <c r="I1620" t="str">
        <f t="shared" ref="I1620:I1692" si="57">VLOOKUP(C1620,EVENTS,2,FALSE)</f>
        <v>MSRS-Male Single Rope Speed</v>
      </c>
    </row>
    <row r="1621" spans="1:9" x14ac:dyDescent="0.25">
      <c r="A1621">
        <f>'Team Info'!$B$3</f>
        <v>0</v>
      </c>
      <c r="B1621">
        <f>'Male SR Individual Speed'!H41</f>
        <v>3</v>
      </c>
      <c r="C1621" t="str">
        <f>'Male SR Individual Speed'!I41</f>
        <v>MSRS</v>
      </c>
      <c r="D1621" t="str">
        <f>'Male SR Individual Speed'!J41</f>
        <v>15-16</v>
      </c>
      <c r="E1621">
        <f>'Male SR Individual Speed'!K41</f>
        <v>0</v>
      </c>
      <c r="I1621" t="str">
        <f t="shared" si="57"/>
        <v>MSRS-Male Single Rope Speed</v>
      </c>
    </row>
    <row r="1622" spans="1:9" x14ac:dyDescent="0.25">
      <c r="A1622">
        <f>'Team Info'!$B$3</f>
        <v>0</v>
      </c>
      <c r="B1622">
        <f>'Male SR Individual Speed'!H42</f>
        <v>4</v>
      </c>
      <c r="C1622" t="str">
        <f>'Male SR Individual Speed'!I42</f>
        <v>MSRS</v>
      </c>
      <c r="D1622" t="str">
        <f>'Male SR Individual Speed'!J42</f>
        <v>15-16</v>
      </c>
      <c r="E1622">
        <f>'Male SR Individual Speed'!K42</f>
        <v>0</v>
      </c>
      <c r="I1622" t="str">
        <f t="shared" si="57"/>
        <v>MSRS-Male Single Rope Speed</v>
      </c>
    </row>
    <row r="1623" spans="1:9" x14ac:dyDescent="0.25">
      <c r="A1623">
        <f>'Team Info'!$B$3</f>
        <v>0</v>
      </c>
      <c r="B1623">
        <f>'Male SR Individual Speed'!H43</f>
        <v>5</v>
      </c>
      <c r="C1623" t="str">
        <f>'Male SR Individual Speed'!I43</f>
        <v>MSRS</v>
      </c>
      <c r="D1623" t="str">
        <f>'Male SR Individual Speed'!J43</f>
        <v>15-16</v>
      </c>
      <c r="E1623">
        <f>'Male SR Individual Speed'!K43</f>
        <v>0</v>
      </c>
      <c r="I1623" t="str">
        <f t="shared" si="57"/>
        <v>MSRS-Male Single Rope Speed</v>
      </c>
    </row>
    <row r="1624" spans="1:9" x14ac:dyDescent="0.25">
      <c r="A1624">
        <f>'Team Info'!$B$3</f>
        <v>0</v>
      </c>
      <c r="B1624">
        <f>'Male SR Individual Speed'!H44</f>
        <v>6</v>
      </c>
      <c r="C1624" t="str">
        <f>'Male SR Individual Speed'!I44</f>
        <v>MSRS</v>
      </c>
      <c r="D1624" t="str">
        <f>'Male SR Individual Speed'!J44</f>
        <v>15-16</v>
      </c>
      <c r="E1624">
        <f>'Male SR Individual Speed'!K44</f>
        <v>0</v>
      </c>
      <c r="I1624" t="str">
        <f t="shared" si="57"/>
        <v>MSRS-Male Single Rope Speed</v>
      </c>
    </row>
    <row r="1625" spans="1:9" x14ac:dyDescent="0.25">
      <c r="A1625">
        <f>'Team Info'!$B$3</f>
        <v>0</v>
      </c>
      <c r="B1625">
        <f>'Male SR Individual Speed'!H45</f>
        <v>7</v>
      </c>
      <c r="C1625" t="str">
        <f>'Male SR Individual Speed'!I45</f>
        <v>MSRS</v>
      </c>
      <c r="D1625" t="str">
        <f>'Male SR Individual Speed'!J45</f>
        <v>15-16</v>
      </c>
      <c r="E1625">
        <f>'Male SR Individual Speed'!K45</f>
        <v>0</v>
      </c>
      <c r="I1625" t="str">
        <f t="shared" si="57"/>
        <v>MSRS-Male Single Rope Speed</v>
      </c>
    </row>
    <row r="1626" spans="1:9" x14ac:dyDescent="0.25">
      <c r="A1626">
        <f>'Team Info'!$B$3</f>
        <v>0</v>
      </c>
      <c r="B1626">
        <f>'Male SR Individual Speed'!H46</f>
        <v>8</v>
      </c>
      <c r="C1626" t="str">
        <f>'Male SR Individual Speed'!I46</f>
        <v>MSRS</v>
      </c>
      <c r="D1626" t="str">
        <f>'Male SR Individual Speed'!J46</f>
        <v>15-16</v>
      </c>
      <c r="E1626">
        <f>'Male SR Individual Speed'!K46</f>
        <v>0</v>
      </c>
      <c r="I1626" t="str">
        <f t="shared" si="57"/>
        <v>MSRS-Male Single Rope Speed</v>
      </c>
    </row>
    <row r="1627" spans="1:9" x14ac:dyDescent="0.25">
      <c r="A1627">
        <f>'Team Info'!$B$3</f>
        <v>0</v>
      </c>
      <c r="B1627">
        <f>'Male SR Individual Speed'!H47</f>
        <v>9</v>
      </c>
      <c r="C1627" t="str">
        <f>'Male SR Individual Speed'!I47</f>
        <v>MSRS</v>
      </c>
      <c r="D1627" t="str">
        <f>'Male SR Individual Speed'!J47</f>
        <v>15-16</v>
      </c>
      <c r="E1627">
        <f>'Male SR Individual Speed'!K47</f>
        <v>0</v>
      </c>
      <c r="I1627" t="str">
        <f t="shared" si="57"/>
        <v>MSRS-Male Single Rope Speed</v>
      </c>
    </row>
    <row r="1628" spans="1:9" x14ac:dyDescent="0.25">
      <c r="A1628">
        <f>'Team Info'!$B$3</f>
        <v>0</v>
      </c>
      <c r="B1628">
        <f>'Male SR Individual Speed'!H48</f>
        <v>10</v>
      </c>
      <c r="C1628" t="str">
        <f>'Male SR Individual Speed'!I48</f>
        <v>MSRS</v>
      </c>
      <c r="D1628" t="str">
        <f>'Male SR Individual Speed'!J48</f>
        <v>15-16</v>
      </c>
      <c r="E1628">
        <f>'Male SR Individual Speed'!K48</f>
        <v>0</v>
      </c>
      <c r="I1628" t="str">
        <f t="shared" si="57"/>
        <v>MSRS-Male Single Rope Speed</v>
      </c>
    </row>
    <row r="1629" spans="1:9" x14ac:dyDescent="0.25">
      <c r="A1629">
        <f>'Team Info'!$B$3</f>
        <v>0</v>
      </c>
      <c r="B1629">
        <f>'Male SR Individual Speed'!H49</f>
        <v>11</v>
      </c>
      <c r="C1629" t="str">
        <f>'Male SR Individual Speed'!I49</f>
        <v>MSRS</v>
      </c>
      <c r="D1629" t="str">
        <f>'Male SR Individual Speed'!J49</f>
        <v>15-16</v>
      </c>
      <c r="E1629">
        <f>'Male SR Individual Speed'!K49</f>
        <v>0</v>
      </c>
      <c r="I1629" t="str">
        <f t="shared" si="57"/>
        <v>MSRS-Male Single Rope Speed</v>
      </c>
    </row>
    <row r="1630" spans="1:9" x14ac:dyDescent="0.25">
      <c r="A1630">
        <f>'Team Info'!$B$3</f>
        <v>0</v>
      </c>
      <c r="B1630">
        <f>'Male SR Individual Speed'!H50</f>
        <v>12</v>
      </c>
      <c r="C1630" t="str">
        <f>'Male SR Individual Speed'!I50</f>
        <v>MSRS</v>
      </c>
      <c r="D1630" t="str">
        <f>'Male SR Individual Speed'!J50</f>
        <v>15-16</v>
      </c>
      <c r="E1630">
        <f>'Male SR Individual Speed'!K50</f>
        <v>0</v>
      </c>
      <c r="I1630" t="str">
        <f t="shared" si="57"/>
        <v>MSRS-Male Single Rope Speed</v>
      </c>
    </row>
    <row r="1631" spans="1:9" x14ac:dyDescent="0.25">
      <c r="A1631">
        <f>'Team Info'!$B$3</f>
        <v>0</v>
      </c>
      <c r="B1631">
        <f>'Male SR Individual Speed'!H51</f>
        <v>13</v>
      </c>
      <c r="C1631" t="str">
        <f>'Male SR Individual Speed'!I51</f>
        <v>MSRS</v>
      </c>
      <c r="D1631" t="str">
        <f>'Male SR Individual Speed'!J51</f>
        <v>15-16</v>
      </c>
      <c r="E1631">
        <f>'Male SR Individual Speed'!K51</f>
        <v>0</v>
      </c>
      <c r="I1631" t="str">
        <f t="shared" si="57"/>
        <v>MSRS-Male Single Rope Speed</v>
      </c>
    </row>
    <row r="1632" spans="1:9" x14ac:dyDescent="0.25">
      <c r="A1632">
        <f>'Team Info'!$B$3</f>
        <v>0</v>
      </c>
      <c r="B1632">
        <f>'Male SR Individual Speed'!H52</f>
        <v>14</v>
      </c>
      <c r="C1632" t="str">
        <f>'Male SR Individual Speed'!I52</f>
        <v>MSRS</v>
      </c>
      <c r="D1632" t="str">
        <f>'Male SR Individual Speed'!J52</f>
        <v>15-16</v>
      </c>
      <c r="E1632">
        <f>'Male SR Individual Speed'!K52</f>
        <v>0</v>
      </c>
      <c r="I1632" t="str">
        <f t="shared" si="57"/>
        <v>MSRS-Male Single Rope Speed</v>
      </c>
    </row>
    <row r="1633" spans="1:9" x14ac:dyDescent="0.25">
      <c r="A1633">
        <f>'Team Info'!$B$3</f>
        <v>0</v>
      </c>
      <c r="B1633">
        <f>'Male SR Individual Speed'!H53</f>
        <v>15</v>
      </c>
      <c r="C1633" t="str">
        <f>'Male SR Individual Speed'!I53</f>
        <v>MSRS</v>
      </c>
      <c r="D1633" t="str">
        <f>'Male SR Individual Speed'!J53</f>
        <v>15-16</v>
      </c>
      <c r="E1633">
        <f>'Male SR Individual Speed'!K53</f>
        <v>0</v>
      </c>
      <c r="I1633" t="str">
        <f t="shared" si="57"/>
        <v>MSRS-Male Single Rope Speed</v>
      </c>
    </row>
    <row r="1634" spans="1:9" x14ac:dyDescent="0.25">
      <c r="A1634">
        <f>'Team Info'!$B$3</f>
        <v>0</v>
      </c>
      <c r="B1634">
        <f>'Male SR Individual Speed'!H54</f>
        <v>16</v>
      </c>
      <c r="C1634" t="str">
        <f>'Male SR Individual Speed'!I54</f>
        <v>MSRS</v>
      </c>
      <c r="D1634" t="str">
        <f>'Male SR Individual Speed'!J54</f>
        <v>15-16</v>
      </c>
      <c r="E1634">
        <f>'Male SR Individual Speed'!K54</f>
        <v>0</v>
      </c>
      <c r="I1634" t="str">
        <f t="shared" si="57"/>
        <v>MSRS-Male Single Rope Speed</v>
      </c>
    </row>
    <row r="1635" spans="1:9" x14ac:dyDescent="0.25">
      <c r="A1635">
        <f>'Team Info'!$B$3</f>
        <v>0</v>
      </c>
      <c r="B1635">
        <f>'Male SR Individual Speed'!H55</f>
        <v>17</v>
      </c>
      <c r="C1635" t="str">
        <f>'Male SR Individual Speed'!I55</f>
        <v>MSRS</v>
      </c>
      <c r="D1635" t="str">
        <f>'Male SR Individual Speed'!J55</f>
        <v>15-16</v>
      </c>
      <c r="E1635">
        <f>'Male SR Individual Speed'!K55</f>
        <v>0</v>
      </c>
      <c r="I1635" t="str">
        <f t="shared" si="57"/>
        <v>MSRS-Male Single Rope Speed</v>
      </c>
    </row>
    <row r="1636" spans="1:9" x14ac:dyDescent="0.25">
      <c r="A1636">
        <f>'Team Info'!$B$3</f>
        <v>0</v>
      </c>
      <c r="B1636">
        <f>'Male SR Individual Speed'!H56</f>
        <v>18</v>
      </c>
      <c r="C1636" t="str">
        <f>'Male SR Individual Speed'!I56</f>
        <v>MSRS</v>
      </c>
      <c r="D1636" t="str">
        <f>'Male SR Individual Speed'!J56</f>
        <v>15-16</v>
      </c>
      <c r="E1636">
        <f>'Male SR Individual Speed'!K56</f>
        <v>0</v>
      </c>
      <c r="I1636" t="str">
        <f t="shared" si="57"/>
        <v>MSRS-Male Single Rope Speed</v>
      </c>
    </row>
    <row r="1637" spans="1:9" x14ac:dyDescent="0.25">
      <c r="A1637">
        <f>'Team Info'!$B$3</f>
        <v>0</v>
      </c>
      <c r="B1637">
        <f>'Male SR Individual Speed'!H57</f>
        <v>19</v>
      </c>
      <c r="C1637" t="str">
        <f>'Male SR Individual Speed'!I57</f>
        <v>MSRS</v>
      </c>
      <c r="D1637" t="str">
        <f>'Male SR Individual Speed'!J57</f>
        <v>15-16</v>
      </c>
      <c r="E1637">
        <f>'Male SR Individual Speed'!K57</f>
        <v>0</v>
      </c>
      <c r="I1637" t="str">
        <f t="shared" si="57"/>
        <v>MSRS-Male Single Rope Speed</v>
      </c>
    </row>
    <row r="1638" spans="1:9" x14ac:dyDescent="0.25">
      <c r="A1638">
        <f>'Team Info'!$B$3</f>
        <v>0</v>
      </c>
      <c r="B1638">
        <f>'Male SR Individual Speed'!H58</f>
        <v>20</v>
      </c>
      <c r="C1638" t="str">
        <f>'Male SR Individual Speed'!I58</f>
        <v>MSRS</v>
      </c>
      <c r="D1638" t="str">
        <f>'Male SR Individual Speed'!J58</f>
        <v>15-16</v>
      </c>
      <c r="E1638">
        <f>'Male SR Individual Speed'!K58</f>
        <v>0</v>
      </c>
      <c r="I1638" t="str">
        <f t="shared" si="57"/>
        <v>MSRS-Male Single Rope Speed</v>
      </c>
    </row>
    <row r="1639" spans="1:9" x14ac:dyDescent="0.25">
      <c r="A1639">
        <f>'Team Info'!$B$3</f>
        <v>0</v>
      </c>
      <c r="B1639">
        <f>'Male SR Individual Speed'!A61</f>
        <v>1</v>
      </c>
      <c r="C1639" t="str">
        <f>'Male SR Individual Speed'!B61</f>
        <v>MSRS</v>
      </c>
      <c r="D1639" t="str">
        <f>'Male SR Individual Speed'!C61</f>
        <v>17-18</v>
      </c>
      <c r="E1639">
        <f>'Male SR Individual Speed'!D61</f>
        <v>0</v>
      </c>
      <c r="I1639" t="str">
        <f t="shared" si="57"/>
        <v>MSRS-Male Single Rope Speed</v>
      </c>
    </row>
    <row r="1640" spans="1:9" x14ac:dyDescent="0.25">
      <c r="A1640">
        <f>'Team Info'!$B$3</f>
        <v>0</v>
      </c>
      <c r="B1640">
        <f>'Male SR Individual Speed'!A62</f>
        <v>2</v>
      </c>
      <c r="C1640" t="str">
        <f>'Male SR Individual Speed'!B62</f>
        <v>MSRS</v>
      </c>
      <c r="D1640" t="str">
        <f>'Male SR Individual Speed'!C62</f>
        <v>17-18</v>
      </c>
      <c r="E1640">
        <f>'Male SR Individual Speed'!D62</f>
        <v>0</v>
      </c>
      <c r="I1640" t="str">
        <f t="shared" si="57"/>
        <v>MSRS-Male Single Rope Speed</v>
      </c>
    </row>
    <row r="1641" spans="1:9" x14ac:dyDescent="0.25">
      <c r="A1641">
        <f>'Team Info'!$B$3</f>
        <v>0</v>
      </c>
      <c r="B1641">
        <f>'Male SR Individual Speed'!A63</f>
        <v>3</v>
      </c>
      <c r="C1641" t="str">
        <f>'Male SR Individual Speed'!B63</f>
        <v>MSRS</v>
      </c>
      <c r="D1641" t="str">
        <f>'Male SR Individual Speed'!C63</f>
        <v>17-18</v>
      </c>
      <c r="E1641">
        <f>'Male SR Individual Speed'!D63</f>
        <v>0</v>
      </c>
      <c r="I1641" t="str">
        <f t="shared" si="57"/>
        <v>MSRS-Male Single Rope Speed</v>
      </c>
    </row>
    <row r="1642" spans="1:9" x14ac:dyDescent="0.25">
      <c r="A1642">
        <f>'Team Info'!$B$3</f>
        <v>0</v>
      </c>
      <c r="B1642">
        <f>'Male SR Individual Speed'!A64</f>
        <v>4</v>
      </c>
      <c r="C1642" t="str">
        <f>'Male SR Individual Speed'!B64</f>
        <v>MSRS</v>
      </c>
      <c r="D1642" t="str">
        <f>'Male SR Individual Speed'!C64</f>
        <v>17-18</v>
      </c>
      <c r="E1642">
        <f>'Male SR Individual Speed'!D64</f>
        <v>0</v>
      </c>
      <c r="I1642" t="str">
        <f t="shared" si="57"/>
        <v>MSRS-Male Single Rope Speed</v>
      </c>
    </row>
    <row r="1643" spans="1:9" x14ac:dyDescent="0.25">
      <c r="A1643">
        <f>'Team Info'!$B$3</f>
        <v>0</v>
      </c>
      <c r="B1643">
        <f>'Male SR Individual Speed'!A65</f>
        <v>5</v>
      </c>
      <c r="C1643" t="str">
        <f>'Male SR Individual Speed'!B65</f>
        <v>MSRS</v>
      </c>
      <c r="D1643" t="str">
        <f>'Male SR Individual Speed'!C65</f>
        <v>17-18</v>
      </c>
      <c r="E1643">
        <f>'Male SR Individual Speed'!D65</f>
        <v>0</v>
      </c>
      <c r="I1643" t="str">
        <f t="shared" si="57"/>
        <v>MSRS-Male Single Rope Speed</v>
      </c>
    </row>
    <row r="1644" spans="1:9" x14ac:dyDescent="0.25">
      <c r="A1644">
        <f>'Team Info'!$B$3</f>
        <v>0</v>
      </c>
      <c r="B1644">
        <f>'Male SR Individual Speed'!A66</f>
        <v>6</v>
      </c>
      <c r="C1644" t="str">
        <f>'Male SR Individual Speed'!B66</f>
        <v>MSRS</v>
      </c>
      <c r="D1644" t="str">
        <f>'Male SR Individual Speed'!C66</f>
        <v>17-18</v>
      </c>
      <c r="E1644">
        <f>'Male SR Individual Speed'!D66</f>
        <v>0</v>
      </c>
      <c r="I1644" t="str">
        <f t="shared" si="57"/>
        <v>MSRS-Male Single Rope Speed</v>
      </c>
    </row>
    <row r="1645" spans="1:9" x14ac:dyDescent="0.25">
      <c r="A1645">
        <f>'Team Info'!$B$3</f>
        <v>0</v>
      </c>
      <c r="B1645">
        <f>'Male SR Individual Speed'!A67</f>
        <v>7</v>
      </c>
      <c r="C1645" t="str">
        <f>'Male SR Individual Speed'!B67</f>
        <v>MSRS</v>
      </c>
      <c r="D1645" t="str">
        <f>'Male SR Individual Speed'!C67</f>
        <v>17-18</v>
      </c>
      <c r="E1645">
        <f>'Male SR Individual Speed'!D67</f>
        <v>0</v>
      </c>
      <c r="I1645" t="str">
        <f t="shared" si="57"/>
        <v>MSRS-Male Single Rope Speed</v>
      </c>
    </row>
    <row r="1646" spans="1:9" x14ac:dyDescent="0.25">
      <c r="A1646">
        <f>'Team Info'!$B$3</f>
        <v>0</v>
      </c>
      <c r="B1646">
        <f>'Male SR Individual Speed'!A68</f>
        <v>8</v>
      </c>
      <c r="C1646" t="str">
        <f>'Male SR Individual Speed'!B68</f>
        <v>MSRS</v>
      </c>
      <c r="D1646" t="str">
        <f>'Male SR Individual Speed'!C68</f>
        <v>17-18</v>
      </c>
      <c r="E1646">
        <f>'Male SR Individual Speed'!D68</f>
        <v>0</v>
      </c>
      <c r="I1646" t="str">
        <f t="shared" ref="I1646:I1647" si="58">VLOOKUP(C1646,EVENTS,2,FALSE)</f>
        <v>MSRS-Male Single Rope Speed</v>
      </c>
    </row>
    <row r="1647" spans="1:9" x14ac:dyDescent="0.25">
      <c r="A1647">
        <f>'Team Info'!$B$3</f>
        <v>0</v>
      </c>
      <c r="B1647">
        <f>'Male SR Individual Speed'!A69</f>
        <v>9</v>
      </c>
      <c r="C1647" t="str">
        <f>'Male SR Individual Speed'!B69</f>
        <v>MSRS</v>
      </c>
      <c r="D1647" t="str">
        <f>'Male SR Individual Speed'!C69</f>
        <v>17-18</v>
      </c>
      <c r="E1647">
        <f>'Male SR Individual Speed'!D69</f>
        <v>0</v>
      </c>
      <c r="I1647" t="str">
        <f t="shared" si="58"/>
        <v>MSRS-Male Single Rope Speed</v>
      </c>
    </row>
    <row r="1648" spans="1:9" x14ac:dyDescent="0.25">
      <c r="A1648">
        <f>'Team Info'!$B$3</f>
        <v>0</v>
      </c>
      <c r="B1648">
        <f>'Male SR Individual Speed'!A70</f>
        <v>10</v>
      </c>
      <c r="C1648" t="str">
        <f>'Male SR Individual Speed'!B70</f>
        <v>MSRS</v>
      </c>
      <c r="D1648" t="str">
        <f>'Male SR Individual Speed'!C70</f>
        <v>17-18</v>
      </c>
      <c r="E1648">
        <f>'Male SR Individual Speed'!D70</f>
        <v>0</v>
      </c>
      <c r="I1648" t="str">
        <f t="shared" si="57"/>
        <v>MSRS-Male Single Rope Speed</v>
      </c>
    </row>
    <row r="1649" spans="1:9" x14ac:dyDescent="0.25">
      <c r="A1649">
        <f>'Team Info'!$B$3</f>
        <v>0</v>
      </c>
      <c r="B1649">
        <f>'Male SR Individual Speed'!H61</f>
        <v>1</v>
      </c>
      <c r="C1649" t="str">
        <f>'Male SR Individual Speed'!I61</f>
        <v>MSRS</v>
      </c>
      <c r="D1649" t="str">
        <f>'Male SR Individual Speed'!J61</f>
        <v>19-22</v>
      </c>
      <c r="E1649">
        <f>'Male SR Individual Speed'!K61</f>
        <v>0</v>
      </c>
      <c r="I1649" t="str">
        <f t="shared" si="57"/>
        <v>MSRS-Male Single Rope Speed</v>
      </c>
    </row>
    <row r="1650" spans="1:9" x14ac:dyDescent="0.25">
      <c r="A1650">
        <f>'Team Info'!$B$3</f>
        <v>0</v>
      </c>
      <c r="B1650">
        <f>'Male SR Individual Speed'!H62</f>
        <v>2</v>
      </c>
      <c r="C1650" t="str">
        <f>'Male SR Individual Speed'!I62</f>
        <v>MSRS</v>
      </c>
      <c r="D1650" t="str">
        <f>'Male SR Individual Speed'!J62</f>
        <v>19-22</v>
      </c>
      <c r="E1650">
        <f>'Male SR Individual Speed'!K62</f>
        <v>0</v>
      </c>
      <c r="I1650" t="str">
        <f t="shared" si="57"/>
        <v>MSRS-Male Single Rope Speed</v>
      </c>
    </row>
    <row r="1651" spans="1:9" x14ac:dyDescent="0.25">
      <c r="A1651">
        <f>'Team Info'!$B$3</f>
        <v>0</v>
      </c>
      <c r="B1651">
        <f>'Male SR Individual Speed'!H63</f>
        <v>3</v>
      </c>
      <c r="C1651" t="str">
        <f>'Male SR Individual Speed'!I63</f>
        <v>MSRS</v>
      </c>
      <c r="D1651" t="str">
        <f>'Male SR Individual Speed'!J63</f>
        <v>19-22</v>
      </c>
      <c r="E1651">
        <f>'Male SR Individual Speed'!K63</f>
        <v>0</v>
      </c>
      <c r="I1651" t="str">
        <f t="shared" si="57"/>
        <v>MSRS-Male Single Rope Speed</v>
      </c>
    </row>
    <row r="1652" spans="1:9" x14ac:dyDescent="0.25">
      <c r="A1652">
        <f>'Team Info'!$B$3</f>
        <v>0</v>
      </c>
      <c r="B1652">
        <f>'Male SR Individual Speed'!H64</f>
        <v>4</v>
      </c>
      <c r="C1652" t="str">
        <f>'Male SR Individual Speed'!I64</f>
        <v>MSRS</v>
      </c>
      <c r="D1652" t="str">
        <f>'Male SR Individual Speed'!J64</f>
        <v>19-22</v>
      </c>
      <c r="E1652">
        <f>'Male SR Individual Speed'!K64</f>
        <v>0</v>
      </c>
      <c r="I1652" t="str">
        <f t="shared" si="57"/>
        <v>MSRS-Male Single Rope Speed</v>
      </c>
    </row>
    <row r="1653" spans="1:9" x14ac:dyDescent="0.25">
      <c r="A1653">
        <f>'Team Info'!$B$3</f>
        <v>0</v>
      </c>
      <c r="B1653">
        <f>'Male SR Individual Speed'!H65</f>
        <v>5</v>
      </c>
      <c r="C1653" t="str">
        <f>'Male SR Individual Speed'!I65</f>
        <v>MSRS</v>
      </c>
      <c r="D1653" t="str">
        <f>'Male SR Individual Speed'!J65</f>
        <v>19-22</v>
      </c>
      <c r="E1653">
        <f>'Male SR Individual Speed'!K65</f>
        <v>0</v>
      </c>
      <c r="I1653" t="str">
        <f t="shared" si="57"/>
        <v>MSRS-Male Single Rope Speed</v>
      </c>
    </row>
    <row r="1654" spans="1:9" x14ac:dyDescent="0.25">
      <c r="A1654">
        <f>'Team Info'!$B$3</f>
        <v>0</v>
      </c>
      <c r="B1654">
        <f>'Male SR Individual Speed'!H66</f>
        <v>6</v>
      </c>
      <c r="C1654" t="str">
        <f>'Male SR Individual Speed'!I66</f>
        <v>MSRS</v>
      </c>
      <c r="D1654" t="str">
        <f>'Male SR Individual Speed'!J66</f>
        <v>19-22</v>
      </c>
      <c r="E1654">
        <f>'Male SR Individual Speed'!K66</f>
        <v>0</v>
      </c>
      <c r="I1654" t="str">
        <f t="shared" si="57"/>
        <v>MSRS-Male Single Rope Speed</v>
      </c>
    </row>
    <row r="1655" spans="1:9" x14ac:dyDescent="0.25">
      <c r="A1655">
        <f>'Team Info'!$B$3</f>
        <v>0</v>
      </c>
      <c r="B1655">
        <f>'Male SR Individual Speed'!H67</f>
        <v>7</v>
      </c>
      <c r="C1655" t="str">
        <f>'Male SR Individual Speed'!I67</f>
        <v>MSRS</v>
      </c>
      <c r="D1655" t="str">
        <f>'Male SR Individual Speed'!J67</f>
        <v>19-22</v>
      </c>
      <c r="E1655">
        <f>'Male SR Individual Speed'!K67</f>
        <v>0</v>
      </c>
      <c r="I1655" t="str">
        <f t="shared" si="57"/>
        <v>MSRS-Male Single Rope Speed</v>
      </c>
    </row>
    <row r="1656" spans="1:9" x14ac:dyDescent="0.25">
      <c r="A1656">
        <f>'Team Info'!$B$3</f>
        <v>0</v>
      </c>
      <c r="B1656">
        <f>'Male SR Individual Speed'!H68</f>
        <v>8</v>
      </c>
      <c r="C1656" t="str">
        <f>'Male SR Individual Speed'!I68</f>
        <v>MSRS</v>
      </c>
      <c r="D1656" t="str">
        <f>'Male SR Individual Speed'!J68</f>
        <v>19-22</v>
      </c>
      <c r="E1656">
        <f>'Male SR Individual Speed'!K68</f>
        <v>0</v>
      </c>
      <c r="I1656" t="str">
        <f t="shared" ref="I1656:I1657" si="59">VLOOKUP(C1656,EVENTS,2,FALSE)</f>
        <v>MSRS-Male Single Rope Speed</v>
      </c>
    </row>
    <row r="1657" spans="1:9" x14ac:dyDescent="0.25">
      <c r="A1657">
        <f>'Team Info'!$B$3</f>
        <v>0</v>
      </c>
      <c r="B1657">
        <f>'Male SR Individual Speed'!H69</f>
        <v>9</v>
      </c>
      <c r="C1657" t="str">
        <f>'Male SR Individual Speed'!I69</f>
        <v>MSRS</v>
      </c>
      <c r="D1657" t="str">
        <f>'Male SR Individual Speed'!J69</f>
        <v>19-22</v>
      </c>
      <c r="E1657">
        <f>'Male SR Individual Speed'!K69</f>
        <v>0</v>
      </c>
      <c r="I1657" t="str">
        <f t="shared" si="59"/>
        <v>MSRS-Male Single Rope Speed</v>
      </c>
    </row>
    <row r="1658" spans="1:9" x14ac:dyDescent="0.25">
      <c r="A1658">
        <f>'Team Info'!$B$3</f>
        <v>0</v>
      </c>
      <c r="B1658">
        <f>'Male SR Individual Speed'!H70</f>
        <v>10</v>
      </c>
      <c r="C1658" t="str">
        <f>'Male SR Individual Speed'!I70</f>
        <v>MSRS</v>
      </c>
      <c r="D1658" t="str">
        <f>'Male SR Individual Speed'!J70</f>
        <v>19-22</v>
      </c>
      <c r="E1658">
        <f>'Male SR Individual Speed'!K70</f>
        <v>0</v>
      </c>
      <c r="I1658" t="str">
        <f t="shared" si="57"/>
        <v>MSRS-Male Single Rope Speed</v>
      </c>
    </row>
    <row r="1659" spans="1:9" x14ac:dyDescent="0.25">
      <c r="A1659">
        <f>'Team Info'!$B$3</f>
        <v>0</v>
      </c>
      <c r="B1659">
        <f>'Male SR Individual Speed'!A73</f>
        <v>1</v>
      </c>
      <c r="C1659" t="str">
        <f>'Male SR Individual Speed'!B73</f>
        <v>MSRS</v>
      </c>
      <c r="D1659" t="str">
        <f>'Male SR Individual Speed'!C73</f>
        <v>23-29</v>
      </c>
      <c r="E1659">
        <f>'Male SR Individual Speed'!D73</f>
        <v>0</v>
      </c>
      <c r="I1659" t="str">
        <f t="shared" ref="I1659" si="60">VLOOKUP(C1659,EVENTS,2,FALSE)</f>
        <v>MSRS-Male Single Rope Speed</v>
      </c>
    </row>
    <row r="1660" spans="1:9" x14ac:dyDescent="0.25">
      <c r="A1660">
        <f>'Team Info'!$B$3</f>
        <v>0</v>
      </c>
      <c r="B1660">
        <f>'Male SR Individual Speed'!A74</f>
        <v>2</v>
      </c>
      <c r="C1660" t="str">
        <f>'Male SR Individual Speed'!B74</f>
        <v>MSRS</v>
      </c>
      <c r="D1660" t="str">
        <f>'Male SR Individual Speed'!C74</f>
        <v>23-29</v>
      </c>
      <c r="E1660">
        <f>'Male SR Individual Speed'!D74</f>
        <v>0</v>
      </c>
      <c r="I1660" t="str">
        <f t="shared" ref="I1660:I1663" si="61">VLOOKUP(C1660,EVENTS,2,FALSE)</f>
        <v>MSRS-Male Single Rope Speed</v>
      </c>
    </row>
    <row r="1661" spans="1:9" x14ac:dyDescent="0.25">
      <c r="A1661">
        <f>'Team Info'!$B$3</f>
        <v>0</v>
      </c>
      <c r="B1661">
        <f>'Male SR Individual Speed'!A75</f>
        <v>3</v>
      </c>
      <c r="C1661" t="str">
        <f>'Male SR Individual Speed'!B75</f>
        <v>MSRS</v>
      </c>
      <c r="D1661" t="str">
        <f>'Male SR Individual Speed'!C75</f>
        <v>23-29</v>
      </c>
      <c r="E1661">
        <f>'Male SR Individual Speed'!D75</f>
        <v>0</v>
      </c>
      <c r="I1661" t="str">
        <f t="shared" si="61"/>
        <v>MSRS-Male Single Rope Speed</v>
      </c>
    </row>
    <row r="1662" spans="1:9" x14ac:dyDescent="0.25">
      <c r="A1662">
        <f>'Team Info'!$B$3</f>
        <v>0</v>
      </c>
      <c r="B1662">
        <f>'Male SR Individual Speed'!A76</f>
        <v>4</v>
      </c>
      <c r="C1662" t="str">
        <f>'Male SR Individual Speed'!B76</f>
        <v>MSRS</v>
      </c>
      <c r="D1662" t="str">
        <f>'Male SR Individual Speed'!C76</f>
        <v>23-29</v>
      </c>
      <c r="E1662">
        <f>'Male SR Individual Speed'!D76</f>
        <v>0</v>
      </c>
      <c r="I1662" t="str">
        <f t="shared" si="61"/>
        <v>MSRS-Male Single Rope Speed</v>
      </c>
    </row>
    <row r="1663" spans="1:9" x14ac:dyDescent="0.25">
      <c r="A1663">
        <f>'Team Info'!$B$3</f>
        <v>0</v>
      </c>
      <c r="B1663">
        <f>'Male SR Individual Speed'!A77</f>
        <v>5</v>
      </c>
      <c r="C1663" t="str">
        <f>'Male SR Individual Speed'!B77</f>
        <v>MSRS</v>
      </c>
      <c r="D1663" t="str">
        <f>'Male SR Individual Speed'!C77</f>
        <v>23-29</v>
      </c>
      <c r="E1663">
        <f>'Male SR Individual Speed'!D77</f>
        <v>0</v>
      </c>
      <c r="I1663" t="str">
        <f t="shared" si="61"/>
        <v>MSRS-Male Single Rope Speed</v>
      </c>
    </row>
    <row r="1664" spans="1:9" x14ac:dyDescent="0.25">
      <c r="A1664">
        <f>'Team Info'!$B$3</f>
        <v>0</v>
      </c>
      <c r="B1664">
        <f>'Male SR Individual Speed'!H73</f>
        <v>1</v>
      </c>
      <c r="C1664" t="str">
        <f>'Male SR Individual Speed'!I73</f>
        <v>MSRS</v>
      </c>
      <c r="D1664" t="str">
        <f>'Male SR Individual Speed'!J73</f>
        <v>30-49</v>
      </c>
      <c r="E1664">
        <f>'Male SR Individual Speed'!K73</f>
        <v>0</v>
      </c>
      <c r="I1664" t="str">
        <f t="shared" si="57"/>
        <v>MSRS-Male Single Rope Speed</v>
      </c>
    </row>
    <row r="1665" spans="1:9" x14ac:dyDescent="0.25">
      <c r="A1665">
        <f>'Team Info'!$B$3</f>
        <v>0</v>
      </c>
      <c r="B1665">
        <f>'Male SR Individual Speed'!H74</f>
        <v>2</v>
      </c>
      <c r="C1665" t="str">
        <f>'Male SR Individual Speed'!I74</f>
        <v>MSRS</v>
      </c>
      <c r="D1665" t="str">
        <f>'Male SR Individual Speed'!J74</f>
        <v>30-49</v>
      </c>
      <c r="E1665">
        <f>'Male SR Individual Speed'!K74</f>
        <v>0</v>
      </c>
      <c r="I1665" t="str">
        <f t="shared" si="57"/>
        <v>MSRS-Male Single Rope Speed</v>
      </c>
    </row>
    <row r="1666" spans="1:9" x14ac:dyDescent="0.25">
      <c r="A1666">
        <f>'Team Info'!$B$3</f>
        <v>0</v>
      </c>
      <c r="B1666">
        <f>'Male SR Individual Speed'!H75</f>
        <v>3</v>
      </c>
      <c r="C1666" t="str">
        <f>'Male SR Individual Speed'!I75</f>
        <v>MSRS</v>
      </c>
      <c r="D1666" t="str">
        <f>'Male SR Individual Speed'!J75</f>
        <v>30-49</v>
      </c>
      <c r="E1666">
        <f>'Male SR Individual Speed'!K75</f>
        <v>0</v>
      </c>
      <c r="I1666" t="str">
        <f t="shared" si="57"/>
        <v>MSRS-Male Single Rope Speed</v>
      </c>
    </row>
    <row r="1667" spans="1:9" x14ac:dyDescent="0.25">
      <c r="A1667">
        <f>'Team Info'!$B$3</f>
        <v>0</v>
      </c>
      <c r="B1667">
        <f>'Male SR Individual Speed'!H76</f>
        <v>4</v>
      </c>
      <c r="C1667" t="str">
        <f>'Male SR Individual Speed'!I76</f>
        <v>MSRS</v>
      </c>
      <c r="D1667" t="str">
        <f>'Male SR Individual Speed'!J76</f>
        <v>30-49</v>
      </c>
      <c r="E1667">
        <f>'Male SR Individual Speed'!K76</f>
        <v>0</v>
      </c>
      <c r="I1667" t="str">
        <f t="shared" si="57"/>
        <v>MSRS-Male Single Rope Speed</v>
      </c>
    </row>
    <row r="1668" spans="1:9" x14ac:dyDescent="0.25">
      <c r="A1668">
        <f>'Team Info'!$B$3</f>
        <v>0</v>
      </c>
      <c r="B1668">
        <f>'Male SR Individual Speed'!H77</f>
        <v>5</v>
      </c>
      <c r="C1668" t="str">
        <f>'Male SR Individual Speed'!I77</f>
        <v>MSRS</v>
      </c>
      <c r="D1668" t="str">
        <f>'Male SR Individual Speed'!J77</f>
        <v>30-49</v>
      </c>
      <c r="E1668">
        <f>'Male SR Individual Speed'!K77</f>
        <v>0</v>
      </c>
      <c r="I1668" t="str">
        <f t="shared" si="57"/>
        <v>MSRS-Male Single Rope Speed</v>
      </c>
    </row>
    <row r="1669" spans="1:9" x14ac:dyDescent="0.25">
      <c r="A1669">
        <f>'Team Info'!$B$3</f>
        <v>0</v>
      </c>
      <c r="B1669">
        <f>'Male SR Individual Speed'!A81</f>
        <v>1</v>
      </c>
      <c r="C1669" t="str">
        <f>'Male SR Individual Speed'!B81</f>
        <v>MSRS</v>
      </c>
      <c r="D1669" t="str">
        <f>'Male SR Individual Speed'!C81</f>
        <v>50-Over</v>
      </c>
      <c r="E1669">
        <f>'Male SR Individual Speed'!D81</f>
        <v>0</v>
      </c>
      <c r="I1669" t="str">
        <f t="shared" si="57"/>
        <v>MSRS-Male Single Rope Speed</v>
      </c>
    </row>
    <row r="1670" spans="1:9" x14ac:dyDescent="0.25">
      <c r="A1670">
        <f>'Team Info'!$B$3</f>
        <v>0</v>
      </c>
      <c r="B1670">
        <f>'Male SR Individual Speed'!A82</f>
        <v>2</v>
      </c>
      <c r="C1670" t="str">
        <f>'Male SR Individual Speed'!B82</f>
        <v>MSRS</v>
      </c>
      <c r="D1670" t="str">
        <f>'Male SR Individual Speed'!C82</f>
        <v>50-Over</v>
      </c>
      <c r="E1670">
        <f>'Male SR Individual Speed'!D82</f>
        <v>0</v>
      </c>
      <c r="I1670" t="str">
        <f t="shared" si="57"/>
        <v>MSRS-Male Single Rope Speed</v>
      </c>
    </row>
    <row r="1671" spans="1:9" x14ac:dyDescent="0.25">
      <c r="A1671">
        <f>'Team Info'!$B$3</f>
        <v>0</v>
      </c>
      <c r="B1671">
        <f>'Male SR Individual Speed'!A83</f>
        <v>3</v>
      </c>
      <c r="C1671" t="str">
        <f>'Male SR Individual Speed'!B83</f>
        <v>MSRS</v>
      </c>
      <c r="D1671" t="str">
        <f>'Male SR Individual Speed'!C83</f>
        <v>50-Over</v>
      </c>
      <c r="E1671">
        <f>'Male SR Individual Speed'!D83</f>
        <v>0</v>
      </c>
      <c r="I1671" t="str">
        <f t="shared" si="57"/>
        <v>MSRS-Male Single Rope Speed</v>
      </c>
    </row>
    <row r="1672" spans="1:9" x14ac:dyDescent="0.25">
      <c r="A1672">
        <f>'Team Info'!$B$3</f>
        <v>0</v>
      </c>
      <c r="B1672">
        <f>'Male SR Individual Speed'!A84</f>
        <v>4</v>
      </c>
      <c r="C1672" t="str">
        <f>'Male SR Individual Speed'!B84</f>
        <v>MSRS</v>
      </c>
      <c r="D1672" t="str">
        <f>'Male SR Individual Speed'!C84</f>
        <v>50-Over</v>
      </c>
      <c r="E1672">
        <f>'Male SR Individual Speed'!D84</f>
        <v>0</v>
      </c>
      <c r="I1672" t="str">
        <f t="shared" si="57"/>
        <v>MSRS-Male Single Rope Speed</v>
      </c>
    </row>
    <row r="1673" spans="1:9" x14ac:dyDescent="0.25">
      <c r="A1673">
        <f>'Team Info'!$B$3</f>
        <v>0</v>
      </c>
      <c r="B1673">
        <f>'Male SR Individual Speed'!A85</f>
        <v>5</v>
      </c>
      <c r="C1673" t="str">
        <f>'Male SR Individual Speed'!B85</f>
        <v>MSRS</v>
      </c>
      <c r="D1673" t="str">
        <f>'Male SR Individual Speed'!C85</f>
        <v>50-Over</v>
      </c>
      <c r="E1673">
        <f>'Male SR Individual Speed'!D85</f>
        <v>0</v>
      </c>
      <c r="I1673" t="str">
        <f t="shared" si="57"/>
        <v>MSRS-Male Single Rope Speed</v>
      </c>
    </row>
    <row r="1674" spans="1:9" x14ac:dyDescent="0.25">
      <c r="A1674">
        <f>'Team Info'!$B$3</f>
        <v>0</v>
      </c>
      <c r="B1674">
        <f>'Male 30-second Double Under'!A5</f>
        <v>1</v>
      </c>
      <c r="C1674" t="str">
        <f>'Male 30-second Double Under'!B5</f>
        <v>MTDU</v>
      </c>
      <c r="D1674" t="str">
        <f>'Male 30-second Double Under'!C5</f>
        <v>8-under</v>
      </c>
      <c r="E1674">
        <f>'Male 30-second Double Under'!D5</f>
        <v>0</v>
      </c>
      <c r="I1674" t="str">
        <f t="shared" ref="I1674:I1683" si="62">VLOOKUP(C1674,EVENTS,2,FALSE)</f>
        <v>MTDU-Male Single Rope Double Under</v>
      </c>
    </row>
    <row r="1675" spans="1:9" x14ac:dyDescent="0.25">
      <c r="A1675">
        <f>'Team Info'!$B$3</f>
        <v>0</v>
      </c>
      <c r="B1675">
        <f>'Male SR Individual Speed'!A6</f>
        <v>2</v>
      </c>
      <c r="C1675" t="str">
        <f>'Male 30-second Double Under'!B6</f>
        <v>MTDU</v>
      </c>
      <c r="D1675" t="str">
        <f>'Male 30-second Double Under'!C6</f>
        <v>8-under</v>
      </c>
      <c r="E1675">
        <f>'Male 30-second Double Under'!D6</f>
        <v>0</v>
      </c>
      <c r="I1675" t="str">
        <f t="shared" si="62"/>
        <v>MTDU-Male Single Rope Double Under</v>
      </c>
    </row>
    <row r="1676" spans="1:9" x14ac:dyDescent="0.25">
      <c r="A1676">
        <f>'Team Info'!$B$3</f>
        <v>0</v>
      </c>
      <c r="B1676">
        <f>'Male SR Individual Speed'!A7</f>
        <v>3</v>
      </c>
      <c r="C1676" t="str">
        <f>'Male 30-second Double Under'!B7</f>
        <v>MTDU</v>
      </c>
      <c r="D1676" t="str">
        <f>'Male 30-second Double Under'!C7</f>
        <v>8-under</v>
      </c>
      <c r="E1676">
        <f>'Male 30-second Double Under'!D7</f>
        <v>0</v>
      </c>
      <c r="I1676" t="str">
        <f t="shared" si="62"/>
        <v>MTDU-Male Single Rope Double Under</v>
      </c>
    </row>
    <row r="1677" spans="1:9" x14ac:dyDescent="0.25">
      <c r="A1677">
        <f>'Team Info'!$B$3</f>
        <v>0</v>
      </c>
      <c r="B1677">
        <f>'Male SR Individual Speed'!A8</f>
        <v>4</v>
      </c>
      <c r="C1677" t="str">
        <f>'Male 30-second Double Under'!B8</f>
        <v>MTDU</v>
      </c>
      <c r="D1677" t="str">
        <f>'Male 30-second Double Under'!C8</f>
        <v>8-under</v>
      </c>
      <c r="E1677">
        <f>'Male 30-second Double Under'!D8</f>
        <v>0</v>
      </c>
      <c r="I1677" t="str">
        <f t="shared" si="62"/>
        <v>MTDU-Male Single Rope Double Under</v>
      </c>
    </row>
    <row r="1678" spans="1:9" x14ac:dyDescent="0.25">
      <c r="A1678">
        <f>'Team Info'!$B$3</f>
        <v>0</v>
      </c>
      <c r="B1678">
        <f>'Male SR Individual Speed'!A9</f>
        <v>5</v>
      </c>
      <c r="C1678" t="str">
        <f>'Male 30-second Double Under'!B9</f>
        <v>MTDU</v>
      </c>
      <c r="D1678" t="str">
        <f>'Male 30-second Double Under'!C9</f>
        <v>8-under</v>
      </c>
      <c r="E1678">
        <f>'Male 30-second Double Under'!D9</f>
        <v>0</v>
      </c>
      <c r="I1678" t="str">
        <f t="shared" si="62"/>
        <v>MTDU-Male Single Rope Double Under</v>
      </c>
    </row>
    <row r="1679" spans="1:9" x14ac:dyDescent="0.25">
      <c r="A1679">
        <f>'Team Info'!$B$3</f>
        <v>0</v>
      </c>
      <c r="B1679">
        <f>'Male SR Individual Speed'!A10</f>
        <v>6</v>
      </c>
      <c r="C1679" t="str">
        <f>'Male 30-second Double Under'!B10</f>
        <v>MTDU</v>
      </c>
      <c r="D1679" t="str">
        <f>'Male 30-second Double Under'!C10</f>
        <v>8-under</v>
      </c>
      <c r="E1679">
        <f>'Male 30-second Double Under'!D10</f>
        <v>0</v>
      </c>
      <c r="I1679" t="str">
        <f t="shared" si="62"/>
        <v>MTDU-Male Single Rope Double Under</v>
      </c>
    </row>
    <row r="1680" spans="1:9" x14ac:dyDescent="0.25">
      <c r="A1680">
        <f>'Team Info'!$B$3</f>
        <v>0</v>
      </c>
      <c r="B1680">
        <f>'Male SR Individual Speed'!A11</f>
        <v>7</v>
      </c>
      <c r="C1680" t="str">
        <f>'Male 30-second Double Under'!B11</f>
        <v>MTDU</v>
      </c>
      <c r="D1680" t="str">
        <f>'Male 30-second Double Under'!C11</f>
        <v>8-under</v>
      </c>
      <c r="E1680">
        <f>'Male 30-second Double Under'!D11</f>
        <v>0</v>
      </c>
      <c r="I1680" t="str">
        <f t="shared" si="62"/>
        <v>MTDU-Male Single Rope Double Under</v>
      </c>
    </row>
    <row r="1681" spans="1:9" x14ac:dyDescent="0.25">
      <c r="A1681">
        <f>'Team Info'!$B$3</f>
        <v>0</v>
      </c>
      <c r="B1681">
        <f>'Male SR Individual Speed'!A12</f>
        <v>8</v>
      </c>
      <c r="C1681" t="str">
        <f>'Male 30-second Double Under'!B12</f>
        <v>MTDU</v>
      </c>
      <c r="D1681" t="str">
        <f>'Male 30-second Double Under'!C12</f>
        <v>8-under</v>
      </c>
      <c r="E1681">
        <f>'Male 30-second Double Under'!D12</f>
        <v>0</v>
      </c>
      <c r="I1681" t="str">
        <f t="shared" si="62"/>
        <v>MTDU-Male Single Rope Double Under</v>
      </c>
    </row>
    <row r="1682" spans="1:9" x14ac:dyDescent="0.25">
      <c r="A1682">
        <f>'Team Info'!$B$3</f>
        <v>0</v>
      </c>
      <c r="B1682">
        <f>'Male SR Individual Speed'!A13</f>
        <v>9</v>
      </c>
      <c r="C1682" t="str">
        <f>'Male 30-second Double Under'!B13</f>
        <v>MTDU</v>
      </c>
      <c r="D1682" t="str">
        <f>'Male 30-second Double Under'!C13</f>
        <v>8-under</v>
      </c>
      <c r="E1682">
        <f>'Male 30-second Double Under'!D13</f>
        <v>0</v>
      </c>
      <c r="I1682" t="str">
        <f t="shared" si="62"/>
        <v>MTDU-Male Single Rope Double Under</v>
      </c>
    </row>
    <row r="1683" spans="1:9" x14ac:dyDescent="0.25">
      <c r="A1683">
        <f>'Team Info'!$B$3</f>
        <v>0</v>
      </c>
      <c r="B1683">
        <f>'Male SR Individual Speed'!A14</f>
        <v>10</v>
      </c>
      <c r="C1683" t="str">
        <f>'Male 30-second Double Under'!B14</f>
        <v>MTDU</v>
      </c>
      <c r="D1683" t="str">
        <f>'Male 30-second Double Under'!C14</f>
        <v>8-under</v>
      </c>
      <c r="E1683">
        <f>'Male 30-second Double Under'!D14</f>
        <v>0</v>
      </c>
      <c r="I1683" t="str">
        <f t="shared" si="62"/>
        <v>MTDU-Male Single Rope Double Under</v>
      </c>
    </row>
    <row r="1684" spans="1:9" x14ac:dyDescent="0.25">
      <c r="A1684">
        <f>'Team Info'!$B$3</f>
        <v>0</v>
      </c>
      <c r="B1684">
        <f>'Male 30-second Double Under'!A17</f>
        <v>1</v>
      </c>
      <c r="C1684" t="str">
        <f>'Male 30-second Double Under'!B17</f>
        <v>MTDU</v>
      </c>
      <c r="D1684" t="str">
        <f>'Male 30-second Double Under'!C17</f>
        <v>10-under</v>
      </c>
      <c r="E1684">
        <f>'Male 30-second Double Under'!D17</f>
        <v>0</v>
      </c>
      <c r="I1684" t="str">
        <f t="shared" si="57"/>
        <v>MTDU-Male Single Rope Double Under</v>
      </c>
    </row>
    <row r="1685" spans="1:9" x14ac:dyDescent="0.25">
      <c r="A1685">
        <f>'Team Info'!$B$3</f>
        <v>0</v>
      </c>
      <c r="B1685">
        <f>'Male 30-second Double Under'!A18</f>
        <v>2</v>
      </c>
      <c r="C1685" t="str">
        <f>'Male 30-second Double Under'!B18</f>
        <v>MTDU</v>
      </c>
      <c r="D1685" t="str">
        <f>'Male 30-second Double Under'!C18</f>
        <v>10-under</v>
      </c>
      <c r="E1685">
        <f>'Male 30-second Double Under'!D18</f>
        <v>0</v>
      </c>
      <c r="I1685" t="str">
        <f t="shared" si="57"/>
        <v>MTDU-Male Single Rope Double Under</v>
      </c>
    </row>
    <row r="1686" spans="1:9" x14ac:dyDescent="0.25">
      <c r="A1686">
        <f>'Team Info'!$B$3</f>
        <v>0</v>
      </c>
      <c r="B1686">
        <f>'Male 30-second Double Under'!A19</f>
        <v>3</v>
      </c>
      <c r="C1686" t="str">
        <f>'Male 30-second Double Under'!B19</f>
        <v>MTDU</v>
      </c>
      <c r="D1686" t="str">
        <f>'Male 30-second Double Under'!C19</f>
        <v>10-under</v>
      </c>
      <c r="E1686">
        <f>'Male 30-second Double Under'!D19</f>
        <v>0</v>
      </c>
      <c r="I1686" t="str">
        <f t="shared" si="57"/>
        <v>MTDU-Male Single Rope Double Under</v>
      </c>
    </row>
    <row r="1687" spans="1:9" x14ac:dyDescent="0.25">
      <c r="A1687">
        <f>'Team Info'!$B$3</f>
        <v>0</v>
      </c>
      <c r="B1687">
        <f>'Male 30-second Double Under'!A20</f>
        <v>4</v>
      </c>
      <c r="C1687" t="str">
        <f>'Male 30-second Double Under'!B20</f>
        <v>MTDU</v>
      </c>
      <c r="D1687" t="str">
        <f>'Male 30-second Double Under'!C20</f>
        <v>10-under</v>
      </c>
      <c r="E1687">
        <f>'Male 30-second Double Under'!D20</f>
        <v>0</v>
      </c>
      <c r="I1687" t="str">
        <f t="shared" si="57"/>
        <v>MTDU-Male Single Rope Double Under</v>
      </c>
    </row>
    <row r="1688" spans="1:9" x14ac:dyDescent="0.25">
      <c r="A1688">
        <f>'Team Info'!$B$3</f>
        <v>0</v>
      </c>
      <c r="B1688">
        <f>'Male 30-second Double Under'!A21</f>
        <v>5</v>
      </c>
      <c r="C1688" t="str">
        <f>'Male 30-second Double Under'!B21</f>
        <v>MTDU</v>
      </c>
      <c r="D1688" t="str">
        <f>'Male 30-second Double Under'!C21</f>
        <v>10-under</v>
      </c>
      <c r="E1688">
        <f>'Male 30-second Double Under'!D21</f>
        <v>0</v>
      </c>
      <c r="I1688" t="str">
        <f t="shared" si="57"/>
        <v>MTDU-Male Single Rope Double Under</v>
      </c>
    </row>
    <row r="1689" spans="1:9" x14ac:dyDescent="0.25">
      <c r="A1689">
        <f>'Team Info'!$B$3</f>
        <v>0</v>
      </c>
      <c r="B1689">
        <f>'Male 30-second Double Under'!A22</f>
        <v>6</v>
      </c>
      <c r="C1689" t="str">
        <f>'Male 30-second Double Under'!B22</f>
        <v>MTDU</v>
      </c>
      <c r="D1689" t="str">
        <f>'Male 30-second Double Under'!C22</f>
        <v>10-under</v>
      </c>
      <c r="E1689">
        <f>'Male 30-second Double Under'!D22</f>
        <v>0</v>
      </c>
      <c r="I1689" t="str">
        <f t="shared" si="57"/>
        <v>MTDU-Male Single Rope Double Under</v>
      </c>
    </row>
    <row r="1690" spans="1:9" x14ac:dyDescent="0.25">
      <c r="A1690">
        <f>'Team Info'!$B$3</f>
        <v>0</v>
      </c>
      <c r="B1690">
        <f>'Male 30-second Double Under'!A23</f>
        <v>7</v>
      </c>
      <c r="C1690" t="str">
        <f>'Male 30-second Double Under'!B23</f>
        <v>MTDU</v>
      </c>
      <c r="D1690" t="str">
        <f>'Male 30-second Double Under'!C23</f>
        <v>10-under</v>
      </c>
      <c r="E1690">
        <f>'Male 30-second Double Under'!D23</f>
        <v>0</v>
      </c>
      <c r="I1690" t="str">
        <f t="shared" si="57"/>
        <v>MTDU-Male Single Rope Double Under</v>
      </c>
    </row>
    <row r="1691" spans="1:9" x14ac:dyDescent="0.25">
      <c r="A1691">
        <f>'Team Info'!$B$3</f>
        <v>0</v>
      </c>
      <c r="B1691">
        <f>'Male 30-second Double Under'!A24</f>
        <v>8</v>
      </c>
      <c r="C1691" t="str">
        <f>'Male 30-second Double Under'!B24</f>
        <v>MTDU</v>
      </c>
      <c r="D1691" t="str">
        <f>'Male 30-second Double Under'!C24</f>
        <v>10-under</v>
      </c>
      <c r="E1691">
        <f>'Male 30-second Double Under'!D24</f>
        <v>0</v>
      </c>
      <c r="I1691" t="str">
        <f t="shared" si="57"/>
        <v>MTDU-Male Single Rope Double Under</v>
      </c>
    </row>
    <row r="1692" spans="1:9" x14ac:dyDescent="0.25">
      <c r="A1692">
        <f>'Team Info'!$B$3</f>
        <v>0</v>
      </c>
      <c r="B1692">
        <f>'Male 30-second Double Under'!A25</f>
        <v>9</v>
      </c>
      <c r="C1692" t="str">
        <f>'Male 30-second Double Under'!B25</f>
        <v>MTDU</v>
      </c>
      <c r="D1692" t="str">
        <f>'Male 30-second Double Under'!C25</f>
        <v>10-under</v>
      </c>
      <c r="E1692">
        <f>'Male 30-second Double Under'!D25</f>
        <v>0</v>
      </c>
      <c r="I1692" t="str">
        <f t="shared" si="57"/>
        <v>MTDU-Male Single Rope Double Under</v>
      </c>
    </row>
    <row r="1693" spans="1:9" x14ac:dyDescent="0.25">
      <c r="A1693">
        <f>'Team Info'!$B$3</f>
        <v>0</v>
      </c>
      <c r="B1693">
        <f>'Male 30-second Double Under'!A26</f>
        <v>10</v>
      </c>
      <c r="C1693" t="str">
        <f>'Male 30-second Double Under'!B26</f>
        <v>MTDU</v>
      </c>
      <c r="D1693" t="str">
        <f>'Male 30-second Double Under'!C26</f>
        <v>10-under</v>
      </c>
      <c r="E1693">
        <f>'Male 30-second Double Under'!D26</f>
        <v>0</v>
      </c>
      <c r="I1693" t="str">
        <f t="shared" ref="I1693:I1756" si="63">VLOOKUP(C1693,EVENTS,2,FALSE)</f>
        <v>MTDU-Male Single Rope Double Under</v>
      </c>
    </row>
    <row r="1694" spans="1:9" x14ac:dyDescent="0.25">
      <c r="A1694">
        <f>'Team Info'!$B$3</f>
        <v>0</v>
      </c>
      <c r="B1694">
        <f>'Male 30-second Double Under'!A27</f>
        <v>11</v>
      </c>
      <c r="C1694" t="str">
        <f>'Male 30-second Double Under'!B27</f>
        <v>MTDU</v>
      </c>
      <c r="D1694" t="str">
        <f>'Male 30-second Double Under'!C27</f>
        <v>10-under</v>
      </c>
      <c r="E1694">
        <f>'Male 30-second Double Under'!D27</f>
        <v>0</v>
      </c>
      <c r="I1694" t="str">
        <f t="shared" si="63"/>
        <v>MTDU-Male Single Rope Double Under</v>
      </c>
    </row>
    <row r="1695" spans="1:9" x14ac:dyDescent="0.25">
      <c r="A1695">
        <f>'Team Info'!$B$3</f>
        <v>0</v>
      </c>
      <c r="B1695">
        <f>'Male 30-second Double Under'!A28</f>
        <v>12</v>
      </c>
      <c r="C1695" t="str">
        <f>'Male 30-second Double Under'!B28</f>
        <v>MTDU</v>
      </c>
      <c r="D1695" t="str">
        <f>'Male 30-second Double Under'!C28</f>
        <v>10-under</v>
      </c>
      <c r="E1695">
        <f>'Male 30-second Double Under'!D28</f>
        <v>0</v>
      </c>
      <c r="I1695" t="str">
        <f t="shared" si="63"/>
        <v>MTDU-Male Single Rope Double Under</v>
      </c>
    </row>
    <row r="1696" spans="1:9" x14ac:dyDescent="0.25">
      <c r="A1696">
        <f>'Team Info'!$B$3</f>
        <v>0</v>
      </c>
      <c r="B1696">
        <f>'Male 30-second Double Under'!A29</f>
        <v>13</v>
      </c>
      <c r="C1696" t="str">
        <f>'Male 30-second Double Under'!B29</f>
        <v>MTDU</v>
      </c>
      <c r="D1696" t="str">
        <f>'Male 30-second Double Under'!C29</f>
        <v>10-under</v>
      </c>
      <c r="E1696">
        <f>'Male 30-second Double Under'!D29</f>
        <v>0</v>
      </c>
      <c r="I1696" t="str">
        <f t="shared" si="63"/>
        <v>MTDU-Male Single Rope Double Under</v>
      </c>
    </row>
    <row r="1697" spans="1:9" x14ac:dyDescent="0.25">
      <c r="A1697">
        <f>'Team Info'!$B$3</f>
        <v>0</v>
      </c>
      <c r="B1697">
        <f>'Male 30-second Double Under'!A30</f>
        <v>14</v>
      </c>
      <c r="C1697" t="str">
        <f>'Male 30-second Double Under'!B30</f>
        <v>MTDU</v>
      </c>
      <c r="D1697" t="str">
        <f>'Male 30-second Double Under'!C30</f>
        <v>10-under</v>
      </c>
      <c r="E1697">
        <f>'Male 30-second Double Under'!D30</f>
        <v>0</v>
      </c>
      <c r="I1697" t="str">
        <f t="shared" si="63"/>
        <v>MTDU-Male Single Rope Double Under</v>
      </c>
    </row>
    <row r="1698" spans="1:9" x14ac:dyDescent="0.25">
      <c r="A1698">
        <f>'Team Info'!$B$3</f>
        <v>0</v>
      </c>
      <c r="B1698">
        <f>'Male 30-second Double Under'!A31</f>
        <v>15</v>
      </c>
      <c r="C1698" t="str">
        <f>'Male 30-second Double Under'!B31</f>
        <v>MTDU</v>
      </c>
      <c r="D1698" t="str">
        <f>'Male 30-second Double Under'!C31</f>
        <v>10-under</v>
      </c>
      <c r="E1698">
        <f>'Male 30-second Double Under'!D31</f>
        <v>0</v>
      </c>
      <c r="I1698" t="str">
        <f t="shared" si="63"/>
        <v>MTDU-Male Single Rope Double Under</v>
      </c>
    </row>
    <row r="1699" spans="1:9" x14ac:dyDescent="0.25">
      <c r="A1699">
        <f>'Team Info'!$B$3</f>
        <v>0</v>
      </c>
      <c r="B1699">
        <f>'Male 30-second Double Under'!A32</f>
        <v>16</v>
      </c>
      <c r="C1699" t="str">
        <f>'Male 30-second Double Under'!B32</f>
        <v>MTDU</v>
      </c>
      <c r="D1699" t="str">
        <f>'Male 30-second Double Under'!C32</f>
        <v>10-under</v>
      </c>
      <c r="E1699">
        <f>'Male 30-second Double Under'!D32</f>
        <v>0</v>
      </c>
      <c r="I1699" t="str">
        <f t="shared" si="63"/>
        <v>MTDU-Male Single Rope Double Under</v>
      </c>
    </row>
    <row r="1700" spans="1:9" x14ac:dyDescent="0.25">
      <c r="A1700">
        <f>'Team Info'!$B$3</f>
        <v>0</v>
      </c>
      <c r="B1700">
        <f>'Male 30-second Double Under'!A33</f>
        <v>17</v>
      </c>
      <c r="C1700" t="str">
        <f>'Male 30-second Double Under'!B33</f>
        <v>MTDU</v>
      </c>
      <c r="D1700" t="str">
        <f>'Male 30-second Double Under'!C33</f>
        <v>10-under</v>
      </c>
      <c r="E1700">
        <f>'Male 30-second Double Under'!D33</f>
        <v>0</v>
      </c>
      <c r="I1700" t="str">
        <f t="shared" si="63"/>
        <v>MTDU-Male Single Rope Double Under</v>
      </c>
    </row>
    <row r="1701" spans="1:9" x14ac:dyDescent="0.25">
      <c r="A1701">
        <f>'Team Info'!$B$3</f>
        <v>0</v>
      </c>
      <c r="B1701">
        <f>'Male 30-second Double Under'!A34</f>
        <v>18</v>
      </c>
      <c r="C1701" t="str">
        <f>'Male 30-second Double Under'!B34</f>
        <v>MTDU</v>
      </c>
      <c r="D1701" t="str">
        <f>'Male 30-second Double Under'!C34</f>
        <v>10-under</v>
      </c>
      <c r="E1701">
        <f>'Male 30-second Double Under'!D34</f>
        <v>0</v>
      </c>
      <c r="I1701" t="str">
        <f t="shared" si="63"/>
        <v>MTDU-Male Single Rope Double Under</v>
      </c>
    </row>
    <row r="1702" spans="1:9" x14ac:dyDescent="0.25">
      <c r="A1702">
        <f>'Team Info'!$B$3</f>
        <v>0</v>
      </c>
      <c r="B1702">
        <f>'Male 30-second Double Under'!A35</f>
        <v>19</v>
      </c>
      <c r="C1702" t="str">
        <f>'Male 30-second Double Under'!B35</f>
        <v>MTDU</v>
      </c>
      <c r="D1702" t="str">
        <f>'Male 30-second Double Under'!C35</f>
        <v>10-under</v>
      </c>
      <c r="E1702">
        <f>'Male 30-second Double Under'!D35</f>
        <v>0</v>
      </c>
      <c r="I1702" t="str">
        <f t="shared" si="63"/>
        <v>MTDU-Male Single Rope Double Under</v>
      </c>
    </row>
    <row r="1703" spans="1:9" x14ac:dyDescent="0.25">
      <c r="A1703">
        <f>'Team Info'!$B$3</f>
        <v>0</v>
      </c>
      <c r="B1703">
        <f>'Male 30-second Double Under'!A36</f>
        <v>20</v>
      </c>
      <c r="C1703" t="str">
        <f>'Male 30-second Double Under'!B36</f>
        <v>MTDU</v>
      </c>
      <c r="D1703" t="str">
        <f>'Male 30-second Double Under'!C36</f>
        <v>10-under</v>
      </c>
      <c r="E1703">
        <f>'Male 30-second Double Under'!D36</f>
        <v>0</v>
      </c>
      <c r="I1703" t="str">
        <f t="shared" si="63"/>
        <v>MTDU-Male Single Rope Double Under</v>
      </c>
    </row>
    <row r="1704" spans="1:9" x14ac:dyDescent="0.25">
      <c r="A1704">
        <f>'Team Info'!$B$3</f>
        <v>0</v>
      </c>
      <c r="B1704">
        <f>'Male 30-second Double Under'!H17</f>
        <v>1</v>
      </c>
      <c r="C1704" t="str">
        <f>'Male 30-second Double Under'!I17</f>
        <v>MTDU</v>
      </c>
      <c r="D1704" t="str">
        <f>'Male 30-second Double Under'!J17</f>
        <v>11-12</v>
      </c>
      <c r="E1704">
        <f>'Male 30-second Double Under'!K17</f>
        <v>0</v>
      </c>
      <c r="I1704" t="str">
        <f t="shared" si="63"/>
        <v>MTDU-Male Single Rope Double Under</v>
      </c>
    </row>
    <row r="1705" spans="1:9" x14ac:dyDescent="0.25">
      <c r="A1705">
        <f>'Team Info'!$B$3</f>
        <v>0</v>
      </c>
      <c r="B1705">
        <f>'Male 30-second Double Under'!H18</f>
        <v>2</v>
      </c>
      <c r="C1705" t="str">
        <f>'Male 30-second Double Under'!I18</f>
        <v>MTDU</v>
      </c>
      <c r="D1705" t="str">
        <f>'Male 30-second Double Under'!J18</f>
        <v>11-12</v>
      </c>
      <c r="E1705">
        <f>'Male 30-second Double Under'!K18</f>
        <v>0</v>
      </c>
      <c r="I1705" t="str">
        <f t="shared" si="63"/>
        <v>MTDU-Male Single Rope Double Under</v>
      </c>
    </row>
    <row r="1706" spans="1:9" x14ac:dyDescent="0.25">
      <c r="A1706">
        <f>'Team Info'!$B$3</f>
        <v>0</v>
      </c>
      <c r="B1706">
        <f>'Male 30-second Double Under'!H19</f>
        <v>3</v>
      </c>
      <c r="C1706" t="str">
        <f>'Male 30-second Double Under'!I19</f>
        <v>MTDU</v>
      </c>
      <c r="D1706" t="str">
        <f>'Male 30-second Double Under'!J19</f>
        <v>11-12</v>
      </c>
      <c r="E1706">
        <f>'Male 30-second Double Under'!K19</f>
        <v>0</v>
      </c>
      <c r="I1706" t="str">
        <f t="shared" si="63"/>
        <v>MTDU-Male Single Rope Double Under</v>
      </c>
    </row>
    <row r="1707" spans="1:9" x14ac:dyDescent="0.25">
      <c r="A1707">
        <f>'Team Info'!$B$3</f>
        <v>0</v>
      </c>
      <c r="B1707">
        <f>'Male 30-second Double Under'!H20</f>
        <v>4</v>
      </c>
      <c r="C1707" t="str">
        <f>'Male 30-second Double Under'!I20</f>
        <v>MTDU</v>
      </c>
      <c r="D1707" t="str">
        <f>'Male 30-second Double Under'!J20</f>
        <v>11-12</v>
      </c>
      <c r="E1707">
        <f>'Male 30-second Double Under'!K20</f>
        <v>0</v>
      </c>
      <c r="I1707" t="str">
        <f t="shared" si="63"/>
        <v>MTDU-Male Single Rope Double Under</v>
      </c>
    </row>
    <row r="1708" spans="1:9" x14ac:dyDescent="0.25">
      <c r="A1708">
        <f>'Team Info'!$B$3</f>
        <v>0</v>
      </c>
      <c r="B1708">
        <f>'Male 30-second Double Under'!H21</f>
        <v>5</v>
      </c>
      <c r="C1708" t="str">
        <f>'Male 30-second Double Under'!I21</f>
        <v>MTDU</v>
      </c>
      <c r="D1708" t="str">
        <f>'Male 30-second Double Under'!J21</f>
        <v>11-12</v>
      </c>
      <c r="E1708">
        <f>'Male 30-second Double Under'!K21</f>
        <v>0</v>
      </c>
      <c r="I1708" t="str">
        <f t="shared" si="63"/>
        <v>MTDU-Male Single Rope Double Under</v>
      </c>
    </row>
    <row r="1709" spans="1:9" x14ac:dyDescent="0.25">
      <c r="A1709">
        <f>'Team Info'!$B$3</f>
        <v>0</v>
      </c>
      <c r="B1709">
        <f>'Male 30-second Double Under'!H22</f>
        <v>6</v>
      </c>
      <c r="C1709" t="str">
        <f>'Male 30-second Double Under'!I22</f>
        <v>MTDU</v>
      </c>
      <c r="D1709" t="str">
        <f>'Male 30-second Double Under'!J22</f>
        <v>11-12</v>
      </c>
      <c r="E1709">
        <f>'Male 30-second Double Under'!K22</f>
        <v>0</v>
      </c>
      <c r="I1709" t="str">
        <f t="shared" si="63"/>
        <v>MTDU-Male Single Rope Double Under</v>
      </c>
    </row>
    <row r="1710" spans="1:9" x14ac:dyDescent="0.25">
      <c r="A1710">
        <f>'Team Info'!$B$3</f>
        <v>0</v>
      </c>
      <c r="B1710">
        <f>'Male 30-second Double Under'!H23</f>
        <v>7</v>
      </c>
      <c r="C1710" t="str">
        <f>'Male 30-second Double Under'!I23</f>
        <v>MTDU</v>
      </c>
      <c r="D1710" t="str">
        <f>'Male 30-second Double Under'!J23</f>
        <v>11-12</v>
      </c>
      <c r="E1710">
        <f>'Male 30-second Double Under'!K23</f>
        <v>0</v>
      </c>
      <c r="I1710" t="str">
        <f t="shared" si="63"/>
        <v>MTDU-Male Single Rope Double Under</v>
      </c>
    </row>
    <row r="1711" spans="1:9" x14ac:dyDescent="0.25">
      <c r="A1711">
        <f>'Team Info'!$B$3</f>
        <v>0</v>
      </c>
      <c r="B1711">
        <f>'Male 30-second Double Under'!H24</f>
        <v>8</v>
      </c>
      <c r="C1711" t="str">
        <f>'Male 30-second Double Under'!I24</f>
        <v>MTDU</v>
      </c>
      <c r="D1711" t="str">
        <f>'Male 30-second Double Under'!J24</f>
        <v>11-12</v>
      </c>
      <c r="E1711">
        <f>'Male 30-second Double Under'!K24</f>
        <v>0</v>
      </c>
      <c r="I1711" t="str">
        <f t="shared" si="63"/>
        <v>MTDU-Male Single Rope Double Under</v>
      </c>
    </row>
    <row r="1712" spans="1:9" x14ac:dyDescent="0.25">
      <c r="A1712">
        <f>'Team Info'!$B$3</f>
        <v>0</v>
      </c>
      <c r="B1712">
        <f>'Male 30-second Double Under'!H25</f>
        <v>9</v>
      </c>
      <c r="C1712" t="str">
        <f>'Male 30-second Double Under'!I25</f>
        <v>MTDU</v>
      </c>
      <c r="D1712" t="str">
        <f>'Male 30-second Double Under'!J25</f>
        <v>11-12</v>
      </c>
      <c r="E1712">
        <f>'Male 30-second Double Under'!K25</f>
        <v>0</v>
      </c>
      <c r="I1712" t="str">
        <f t="shared" si="63"/>
        <v>MTDU-Male Single Rope Double Under</v>
      </c>
    </row>
    <row r="1713" spans="1:9" x14ac:dyDescent="0.25">
      <c r="A1713">
        <f>'Team Info'!$B$3</f>
        <v>0</v>
      </c>
      <c r="B1713">
        <f>'Male 30-second Double Under'!H26</f>
        <v>10</v>
      </c>
      <c r="C1713" t="str">
        <f>'Male 30-second Double Under'!I26</f>
        <v>MTDU</v>
      </c>
      <c r="D1713" t="str">
        <f>'Male 30-second Double Under'!J26</f>
        <v>11-12</v>
      </c>
      <c r="E1713">
        <f>'Male 30-second Double Under'!K26</f>
        <v>0</v>
      </c>
      <c r="I1713" t="str">
        <f t="shared" si="63"/>
        <v>MTDU-Male Single Rope Double Under</v>
      </c>
    </row>
    <row r="1714" spans="1:9" x14ac:dyDescent="0.25">
      <c r="A1714">
        <f>'Team Info'!$B$3</f>
        <v>0</v>
      </c>
      <c r="B1714">
        <f>'Male 30-second Double Under'!H27</f>
        <v>11</v>
      </c>
      <c r="C1714" t="str">
        <f>'Male 30-second Double Under'!I27</f>
        <v>MTDU</v>
      </c>
      <c r="D1714" t="str">
        <f>'Male 30-second Double Under'!J27</f>
        <v>11-12</v>
      </c>
      <c r="E1714">
        <f>'Male 30-second Double Under'!K27</f>
        <v>0</v>
      </c>
      <c r="I1714" t="str">
        <f t="shared" si="63"/>
        <v>MTDU-Male Single Rope Double Under</v>
      </c>
    </row>
    <row r="1715" spans="1:9" x14ac:dyDescent="0.25">
      <c r="A1715">
        <f>'Team Info'!$B$3</f>
        <v>0</v>
      </c>
      <c r="B1715">
        <f>'Male 30-second Double Under'!H28</f>
        <v>12</v>
      </c>
      <c r="C1715" t="str">
        <f>'Male 30-second Double Under'!I28</f>
        <v>MTDU</v>
      </c>
      <c r="D1715" t="str">
        <f>'Male 30-second Double Under'!J28</f>
        <v>11-12</v>
      </c>
      <c r="E1715">
        <f>'Male 30-second Double Under'!K28</f>
        <v>0</v>
      </c>
      <c r="I1715" t="str">
        <f t="shared" si="63"/>
        <v>MTDU-Male Single Rope Double Under</v>
      </c>
    </row>
    <row r="1716" spans="1:9" x14ac:dyDescent="0.25">
      <c r="A1716">
        <f>'Team Info'!$B$3</f>
        <v>0</v>
      </c>
      <c r="B1716">
        <f>'Male 30-second Double Under'!H29</f>
        <v>13</v>
      </c>
      <c r="C1716" t="str">
        <f>'Male 30-second Double Under'!I29</f>
        <v>MTDU</v>
      </c>
      <c r="D1716" t="str">
        <f>'Male 30-second Double Under'!J29</f>
        <v>11-12</v>
      </c>
      <c r="E1716">
        <f>'Male 30-second Double Under'!K29</f>
        <v>0</v>
      </c>
      <c r="I1716" t="str">
        <f t="shared" si="63"/>
        <v>MTDU-Male Single Rope Double Under</v>
      </c>
    </row>
    <row r="1717" spans="1:9" x14ac:dyDescent="0.25">
      <c r="A1717">
        <f>'Team Info'!$B$3</f>
        <v>0</v>
      </c>
      <c r="B1717">
        <f>'Male 30-second Double Under'!H30</f>
        <v>14</v>
      </c>
      <c r="C1717" t="str">
        <f>'Male 30-second Double Under'!I30</f>
        <v>MTDU</v>
      </c>
      <c r="D1717" t="str">
        <f>'Male 30-second Double Under'!J30</f>
        <v>11-12</v>
      </c>
      <c r="E1717">
        <f>'Male 30-second Double Under'!K30</f>
        <v>0</v>
      </c>
      <c r="I1717" t="str">
        <f t="shared" si="63"/>
        <v>MTDU-Male Single Rope Double Under</v>
      </c>
    </row>
    <row r="1718" spans="1:9" x14ac:dyDescent="0.25">
      <c r="A1718">
        <f>'Team Info'!$B$3</f>
        <v>0</v>
      </c>
      <c r="B1718">
        <f>'Male 30-second Double Under'!H31</f>
        <v>15</v>
      </c>
      <c r="C1718" t="str">
        <f>'Male 30-second Double Under'!I31</f>
        <v>MTDU</v>
      </c>
      <c r="D1718" t="str">
        <f>'Male 30-second Double Under'!J31</f>
        <v>11-12</v>
      </c>
      <c r="E1718">
        <f>'Male 30-second Double Under'!K31</f>
        <v>0</v>
      </c>
      <c r="I1718" t="str">
        <f t="shared" si="63"/>
        <v>MTDU-Male Single Rope Double Under</v>
      </c>
    </row>
    <row r="1719" spans="1:9" x14ac:dyDescent="0.25">
      <c r="A1719">
        <f>'Team Info'!$B$3</f>
        <v>0</v>
      </c>
      <c r="B1719">
        <f>'Male 30-second Double Under'!H32</f>
        <v>16</v>
      </c>
      <c r="C1719" t="str">
        <f>'Male 30-second Double Under'!I32</f>
        <v>MTDU</v>
      </c>
      <c r="D1719" t="str">
        <f>'Male 30-second Double Under'!J32</f>
        <v>11-12</v>
      </c>
      <c r="E1719">
        <f>'Male 30-second Double Under'!K32</f>
        <v>0</v>
      </c>
      <c r="I1719" t="str">
        <f t="shared" si="63"/>
        <v>MTDU-Male Single Rope Double Under</v>
      </c>
    </row>
    <row r="1720" spans="1:9" x14ac:dyDescent="0.25">
      <c r="A1720">
        <f>'Team Info'!$B$3</f>
        <v>0</v>
      </c>
      <c r="B1720">
        <f>'Male 30-second Double Under'!H33</f>
        <v>17</v>
      </c>
      <c r="C1720" t="str">
        <f>'Male 30-second Double Under'!I33</f>
        <v>MTDU</v>
      </c>
      <c r="D1720" t="str">
        <f>'Male 30-second Double Under'!J33</f>
        <v>11-12</v>
      </c>
      <c r="E1720">
        <f>'Male 30-second Double Under'!K33</f>
        <v>0</v>
      </c>
      <c r="I1720" t="str">
        <f t="shared" si="63"/>
        <v>MTDU-Male Single Rope Double Under</v>
      </c>
    </row>
    <row r="1721" spans="1:9" x14ac:dyDescent="0.25">
      <c r="A1721">
        <f>'Team Info'!$B$3</f>
        <v>0</v>
      </c>
      <c r="B1721">
        <f>'Male 30-second Double Under'!H34</f>
        <v>18</v>
      </c>
      <c r="C1721" t="str">
        <f>'Male 30-second Double Under'!I34</f>
        <v>MTDU</v>
      </c>
      <c r="D1721" t="str">
        <f>'Male 30-second Double Under'!J34</f>
        <v>11-12</v>
      </c>
      <c r="E1721">
        <f>'Male 30-second Double Under'!K34</f>
        <v>0</v>
      </c>
      <c r="I1721" t="str">
        <f t="shared" si="63"/>
        <v>MTDU-Male Single Rope Double Under</v>
      </c>
    </row>
    <row r="1722" spans="1:9" x14ac:dyDescent="0.25">
      <c r="A1722">
        <f>'Team Info'!$B$3</f>
        <v>0</v>
      </c>
      <c r="B1722">
        <f>'Male 30-second Double Under'!H35</f>
        <v>19</v>
      </c>
      <c r="C1722" t="str">
        <f>'Male 30-second Double Under'!I35</f>
        <v>MTDU</v>
      </c>
      <c r="D1722" t="str">
        <f>'Male 30-second Double Under'!J35</f>
        <v>11-12</v>
      </c>
      <c r="E1722">
        <f>'Male 30-second Double Under'!K35</f>
        <v>0</v>
      </c>
      <c r="I1722" t="str">
        <f t="shared" si="63"/>
        <v>MTDU-Male Single Rope Double Under</v>
      </c>
    </row>
    <row r="1723" spans="1:9" x14ac:dyDescent="0.25">
      <c r="A1723">
        <f>'Team Info'!$B$3</f>
        <v>0</v>
      </c>
      <c r="B1723">
        <f>'Male 30-second Double Under'!H36</f>
        <v>20</v>
      </c>
      <c r="C1723" t="str">
        <f>'Male 30-second Double Under'!I36</f>
        <v>MTDU</v>
      </c>
      <c r="D1723" t="str">
        <f>'Male 30-second Double Under'!J36</f>
        <v>11-12</v>
      </c>
      <c r="E1723">
        <f>'Male 30-second Double Under'!K36</f>
        <v>0</v>
      </c>
      <c r="I1723" t="str">
        <f t="shared" si="63"/>
        <v>MTDU-Male Single Rope Double Under</v>
      </c>
    </row>
    <row r="1724" spans="1:9" x14ac:dyDescent="0.25">
      <c r="A1724">
        <f>'Team Info'!$B$3</f>
        <v>0</v>
      </c>
      <c r="B1724">
        <f>'Male 30-second Double Under'!A39</f>
        <v>1</v>
      </c>
      <c r="C1724" t="str">
        <f>'Male 30-second Double Under'!B39</f>
        <v>MTDU</v>
      </c>
      <c r="D1724" t="str">
        <f>'Male 30-second Double Under'!C39</f>
        <v>13-14</v>
      </c>
      <c r="E1724">
        <f>'Male 30-second Double Under'!D39</f>
        <v>0</v>
      </c>
      <c r="I1724" t="str">
        <f t="shared" si="63"/>
        <v>MTDU-Male Single Rope Double Under</v>
      </c>
    </row>
    <row r="1725" spans="1:9" x14ac:dyDescent="0.25">
      <c r="A1725">
        <f>'Team Info'!$B$3</f>
        <v>0</v>
      </c>
      <c r="B1725">
        <f>'Male 30-second Double Under'!A40</f>
        <v>2</v>
      </c>
      <c r="C1725" t="str">
        <f>'Male 30-second Double Under'!B40</f>
        <v>MTDU</v>
      </c>
      <c r="D1725" t="str">
        <f>'Male 30-second Double Under'!C40</f>
        <v>13-14</v>
      </c>
      <c r="E1725">
        <f>'Male 30-second Double Under'!D40</f>
        <v>0</v>
      </c>
      <c r="I1725" t="str">
        <f t="shared" si="63"/>
        <v>MTDU-Male Single Rope Double Under</v>
      </c>
    </row>
    <row r="1726" spans="1:9" x14ac:dyDescent="0.25">
      <c r="A1726">
        <f>'Team Info'!$B$3</f>
        <v>0</v>
      </c>
      <c r="B1726">
        <f>'Male 30-second Double Under'!A41</f>
        <v>3</v>
      </c>
      <c r="C1726" t="str">
        <f>'Male 30-second Double Under'!B41</f>
        <v>MTDU</v>
      </c>
      <c r="D1726" t="str">
        <f>'Male 30-second Double Under'!C41</f>
        <v>13-14</v>
      </c>
      <c r="E1726">
        <f>'Male 30-second Double Under'!D41</f>
        <v>0</v>
      </c>
      <c r="I1726" t="str">
        <f t="shared" si="63"/>
        <v>MTDU-Male Single Rope Double Under</v>
      </c>
    </row>
    <row r="1727" spans="1:9" x14ac:dyDescent="0.25">
      <c r="A1727">
        <f>'Team Info'!$B$3</f>
        <v>0</v>
      </c>
      <c r="B1727">
        <f>'Male 30-second Double Under'!A42</f>
        <v>4</v>
      </c>
      <c r="C1727" t="str">
        <f>'Male 30-second Double Under'!B42</f>
        <v>MTDU</v>
      </c>
      <c r="D1727" t="str">
        <f>'Male 30-second Double Under'!C42</f>
        <v>13-14</v>
      </c>
      <c r="E1727">
        <f>'Male 30-second Double Under'!D42</f>
        <v>0</v>
      </c>
      <c r="I1727" t="str">
        <f t="shared" si="63"/>
        <v>MTDU-Male Single Rope Double Under</v>
      </c>
    </row>
    <row r="1728" spans="1:9" x14ac:dyDescent="0.25">
      <c r="A1728">
        <f>'Team Info'!$B$3</f>
        <v>0</v>
      </c>
      <c r="B1728">
        <f>'Male 30-second Double Under'!A43</f>
        <v>5</v>
      </c>
      <c r="C1728" t="str">
        <f>'Male 30-second Double Under'!B43</f>
        <v>MTDU</v>
      </c>
      <c r="D1728" t="str">
        <f>'Male 30-second Double Under'!C43</f>
        <v>13-14</v>
      </c>
      <c r="E1728">
        <f>'Male 30-second Double Under'!D43</f>
        <v>0</v>
      </c>
      <c r="I1728" t="str">
        <f t="shared" si="63"/>
        <v>MTDU-Male Single Rope Double Under</v>
      </c>
    </row>
    <row r="1729" spans="1:9" x14ac:dyDescent="0.25">
      <c r="A1729">
        <f>'Team Info'!$B$3</f>
        <v>0</v>
      </c>
      <c r="B1729">
        <f>'Male 30-second Double Under'!A44</f>
        <v>6</v>
      </c>
      <c r="C1729" t="str">
        <f>'Male 30-second Double Under'!B44</f>
        <v>MTDU</v>
      </c>
      <c r="D1729" t="str">
        <f>'Male 30-second Double Under'!C44</f>
        <v>13-14</v>
      </c>
      <c r="E1729">
        <f>'Male 30-second Double Under'!D44</f>
        <v>0</v>
      </c>
      <c r="I1729" t="str">
        <f t="shared" si="63"/>
        <v>MTDU-Male Single Rope Double Under</v>
      </c>
    </row>
    <row r="1730" spans="1:9" x14ac:dyDescent="0.25">
      <c r="A1730">
        <f>'Team Info'!$B$3</f>
        <v>0</v>
      </c>
      <c r="B1730">
        <f>'Male 30-second Double Under'!A45</f>
        <v>7</v>
      </c>
      <c r="C1730" t="str">
        <f>'Male 30-second Double Under'!B45</f>
        <v>MTDU</v>
      </c>
      <c r="D1730" t="str">
        <f>'Male 30-second Double Under'!C45</f>
        <v>13-14</v>
      </c>
      <c r="E1730">
        <f>'Male 30-second Double Under'!D45</f>
        <v>0</v>
      </c>
      <c r="I1730" t="str">
        <f t="shared" si="63"/>
        <v>MTDU-Male Single Rope Double Under</v>
      </c>
    </row>
    <row r="1731" spans="1:9" x14ac:dyDescent="0.25">
      <c r="A1731">
        <f>'Team Info'!$B$3</f>
        <v>0</v>
      </c>
      <c r="B1731">
        <f>'Male 30-second Double Under'!A46</f>
        <v>8</v>
      </c>
      <c r="C1731" t="str">
        <f>'Male 30-second Double Under'!B46</f>
        <v>MTDU</v>
      </c>
      <c r="D1731" t="str">
        <f>'Male 30-second Double Under'!C46</f>
        <v>13-14</v>
      </c>
      <c r="E1731">
        <f>'Male 30-second Double Under'!D46</f>
        <v>0</v>
      </c>
      <c r="I1731" t="str">
        <f t="shared" si="63"/>
        <v>MTDU-Male Single Rope Double Under</v>
      </c>
    </row>
    <row r="1732" spans="1:9" x14ac:dyDescent="0.25">
      <c r="A1732">
        <f>'Team Info'!$B$3</f>
        <v>0</v>
      </c>
      <c r="B1732">
        <f>'Male 30-second Double Under'!A47</f>
        <v>9</v>
      </c>
      <c r="C1732" t="str">
        <f>'Male 30-second Double Under'!B47</f>
        <v>MTDU</v>
      </c>
      <c r="D1732" t="str">
        <f>'Male 30-second Double Under'!C47</f>
        <v>13-14</v>
      </c>
      <c r="E1732">
        <f>'Male 30-second Double Under'!D47</f>
        <v>0</v>
      </c>
      <c r="I1732" t="str">
        <f t="shared" si="63"/>
        <v>MTDU-Male Single Rope Double Under</v>
      </c>
    </row>
    <row r="1733" spans="1:9" x14ac:dyDescent="0.25">
      <c r="A1733">
        <f>'Team Info'!$B$3</f>
        <v>0</v>
      </c>
      <c r="B1733">
        <f>'Male 30-second Double Under'!A48</f>
        <v>10</v>
      </c>
      <c r="C1733" t="str">
        <f>'Male 30-second Double Under'!B48</f>
        <v>MTDU</v>
      </c>
      <c r="D1733" t="str">
        <f>'Male 30-second Double Under'!C48</f>
        <v>13-14</v>
      </c>
      <c r="E1733">
        <f>'Male 30-second Double Under'!D48</f>
        <v>0</v>
      </c>
      <c r="I1733" t="str">
        <f t="shared" si="63"/>
        <v>MTDU-Male Single Rope Double Under</v>
      </c>
    </row>
    <row r="1734" spans="1:9" x14ac:dyDescent="0.25">
      <c r="A1734">
        <f>'Team Info'!$B$3</f>
        <v>0</v>
      </c>
      <c r="B1734">
        <f>'Male 30-second Double Under'!A49</f>
        <v>11</v>
      </c>
      <c r="C1734" t="str">
        <f>'Male 30-second Double Under'!B49</f>
        <v>MTDU</v>
      </c>
      <c r="D1734" t="str">
        <f>'Male 30-second Double Under'!C49</f>
        <v>13-14</v>
      </c>
      <c r="E1734">
        <f>'Male 30-second Double Under'!D49</f>
        <v>0</v>
      </c>
      <c r="I1734" t="str">
        <f t="shared" si="63"/>
        <v>MTDU-Male Single Rope Double Under</v>
      </c>
    </row>
    <row r="1735" spans="1:9" x14ac:dyDescent="0.25">
      <c r="A1735">
        <f>'Team Info'!$B$3</f>
        <v>0</v>
      </c>
      <c r="B1735">
        <f>'Male 30-second Double Under'!A50</f>
        <v>12</v>
      </c>
      <c r="C1735" t="str">
        <f>'Male 30-second Double Under'!B50</f>
        <v>MTDU</v>
      </c>
      <c r="D1735" t="str">
        <f>'Male 30-second Double Under'!C50</f>
        <v>13-14</v>
      </c>
      <c r="E1735">
        <f>'Male 30-second Double Under'!D50</f>
        <v>0</v>
      </c>
      <c r="I1735" t="str">
        <f t="shared" si="63"/>
        <v>MTDU-Male Single Rope Double Under</v>
      </c>
    </row>
    <row r="1736" spans="1:9" x14ac:dyDescent="0.25">
      <c r="A1736">
        <f>'Team Info'!$B$3</f>
        <v>0</v>
      </c>
      <c r="B1736">
        <f>'Male 30-second Double Under'!A51</f>
        <v>13</v>
      </c>
      <c r="C1736" t="str">
        <f>'Male 30-second Double Under'!B51</f>
        <v>MTDU</v>
      </c>
      <c r="D1736" t="str">
        <f>'Male 30-second Double Under'!C51</f>
        <v>13-14</v>
      </c>
      <c r="E1736">
        <f>'Male 30-second Double Under'!D51</f>
        <v>0</v>
      </c>
      <c r="I1736" t="str">
        <f t="shared" si="63"/>
        <v>MTDU-Male Single Rope Double Under</v>
      </c>
    </row>
    <row r="1737" spans="1:9" x14ac:dyDescent="0.25">
      <c r="A1737">
        <f>'Team Info'!$B$3</f>
        <v>0</v>
      </c>
      <c r="B1737">
        <f>'Male 30-second Double Under'!A52</f>
        <v>14</v>
      </c>
      <c r="C1737" t="str">
        <f>'Male 30-second Double Under'!B52</f>
        <v>MTDU</v>
      </c>
      <c r="D1737" t="str">
        <f>'Male 30-second Double Under'!C52</f>
        <v>13-14</v>
      </c>
      <c r="E1737">
        <f>'Male 30-second Double Under'!D52</f>
        <v>0</v>
      </c>
      <c r="I1737" t="str">
        <f t="shared" si="63"/>
        <v>MTDU-Male Single Rope Double Under</v>
      </c>
    </row>
    <row r="1738" spans="1:9" x14ac:dyDescent="0.25">
      <c r="A1738">
        <f>'Team Info'!$B$3</f>
        <v>0</v>
      </c>
      <c r="B1738">
        <f>'Male 30-second Double Under'!A53</f>
        <v>15</v>
      </c>
      <c r="C1738" t="str">
        <f>'Male 30-second Double Under'!B53</f>
        <v>MTDU</v>
      </c>
      <c r="D1738" t="str">
        <f>'Male 30-second Double Under'!C53</f>
        <v>13-14</v>
      </c>
      <c r="E1738">
        <f>'Male 30-second Double Under'!D53</f>
        <v>0</v>
      </c>
      <c r="I1738" t="str">
        <f t="shared" si="63"/>
        <v>MTDU-Male Single Rope Double Under</v>
      </c>
    </row>
    <row r="1739" spans="1:9" x14ac:dyDescent="0.25">
      <c r="A1739">
        <f>'Team Info'!$B$3</f>
        <v>0</v>
      </c>
      <c r="B1739">
        <f>'Male 30-second Double Under'!A54</f>
        <v>16</v>
      </c>
      <c r="C1739" t="str">
        <f>'Male 30-second Double Under'!B54</f>
        <v>MTDU</v>
      </c>
      <c r="D1739" t="str">
        <f>'Male 30-second Double Under'!C54</f>
        <v>13-14</v>
      </c>
      <c r="E1739">
        <f>'Male 30-second Double Under'!D54</f>
        <v>0</v>
      </c>
      <c r="I1739" t="str">
        <f t="shared" si="63"/>
        <v>MTDU-Male Single Rope Double Under</v>
      </c>
    </row>
    <row r="1740" spans="1:9" x14ac:dyDescent="0.25">
      <c r="A1740">
        <f>'Team Info'!$B$3</f>
        <v>0</v>
      </c>
      <c r="B1740">
        <f>'Male 30-second Double Under'!A55</f>
        <v>17</v>
      </c>
      <c r="C1740" t="str">
        <f>'Male 30-second Double Under'!B55</f>
        <v>MTDU</v>
      </c>
      <c r="D1740" t="str">
        <f>'Male 30-second Double Under'!C55</f>
        <v>13-14</v>
      </c>
      <c r="E1740">
        <f>'Male 30-second Double Under'!D55</f>
        <v>0</v>
      </c>
      <c r="I1740" t="str">
        <f t="shared" si="63"/>
        <v>MTDU-Male Single Rope Double Under</v>
      </c>
    </row>
    <row r="1741" spans="1:9" x14ac:dyDescent="0.25">
      <c r="A1741">
        <f>'Team Info'!$B$3</f>
        <v>0</v>
      </c>
      <c r="B1741">
        <f>'Male 30-second Double Under'!A56</f>
        <v>18</v>
      </c>
      <c r="C1741" t="str">
        <f>'Male 30-second Double Under'!B56</f>
        <v>MTDU</v>
      </c>
      <c r="D1741" t="str">
        <f>'Male 30-second Double Under'!C56</f>
        <v>13-14</v>
      </c>
      <c r="E1741">
        <f>'Male 30-second Double Under'!D56</f>
        <v>0</v>
      </c>
      <c r="I1741" t="str">
        <f t="shared" si="63"/>
        <v>MTDU-Male Single Rope Double Under</v>
      </c>
    </row>
    <row r="1742" spans="1:9" x14ac:dyDescent="0.25">
      <c r="A1742">
        <f>'Team Info'!$B$3</f>
        <v>0</v>
      </c>
      <c r="B1742">
        <f>'Male 30-second Double Under'!A57</f>
        <v>19</v>
      </c>
      <c r="C1742" t="str">
        <f>'Male 30-second Double Under'!B57</f>
        <v>MTDU</v>
      </c>
      <c r="D1742" t="str">
        <f>'Male 30-second Double Under'!C57</f>
        <v>13-14</v>
      </c>
      <c r="E1742">
        <f>'Male 30-second Double Under'!D57</f>
        <v>0</v>
      </c>
      <c r="I1742" t="str">
        <f t="shared" si="63"/>
        <v>MTDU-Male Single Rope Double Under</v>
      </c>
    </row>
    <row r="1743" spans="1:9" x14ac:dyDescent="0.25">
      <c r="A1743">
        <f>'Team Info'!$B$3</f>
        <v>0</v>
      </c>
      <c r="B1743">
        <f>'Male 30-second Double Under'!A58</f>
        <v>20</v>
      </c>
      <c r="C1743" t="str">
        <f>'Male 30-second Double Under'!B58</f>
        <v>MTDU</v>
      </c>
      <c r="D1743" t="str">
        <f>'Male 30-second Double Under'!C58</f>
        <v>13-14</v>
      </c>
      <c r="E1743">
        <f>'Male 30-second Double Under'!D58</f>
        <v>0</v>
      </c>
      <c r="I1743" t="str">
        <f t="shared" si="63"/>
        <v>MTDU-Male Single Rope Double Under</v>
      </c>
    </row>
    <row r="1744" spans="1:9" x14ac:dyDescent="0.25">
      <c r="A1744">
        <f>'Team Info'!$B$3</f>
        <v>0</v>
      </c>
      <c r="B1744">
        <f>'Male 30-second Double Under'!H39</f>
        <v>1</v>
      </c>
      <c r="C1744" t="str">
        <f>'Male 30-second Double Under'!I39</f>
        <v>MTDU</v>
      </c>
      <c r="D1744" t="str">
        <f>'Male 30-second Double Under'!J39</f>
        <v>15-16</v>
      </c>
      <c r="E1744">
        <f>'Male 30-second Double Under'!K39</f>
        <v>0</v>
      </c>
      <c r="I1744" t="str">
        <f t="shared" si="63"/>
        <v>MTDU-Male Single Rope Double Under</v>
      </c>
    </row>
    <row r="1745" spans="1:9" x14ac:dyDescent="0.25">
      <c r="A1745">
        <f>'Team Info'!$B$3</f>
        <v>0</v>
      </c>
      <c r="B1745">
        <f>'Male 30-second Double Under'!H40</f>
        <v>2</v>
      </c>
      <c r="C1745" t="str">
        <f>'Male 30-second Double Under'!I40</f>
        <v>MTDU</v>
      </c>
      <c r="D1745" t="str">
        <f>'Male 30-second Double Under'!J40</f>
        <v>15-16</v>
      </c>
      <c r="E1745">
        <f>'Male 30-second Double Under'!K40</f>
        <v>0</v>
      </c>
      <c r="I1745" t="str">
        <f t="shared" si="63"/>
        <v>MTDU-Male Single Rope Double Under</v>
      </c>
    </row>
    <row r="1746" spans="1:9" x14ac:dyDescent="0.25">
      <c r="A1746">
        <f>'Team Info'!$B$3</f>
        <v>0</v>
      </c>
      <c r="B1746">
        <f>'Male 30-second Double Under'!H41</f>
        <v>3</v>
      </c>
      <c r="C1746" t="str">
        <f>'Male 30-second Double Under'!I41</f>
        <v>MTDU</v>
      </c>
      <c r="D1746" t="str">
        <f>'Male 30-second Double Under'!J41</f>
        <v>15-16</v>
      </c>
      <c r="E1746">
        <f>'Male 30-second Double Under'!K41</f>
        <v>0</v>
      </c>
      <c r="I1746" t="str">
        <f t="shared" si="63"/>
        <v>MTDU-Male Single Rope Double Under</v>
      </c>
    </row>
    <row r="1747" spans="1:9" x14ac:dyDescent="0.25">
      <c r="A1747">
        <f>'Team Info'!$B$3</f>
        <v>0</v>
      </c>
      <c r="B1747">
        <f>'Male 30-second Double Under'!H42</f>
        <v>4</v>
      </c>
      <c r="C1747" t="str">
        <f>'Male 30-second Double Under'!I42</f>
        <v>MTDU</v>
      </c>
      <c r="D1747" t="str">
        <f>'Male 30-second Double Under'!J42</f>
        <v>15-16</v>
      </c>
      <c r="E1747">
        <f>'Male 30-second Double Under'!K42</f>
        <v>0</v>
      </c>
      <c r="I1747" t="str">
        <f t="shared" si="63"/>
        <v>MTDU-Male Single Rope Double Under</v>
      </c>
    </row>
    <row r="1748" spans="1:9" x14ac:dyDescent="0.25">
      <c r="A1748">
        <f>'Team Info'!$B$3</f>
        <v>0</v>
      </c>
      <c r="B1748">
        <f>'Male 30-second Double Under'!H43</f>
        <v>5</v>
      </c>
      <c r="C1748" t="str">
        <f>'Male 30-second Double Under'!I43</f>
        <v>MTDU</v>
      </c>
      <c r="D1748" t="str">
        <f>'Male 30-second Double Under'!J43</f>
        <v>15-16</v>
      </c>
      <c r="E1748">
        <f>'Male 30-second Double Under'!K43</f>
        <v>0</v>
      </c>
      <c r="I1748" t="str">
        <f t="shared" si="63"/>
        <v>MTDU-Male Single Rope Double Under</v>
      </c>
    </row>
    <row r="1749" spans="1:9" x14ac:dyDescent="0.25">
      <c r="A1749">
        <f>'Team Info'!$B$3</f>
        <v>0</v>
      </c>
      <c r="B1749">
        <f>'Male 30-second Double Under'!H44</f>
        <v>6</v>
      </c>
      <c r="C1749" t="str">
        <f>'Male 30-second Double Under'!I44</f>
        <v>MTDU</v>
      </c>
      <c r="D1749" t="str">
        <f>'Male 30-second Double Under'!J44</f>
        <v>15-16</v>
      </c>
      <c r="E1749">
        <f>'Male 30-second Double Under'!K44</f>
        <v>0</v>
      </c>
      <c r="I1749" t="str">
        <f t="shared" si="63"/>
        <v>MTDU-Male Single Rope Double Under</v>
      </c>
    </row>
    <row r="1750" spans="1:9" x14ac:dyDescent="0.25">
      <c r="A1750">
        <f>'Team Info'!$B$3</f>
        <v>0</v>
      </c>
      <c r="B1750">
        <f>'Male 30-second Double Under'!H45</f>
        <v>7</v>
      </c>
      <c r="C1750" t="str">
        <f>'Male 30-second Double Under'!I45</f>
        <v>MTDU</v>
      </c>
      <c r="D1750" t="str">
        <f>'Male 30-second Double Under'!J45</f>
        <v>15-16</v>
      </c>
      <c r="E1750">
        <f>'Male 30-second Double Under'!K45</f>
        <v>0</v>
      </c>
      <c r="I1750" t="str">
        <f t="shared" si="63"/>
        <v>MTDU-Male Single Rope Double Under</v>
      </c>
    </row>
    <row r="1751" spans="1:9" x14ac:dyDescent="0.25">
      <c r="A1751">
        <f>'Team Info'!$B$3</f>
        <v>0</v>
      </c>
      <c r="B1751">
        <f>'Male 30-second Double Under'!H46</f>
        <v>8</v>
      </c>
      <c r="C1751" t="str">
        <f>'Male 30-second Double Under'!I46</f>
        <v>MTDU</v>
      </c>
      <c r="D1751" t="str">
        <f>'Male 30-second Double Under'!J46</f>
        <v>15-16</v>
      </c>
      <c r="E1751">
        <f>'Male 30-second Double Under'!K46</f>
        <v>0</v>
      </c>
      <c r="I1751" t="str">
        <f t="shared" si="63"/>
        <v>MTDU-Male Single Rope Double Under</v>
      </c>
    </row>
    <row r="1752" spans="1:9" x14ac:dyDescent="0.25">
      <c r="A1752">
        <f>'Team Info'!$B$3</f>
        <v>0</v>
      </c>
      <c r="B1752">
        <f>'Male 30-second Double Under'!H47</f>
        <v>9</v>
      </c>
      <c r="C1752" t="str">
        <f>'Male 30-second Double Under'!I47</f>
        <v>MTDU</v>
      </c>
      <c r="D1752" t="str">
        <f>'Male 30-second Double Under'!J47</f>
        <v>15-16</v>
      </c>
      <c r="E1752">
        <f>'Male 30-second Double Under'!K47</f>
        <v>0</v>
      </c>
      <c r="I1752" t="str">
        <f t="shared" si="63"/>
        <v>MTDU-Male Single Rope Double Under</v>
      </c>
    </row>
    <row r="1753" spans="1:9" x14ac:dyDescent="0.25">
      <c r="A1753">
        <f>'Team Info'!$B$3</f>
        <v>0</v>
      </c>
      <c r="B1753">
        <f>'Male 30-second Double Under'!H48</f>
        <v>10</v>
      </c>
      <c r="C1753" t="str">
        <f>'Male 30-second Double Under'!I48</f>
        <v>MTDU</v>
      </c>
      <c r="D1753" t="str">
        <f>'Male 30-second Double Under'!J48</f>
        <v>15-16</v>
      </c>
      <c r="E1753">
        <f>'Male 30-second Double Under'!K48</f>
        <v>0</v>
      </c>
      <c r="I1753" t="str">
        <f t="shared" si="63"/>
        <v>MTDU-Male Single Rope Double Under</v>
      </c>
    </row>
    <row r="1754" spans="1:9" x14ac:dyDescent="0.25">
      <c r="A1754">
        <f>'Team Info'!$B$3</f>
        <v>0</v>
      </c>
      <c r="B1754">
        <f>'Male 30-second Double Under'!H49</f>
        <v>11</v>
      </c>
      <c r="C1754" t="str">
        <f>'Male 30-second Double Under'!I49</f>
        <v>MTDU</v>
      </c>
      <c r="D1754" t="str">
        <f>'Male 30-second Double Under'!J49</f>
        <v>15-16</v>
      </c>
      <c r="E1754">
        <f>'Male 30-second Double Under'!K49</f>
        <v>0</v>
      </c>
      <c r="I1754" t="str">
        <f t="shared" si="63"/>
        <v>MTDU-Male Single Rope Double Under</v>
      </c>
    </row>
    <row r="1755" spans="1:9" x14ac:dyDescent="0.25">
      <c r="A1755">
        <f>'Team Info'!$B$3</f>
        <v>0</v>
      </c>
      <c r="B1755">
        <f>'Male 30-second Double Under'!H50</f>
        <v>12</v>
      </c>
      <c r="C1755" t="str">
        <f>'Male 30-second Double Under'!I50</f>
        <v>MTDU</v>
      </c>
      <c r="D1755" t="str">
        <f>'Male 30-second Double Under'!J50</f>
        <v>15-16</v>
      </c>
      <c r="E1755">
        <f>'Male 30-second Double Under'!K50</f>
        <v>0</v>
      </c>
      <c r="I1755" t="str">
        <f t="shared" si="63"/>
        <v>MTDU-Male Single Rope Double Under</v>
      </c>
    </row>
    <row r="1756" spans="1:9" x14ac:dyDescent="0.25">
      <c r="A1756">
        <f>'Team Info'!$B$3</f>
        <v>0</v>
      </c>
      <c r="B1756">
        <f>'Male 30-second Double Under'!H51</f>
        <v>13</v>
      </c>
      <c r="C1756" t="str">
        <f>'Male 30-second Double Under'!I51</f>
        <v>MTDU</v>
      </c>
      <c r="D1756" t="str">
        <f>'Male 30-second Double Under'!J51</f>
        <v>15-16</v>
      </c>
      <c r="E1756">
        <f>'Male 30-second Double Under'!K51</f>
        <v>0</v>
      </c>
      <c r="I1756" t="str">
        <f t="shared" si="63"/>
        <v>MTDU-Male Single Rope Double Under</v>
      </c>
    </row>
    <row r="1757" spans="1:9" x14ac:dyDescent="0.25">
      <c r="A1757">
        <f>'Team Info'!$B$3</f>
        <v>0</v>
      </c>
      <c r="B1757">
        <f>'Male 30-second Double Under'!H52</f>
        <v>14</v>
      </c>
      <c r="C1757" t="str">
        <f>'Male 30-second Double Under'!I52</f>
        <v>MTDU</v>
      </c>
      <c r="D1757" t="str">
        <f>'Male 30-second Double Under'!J52</f>
        <v>15-16</v>
      </c>
      <c r="E1757">
        <f>'Male 30-second Double Under'!K52</f>
        <v>0</v>
      </c>
      <c r="I1757" t="str">
        <f t="shared" ref="I1757:I1827" si="64">VLOOKUP(C1757,EVENTS,2,FALSE)</f>
        <v>MTDU-Male Single Rope Double Under</v>
      </c>
    </row>
    <row r="1758" spans="1:9" x14ac:dyDescent="0.25">
      <c r="A1758">
        <f>'Team Info'!$B$3</f>
        <v>0</v>
      </c>
      <c r="B1758">
        <f>'Male 30-second Double Under'!H53</f>
        <v>15</v>
      </c>
      <c r="C1758" t="str">
        <f>'Male 30-second Double Under'!I53</f>
        <v>MTDU</v>
      </c>
      <c r="D1758" t="str">
        <f>'Male 30-second Double Under'!J53</f>
        <v>15-16</v>
      </c>
      <c r="E1758">
        <f>'Male 30-second Double Under'!K53</f>
        <v>0</v>
      </c>
      <c r="I1758" t="str">
        <f t="shared" si="64"/>
        <v>MTDU-Male Single Rope Double Under</v>
      </c>
    </row>
    <row r="1759" spans="1:9" x14ac:dyDescent="0.25">
      <c r="A1759">
        <f>'Team Info'!$B$3</f>
        <v>0</v>
      </c>
      <c r="B1759">
        <f>'Male 30-second Double Under'!H54</f>
        <v>16</v>
      </c>
      <c r="C1759" t="str">
        <f>'Male 30-second Double Under'!I54</f>
        <v>MTDU</v>
      </c>
      <c r="D1759" t="str">
        <f>'Male 30-second Double Under'!J54</f>
        <v>15-16</v>
      </c>
      <c r="E1759">
        <f>'Male 30-second Double Under'!K54</f>
        <v>0</v>
      </c>
      <c r="I1759" t="str">
        <f t="shared" si="64"/>
        <v>MTDU-Male Single Rope Double Under</v>
      </c>
    </row>
    <row r="1760" spans="1:9" x14ac:dyDescent="0.25">
      <c r="A1760">
        <f>'Team Info'!$B$3</f>
        <v>0</v>
      </c>
      <c r="B1760">
        <f>'Male 30-second Double Under'!H55</f>
        <v>17</v>
      </c>
      <c r="C1760" t="str">
        <f>'Male 30-second Double Under'!I55</f>
        <v>MTDU</v>
      </c>
      <c r="D1760" t="str">
        <f>'Male 30-second Double Under'!J55</f>
        <v>15-16</v>
      </c>
      <c r="E1760">
        <f>'Male 30-second Double Under'!K55</f>
        <v>0</v>
      </c>
      <c r="I1760" t="str">
        <f t="shared" si="64"/>
        <v>MTDU-Male Single Rope Double Under</v>
      </c>
    </row>
    <row r="1761" spans="1:9" x14ac:dyDescent="0.25">
      <c r="A1761">
        <f>'Team Info'!$B$3</f>
        <v>0</v>
      </c>
      <c r="B1761">
        <f>'Male 30-second Double Under'!H56</f>
        <v>18</v>
      </c>
      <c r="C1761" t="str">
        <f>'Male 30-second Double Under'!I56</f>
        <v>MTDU</v>
      </c>
      <c r="D1761" t="str">
        <f>'Male 30-second Double Under'!J56</f>
        <v>15-16</v>
      </c>
      <c r="E1761">
        <f>'Male 30-second Double Under'!K56</f>
        <v>0</v>
      </c>
      <c r="I1761" t="str">
        <f t="shared" si="64"/>
        <v>MTDU-Male Single Rope Double Under</v>
      </c>
    </row>
    <row r="1762" spans="1:9" x14ac:dyDescent="0.25">
      <c r="A1762">
        <f>'Team Info'!$B$3</f>
        <v>0</v>
      </c>
      <c r="B1762">
        <f>'Male 30-second Double Under'!H57</f>
        <v>19</v>
      </c>
      <c r="C1762" t="str">
        <f>'Male 30-second Double Under'!I57</f>
        <v>MTDU</v>
      </c>
      <c r="D1762" t="str">
        <f>'Male 30-second Double Under'!J57</f>
        <v>15-16</v>
      </c>
      <c r="E1762">
        <f>'Male 30-second Double Under'!K57</f>
        <v>0</v>
      </c>
      <c r="I1762" t="str">
        <f t="shared" si="64"/>
        <v>MTDU-Male Single Rope Double Under</v>
      </c>
    </row>
    <row r="1763" spans="1:9" x14ac:dyDescent="0.25">
      <c r="A1763">
        <f>'Team Info'!$B$3</f>
        <v>0</v>
      </c>
      <c r="B1763">
        <f>'Male 30-second Double Under'!H58</f>
        <v>20</v>
      </c>
      <c r="C1763" t="str">
        <f>'Male 30-second Double Under'!I58</f>
        <v>MTDU</v>
      </c>
      <c r="D1763" t="str">
        <f>'Male 30-second Double Under'!J58</f>
        <v>15-16</v>
      </c>
      <c r="E1763">
        <f>'Male 30-second Double Under'!K58</f>
        <v>0</v>
      </c>
      <c r="I1763" t="str">
        <f t="shared" si="64"/>
        <v>MTDU-Male Single Rope Double Under</v>
      </c>
    </row>
    <row r="1764" spans="1:9" x14ac:dyDescent="0.25">
      <c r="A1764">
        <f>'Team Info'!$B$3</f>
        <v>0</v>
      </c>
      <c r="B1764">
        <f>'Male 30-second Double Under'!A61</f>
        <v>1</v>
      </c>
      <c r="C1764" t="str">
        <f>'Male 30-second Double Under'!B61</f>
        <v>MTDU</v>
      </c>
      <c r="D1764" t="str">
        <f>'Male 30-second Double Under'!C61</f>
        <v>17-18</v>
      </c>
      <c r="E1764">
        <f>'Male 30-second Double Under'!D61</f>
        <v>0</v>
      </c>
      <c r="I1764" t="str">
        <f t="shared" si="64"/>
        <v>MTDU-Male Single Rope Double Under</v>
      </c>
    </row>
    <row r="1765" spans="1:9" x14ac:dyDescent="0.25">
      <c r="A1765">
        <f>'Team Info'!$B$3</f>
        <v>0</v>
      </c>
      <c r="B1765">
        <f>'Male 30-second Double Under'!A62</f>
        <v>2</v>
      </c>
      <c r="C1765" t="str">
        <f>'Male 30-second Double Under'!B62</f>
        <v>MTDU</v>
      </c>
      <c r="D1765" t="str">
        <f>'Male 30-second Double Under'!C62</f>
        <v>17-18</v>
      </c>
      <c r="E1765">
        <f>'Male 30-second Double Under'!D62</f>
        <v>0</v>
      </c>
      <c r="I1765" t="str">
        <f t="shared" si="64"/>
        <v>MTDU-Male Single Rope Double Under</v>
      </c>
    </row>
    <row r="1766" spans="1:9" x14ac:dyDescent="0.25">
      <c r="A1766">
        <f>'Team Info'!$B$3</f>
        <v>0</v>
      </c>
      <c r="B1766">
        <f>'Male 30-second Double Under'!A63</f>
        <v>3</v>
      </c>
      <c r="C1766" t="str">
        <f>'Male 30-second Double Under'!B63</f>
        <v>MTDU</v>
      </c>
      <c r="D1766" t="str">
        <f>'Male 30-second Double Under'!C63</f>
        <v>17-18</v>
      </c>
      <c r="E1766">
        <f>'Male 30-second Double Under'!D63</f>
        <v>0</v>
      </c>
      <c r="I1766" t="str">
        <f t="shared" si="64"/>
        <v>MTDU-Male Single Rope Double Under</v>
      </c>
    </row>
    <row r="1767" spans="1:9" x14ac:dyDescent="0.25">
      <c r="A1767">
        <f>'Team Info'!$B$3</f>
        <v>0</v>
      </c>
      <c r="B1767">
        <f>'Male 30-second Double Under'!A64</f>
        <v>4</v>
      </c>
      <c r="C1767" t="str">
        <f>'Male 30-second Double Under'!B64</f>
        <v>MTDU</v>
      </c>
      <c r="D1767" t="str">
        <f>'Male 30-second Double Under'!C64</f>
        <v>17-18</v>
      </c>
      <c r="E1767">
        <f>'Male 30-second Double Under'!D64</f>
        <v>0</v>
      </c>
      <c r="I1767" t="str">
        <f t="shared" si="64"/>
        <v>MTDU-Male Single Rope Double Under</v>
      </c>
    </row>
    <row r="1768" spans="1:9" x14ac:dyDescent="0.25">
      <c r="A1768">
        <f>'Team Info'!$B$3</f>
        <v>0</v>
      </c>
      <c r="B1768">
        <f>'Male 30-second Double Under'!A65</f>
        <v>5</v>
      </c>
      <c r="C1768" t="str">
        <f>'Male 30-second Double Under'!B65</f>
        <v>MTDU</v>
      </c>
      <c r="D1768" t="str">
        <f>'Male 30-second Double Under'!C65</f>
        <v>17-18</v>
      </c>
      <c r="E1768">
        <f>'Male 30-second Double Under'!D65</f>
        <v>0</v>
      </c>
      <c r="I1768" t="str">
        <f t="shared" si="64"/>
        <v>MTDU-Male Single Rope Double Under</v>
      </c>
    </row>
    <row r="1769" spans="1:9" x14ac:dyDescent="0.25">
      <c r="A1769">
        <f>'Team Info'!$B$3</f>
        <v>0</v>
      </c>
      <c r="B1769">
        <f>'Male 30-second Double Under'!A66</f>
        <v>6</v>
      </c>
      <c r="C1769" t="str">
        <f>'Male 30-second Double Under'!B66</f>
        <v>MTDU</v>
      </c>
      <c r="D1769" t="str">
        <f>'Male 30-second Double Under'!C66</f>
        <v>17-18</v>
      </c>
      <c r="E1769">
        <f>'Male 30-second Double Under'!D66</f>
        <v>0</v>
      </c>
      <c r="I1769" t="str">
        <f t="shared" si="64"/>
        <v>MTDU-Male Single Rope Double Under</v>
      </c>
    </row>
    <row r="1770" spans="1:9" x14ac:dyDescent="0.25">
      <c r="A1770">
        <f>'Team Info'!$B$3</f>
        <v>0</v>
      </c>
      <c r="B1770">
        <f>'Male 30-second Double Under'!A67</f>
        <v>7</v>
      </c>
      <c r="C1770" t="str">
        <f>'Male 30-second Double Under'!B67</f>
        <v>MTDU</v>
      </c>
      <c r="D1770" t="str">
        <f>'Male 30-second Double Under'!C67</f>
        <v>17-18</v>
      </c>
      <c r="E1770">
        <f>'Male 30-second Double Under'!D67</f>
        <v>0</v>
      </c>
      <c r="I1770" t="str">
        <f t="shared" si="64"/>
        <v>MTDU-Male Single Rope Double Under</v>
      </c>
    </row>
    <row r="1771" spans="1:9" x14ac:dyDescent="0.25">
      <c r="A1771">
        <f>'Team Info'!$B$3</f>
        <v>0</v>
      </c>
      <c r="B1771">
        <f>'Male 30-second Double Under'!A68</f>
        <v>8</v>
      </c>
      <c r="C1771" t="str">
        <f>'Male 30-second Double Under'!B68</f>
        <v>MTDU</v>
      </c>
      <c r="D1771" t="str">
        <f>'Male 30-second Double Under'!C68</f>
        <v>17-18</v>
      </c>
      <c r="E1771">
        <f>'Male 30-second Double Under'!D68</f>
        <v>0</v>
      </c>
      <c r="I1771" t="str">
        <f t="shared" ref="I1771:I1772" si="65">VLOOKUP(C1771,EVENTS,2,FALSE)</f>
        <v>MTDU-Male Single Rope Double Under</v>
      </c>
    </row>
    <row r="1772" spans="1:9" x14ac:dyDescent="0.25">
      <c r="A1772">
        <f>'Team Info'!$B$3</f>
        <v>0</v>
      </c>
      <c r="B1772">
        <f>'Male 30-second Double Under'!A69</f>
        <v>9</v>
      </c>
      <c r="C1772" t="str">
        <f>'Male 30-second Double Under'!B69</f>
        <v>MTDU</v>
      </c>
      <c r="D1772" t="str">
        <f>'Male 30-second Double Under'!C69</f>
        <v>17-18</v>
      </c>
      <c r="E1772">
        <f>'Male 30-second Double Under'!D69</f>
        <v>0</v>
      </c>
      <c r="I1772" t="str">
        <f t="shared" si="65"/>
        <v>MTDU-Male Single Rope Double Under</v>
      </c>
    </row>
    <row r="1773" spans="1:9" x14ac:dyDescent="0.25">
      <c r="A1773">
        <f>'Team Info'!$B$3</f>
        <v>0</v>
      </c>
      <c r="B1773">
        <f>'Male 30-second Double Under'!A70</f>
        <v>10</v>
      </c>
      <c r="C1773" t="str">
        <f>'Male 30-second Double Under'!B70</f>
        <v>MTDU</v>
      </c>
      <c r="D1773" t="str">
        <f>'Male 30-second Double Under'!C70</f>
        <v>17-18</v>
      </c>
      <c r="E1773">
        <f>'Male 30-second Double Under'!D70</f>
        <v>0</v>
      </c>
      <c r="I1773" t="str">
        <f t="shared" si="64"/>
        <v>MTDU-Male Single Rope Double Under</v>
      </c>
    </row>
    <row r="1774" spans="1:9" x14ac:dyDescent="0.25">
      <c r="A1774">
        <f>'Team Info'!$B$3</f>
        <v>0</v>
      </c>
      <c r="B1774">
        <f>'Male 30-second Double Under'!H61</f>
        <v>1</v>
      </c>
      <c r="C1774" t="str">
        <f>'Male 30-second Double Under'!I61</f>
        <v>MTDU</v>
      </c>
      <c r="D1774" t="str">
        <f>'Male 30-second Double Under'!J61</f>
        <v>19-22</v>
      </c>
      <c r="E1774">
        <f>'Male 30-second Double Under'!K61</f>
        <v>0</v>
      </c>
      <c r="I1774" t="str">
        <f t="shared" si="64"/>
        <v>MTDU-Male Single Rope Double Under</v>
      </c>
    </row>
    <row r="1775" spans="1:9" x14ac:dyDescent="0.25">
      <c r="A1775">
        <f>'Team Info'!$B$3</f>
        <v>0</v>
      </c>
      <c r="B1775">
        <f>'Male 30-second Double Under'!H62</f>
        <v>2</v>
      </c>
      <c r="C1775" t="str">
        <f>'Male 30-second Double Under'!I62</f>
        <v>MTDU</v>
      </c>
      <c r="D1775" t="str">
        <f>'Male 30-second Double Under'!J62</f>
        <v>19-22</v>
      </c>
      <c r="E1775">
        <f>'Male 30-second Double Under'!K62</f>
        <v>0</v>
      </c>
      <c r="I1775" t="str">
        <f t="shared" si="64"/>
        <v>MTDU-Male Single Rope Double Under</v>
      </c>
    </row>
    <row r="1776" spans="1:9" x14ac:dyDescent="0.25">
      <c r="A1776">
        <f>'Team Info'!$B$3</f>
        <v>0</v>
      </c>
      <c r="B1776">
        <f>'Male 30-second Double Under'!H63</f>
        <v>3</v>
      </c>
      <c r="C1776" t="str">
        <f>'Male 30-second Double Under'!I63</f>
        <v>MTDU</v>
      </c>
      <c r="D1776" t="str">
        <f>'Male 30-second Double Under'!J63</f>
        <v>19-22</v>
      </c>
      <c r="E1776">
        <f>'Male 30-second Double Under'!K63</f>
        <v>0</v>
      </c>
      <c r="I1776" t="str">
        <f t="shared" si="64"/>
        <v>MTDU-Male Single Rope Double Under</v>
      </c>
    </row>
    <row r="1777" spans="1:9" x14ac:dyDescent="0.25">
      <c r="A1777">
        <f>'Team Info'!$B$3</f>
        <v>0</v>
      </c>
      <c r="B1777">
        <f>'Male 30-second Double Under'!H64</f>
        <v>4</v>
      </c>
      <c r="C1777" t="str">
        <f>'Male 30-second Double Under'!I64</f>
        <v>MTDU</v>
      </c>
      <c r="D1777" t="str">
        <f>'Male 30-second Double Under'!J64</f>
        <v>19-22</v>
      </c>
      <c r="E1777">
        <f>'Male 30-second Double Under'!K64</f>
        <v>0</v>
      </c>
      <c r="I1777" t="str">
        <f t="shared" si="64"/>
        <v>MTDU-Male Single Rope Double Under</v>
      </c>
    </row>
    <row r="1778" spans="1:9" x14ac:dyDescent="0.25">
      <c r="A1778">
        <f>'Team Info'!$B$3</f>
        <v>0</v>
      </c>
      <c r="B1778">
        <f>'Male 30-second Double Under'!H65</f>
        <v>5</v>
      </c>
      <c r="C1778" t="str">
        <f>'Male 30-second Double Under'!I65</f>
        <v>MTDU</v>
      </c>
      <c r="D1778" t="str">
        <f>'Male 30-second Double Under'!J65</f>
        <v>19-22</v>
      </c>
      <c r="E1778">
        <f>'Male 30-second Double Under'!K65</f>
        <v>0</v>
      </c>
      <c r="I1778" t="str">
        <f t="shared" si="64"/>
        <v>MTDU-Male Single Rope Double Under</v>
      </c>
    </row>
    <row r="1779" spans="1:9" x14ac:dyDescent="0.25">
      <c r="A1779">
        <f>'Team Info'!$B$3</f>
        <v>0</v>
      </c>
      <c r="B1779">
        <f>'Male 30-second Double Under'!H66</f>
        <v>6</v>
      </c>
      <c r="C1779" t="str">
        <f>'Male 30-second Double Under'!I66</f>
        <v>MTDU</v>
      </c>
      <c r="D1779" t="str">
        <f>'Male 30-second Double Under'!J66</f>
        <v>19-22</v>
      </c>
      <c r="E1779">
        <f>'Male 30-second Double Under'!K66</f>
        <v>0</v>
      </c>
      <c r="I1779" t="str">
        <f t="shared" si="64"/>
        <v>MTDU-Male Single Rope Double Under</v>
      </c>
    </row>
    <row r="1780" spans="1:9" x14ac:dyDescent="0.25">
      <c r="A1780">
        <f>'Team Info'!$B$3</f>
        <v>0</v>
      </c>
      <c r="B1780">
        <f>'Male 30-second Double Under'!H67</f>
        <v>7</v>
      </c>
      <c r="C1780" t="str">
        <f>'Male 30-second Double Under'!I67</f>
        <v>MTDU</v>
      </c>
      <c r="D1780" t="str">
        <f>'Male 30-second Double Under'!J67</f>
        <v>19-22</v>
      </c>
      <c r="E1780">
        <f>'Male 30-second Double Under'!K67</f>
        <v>0</v>
      </c>
      <c r="I1780" t="str">
        <f t="shared" si="64"/>
        <v>MTDU-Male Single Rope Double Under</v>
      </c>
    </row>
    <row r="1781" spans="1:9" x14ac:dyDescent="0.25">
      <c r="A1781">
        <f>'Team Info'!$B$3</f>
        <v>0</v>
      </c>
      <c r="B1781">
        <f>'Male 30-second Double Under'!H68</f>
        <v>8</v>
      </c>
      <c r="C1781" t="str">
        <f>'Male 30-second Double Under'!I68</f>
        <v>MTDU</v>
      </c>
      <c r="D1781" t="str">
        <f>'Male 30-second Double Under'!J68</f>
        <v>19-22</v>
      </c>
      <c r="E1781">
        <f>'Male 30-second Double Under'!K68</f>
        <v>0</v>
      </c>
      <c r="I1781" t="str">
        <f t="shared" ref="I1781:I1782" si="66">VLOOKUP(C1781,EVENTS,2,FALSE)</f>
        <v>MTDU-Male Single Rope Double Under</v>
      </c>
    </row>
    <row r="1782" spans="1:9" x14ac:dyDescent="0.25">
      <c r="A1782">
        <f>'Team Info'!$B$3</f>
        <v>0</v>
      </c>
      <c r="B1782">
        <f>'Male 30-second Double Under'!H69</f>
        <v>9</v>
      </c>
      <c r="C1782" t="str">
        <f>'Male 30-second Double Under'!I69</f>
        <v>MTDU</v>
      </c>
      <c r="D1782" t="str">
        <f>'Male 30-second Double Under'!J69</f>
        <v>19-22</v>
      </c>
      <c r="E1782">
        <f>'Male 30-second Double Under'!K69</f>
        <v>0</v>
      </c>
      <c r="I1782" t="str">
        <f t="shared" si="66"/>
        <v>MTDU-Male Single Rope Double Under</v>
      </c>
    </row>
    <row r="1783" spans="1:9" x14ac:dyDescent="0.25">
      <c r="A1783">
        <f>'Team Info'!$B$3</f>
        <v>0</v>
      </c>
      <c r="B1783">
        <f>'Male 30-second Double Under'!H70</f>
        <v>10</v>
      </c>
      <c r="C1783" t="str">
        <f>'Male 30-second Double Under'!I70</f>
        <v>MTDU</v>
      </c>
      <c r="D1783" t="str">
        <f>'Male 30-second Double Under'!J70</f>
        <v>19-22</v>
      </c>
      <c r="E1783">
        <f>'Male 30-second Double Under'!K70</f>
        <v>0</v>
      </c>
      <c r="I1783" t="str">
        <f t="shared" si="64"/>
        <v>MTDU-Male Single Rope Double Under</v>
      </c>
    </row>
    <row r="1784" spans="1:9" x14ac:dyDescent="0.25">
      <c r="A1784">
        <f>'Team Info'!$B$3</f>
        <v>0</v>
      </c>
      <c r="B1784">
        <f>'Male 30-second Double Under'!H68</f>
        <v>8</v>
      </c>
      <c r="C1784" t="str">
        <f>'Male 30-second Double Under'!I68</f>
        <v>MTDU</v>
      </c>
      <c r="D1784" t="str">
        <f>'Male 30-second Double Under'!J68</f>
        <v>19-22</v>
      </c>
      <c r="E1784">
        <f>'Male 30-second Double Under'!K68</f>
        <v>0</v>
      </c>
      <c r="I1784" t="str">
        <f t="shared" ref="I1784:I1787" si="67">VLOOKUP(C1784,EVENTS,2,FALSE)</f>
        <v>MTDU-Male Single Rope Double Under</v>
      </c>
    </row>
    <row r="1785" spans="1:9" x14ac:dyDescent="0.25">
      <c r="A1785">
        <f>'Team Info'!$B$3</f>
        <v>0</v>
      </c>
      <c r="B1785">
        <f>'Male 30-second Double Under'!H69</f>
        <v>9</v>
      </c>
      <c r="C1785" t="str">
        <f>'Male 30-second Double Under'!I69</f>
        <v>MTDU</v>
      </c>
      <c r="D1785" t="str">
        <f>'Male 30-second Double Under'!J69</f>
        <v>19-22</v>
      </c>
      <c r="E1785">
        <f>'Male 30-second Double Under'!K69</f>
        <v>0</v>
      </c>
      <c r="I1785" t="str">
        <f t="shared" si="67"/>
        <v>MTDU-Male Single Rope Double Under</v>
      </c>
    </row>
    <row r="1786" spans="1:9" x14ac:dyDescent="0.25">
      <c r="A1786">
        <f>'Team Info'!$B$3</f>
        <v>0</v>
      </c>
      <c r="B1786">
        <f>'Male 30-second Double Under'!H70</f>
        <v>10</v>
      </c>
      <c r="C1786" t="str">
        <f>'Male 30-second Double Under'!I70</f>
        <v>MTDU</v>
      </c>
      <c r="D1786" t="str">
        <f>'Male 30-second Double Under'!J70</f>
        <v>19-22</v>
      </c>
      <c r="E1786">
        <f>'Male 30-second Double Under'!K70</f>
        <v>0</v>
      </c>
      <c r="I1786" t="str">
        <f t="shared" si="67"/>
        <v>MTDU-Male Single Rope Double Under</v>
      </c>
    </row>
    <row r="1787" spans="1:9" x14ac:dyDescent="0.25">
      <c r="A1787">
        <f>'Team Info'!$B$3</f>
        <v>0</v>
      </c>
      <c r="B1787">
        <f>'Male 30-second Double Under'!A73</f>
        <v>1</v>
      </c>
      <c r="C1787" t="str">
        <f>'Male 30-second Double Under'!B73</f>
        <v>MTDU</v>
      </c>
      <c r="D1787" t="str">
        <f>'Male 30-second Double Under'!C73</f>
        <v>23-29</v>
      </c>
      <c r="E1787">
        <f>'Male 30-second Double Under'!D73</f>
        <v>0</v>
      </c>
      <c r="I1787" t="str">
        <f t="shared" si="67"/>
        <v>MTDU-Male Single Rope Double Under</v>
      </c>
    </row>
    <row r="1788" spans="1:9" x14ac:dyDescent="0.25">
      <c r="A1788">
        <f>'Team Info'!$B$3</f>
        <v>0</v>
      </c>
      <c r="B1788">
        <f>'Male 30-second Double Under'!A74</f>
        <v>2</v>
      </c>
      <c r="C1788" t="str">
        <f>'Male 30-second Double Under'!B74</f>
        <v>MTDU</v>
      </c>
      <c r="D1788" t="str">
        <f>'Male 30-second Double Under'!C74</f>
        <v>23-29</v>
      </c>
      <c r="E1788">
        <f>'Male 30-second Double Under'!D74</f>
        <v>0</v>
      </c>
      <c r="I1788" t="str">
        <f t="shared" ref="I1788:I1791" si="68">VLOOKUP(C1788,EVENTS,2,FALSE)</f>
        <v>MTDU-Male Single Rope Double Under</v>
      </c>
    </row>
    <row r="1789" spans="1:9" x14ac:dyDescent="0.25">
      <c r="A1789">
        <f>'Team Info'!$B$3</f>
        <v>0</v>
      </c>
      <c r="B1789">
        <f>'Male 30-second Double Under'!A75</f>
        <v>3</v>
      </c>
      <c r="C1789" t="str">
        <f>'Male 30-second Double Under'!B75</f>
        <v>MTDU</v>
      </c>
      <c r="D1789" t="str">
        <f>'Male 30-second Double Under'!C75</f>
        <v>23-29</v>
      </c>
      <c r="E1789">
        <f>'Male 30-second Double Under'!D75</f>
        <v>0</v>
      </c>
      <c r="I1789" t="str">
        <f t="shared" si="68"/>
        <v>MTDU-Male Single Rope Double Under</v>
      </c>
    </row>
    <row r="1790" spans="1:9" x14ac:dyDescent="0.25">
      <c r="A1790">
        <f>'Team Info'!$B$3</f>
        <v>0</v>
      </c>
      <c r="B1790">
        <f>'Male 30-second Double Under'!A76</f>
        <v>4</v>
      </c>
      <c r="C1790" t="str">
        <f>'Male 30-second Double Under'!B76</f>
        <v>MTDU</v>
      </c>
      <c r="D1790" t="str">
        <f>'Male 30-second Double Under'!C76</f>
        <v>23-29</v>
      </c>
      <c r="E1790">
        <f>'Male 30-second Double Under'!D76</f>
        <v>0</v>
      </c>
      <c r="I1790" t="str">
        <f t="shared" si="68"/>
        <v>MTDU-Male Single Rope Double Under</v>
      </c>
    </row>
    <row r="1791" spans="1:9" x14ac:dyDescent="0.25">
      <c r="A1791">
        <f>'Team Info'!$B$3</f>
        <v>0</v>
      </c>
      <c r="B1791">
        <f>'Male 30-second Double Under'!A77</f>
        <v>5</v>
      </c>
      <c r="C1791" t="str">
        <f>'Male 30-second Double Under'!B77</f>
        <v>MTDU</v>
      </c>
      <c r="D1791" t="str">
        <f>'Male 30-second Double Under'!C77</f>
        <v>23-29</v>
      </c>
      <c r="E1791">
        <f>'Male 30-second Double Under'!D77</f>
        <v>0</v>
      </c>
      <c r="I1791" t="str">
        <f t="shared" si="68"/>
        <v>MTDU-Male Single Rope Double Under</v>
      </c>
    </row>
    <row r="1792" spans="1:9" x14ac:dyDescent="0.25">
      <c r="A1792">
        <f>'Team Info'!$B$3</f>
        <v>0</v>
      </c>
      <c r="B1792">
        <f>'Male 30-second Double Under'!A80</f>
        <v>1</v>
      </c>
      <c r="C1792" t="str">
        <f>'Male 30-second Double Under'!B80</f>
        <v>MTDU</v>
      </c>
      <c r="D1792" t="str">
        <f>'Male 30-second Double Under'!C80</f>
        <v>50-Over</v>
      </c>
      <c r="E1792">
        <f>'Male 30-second Double Under'!D80</f>
        <v>0</v>
      </c>
      <c r="I1792" t="str">
        <f t="shared" si="64"/>
        <v>MTDU-Male Single Rope Double Under</v>
      </c>
    </row>
    <row r="1793" spans="1:9" x14ac:dyDescent="0.25">
      <c r="A1793">
        <f>'Team Info'!$B$3</f>
        <v>0</v>
      </c>
      <c r="B1793">
        <f>'Male 30-second Double Under'!A81</f>
        <v>2</v>
      </c>
      <c r="C1793" t="str">
        <f>'Male 30-second Double Under'!B81</f>
        <v>MTDU</v>
      </c>
      <c r="D1793" t="str">
        <f>'Male 30-second Double Under'!C81</f>
        <v>50-Over</v>
      </c>
      <c r="E1793">
        <f>'Male 30-second Double Under'!D81</f>
        <v>0</v>
      </c>
      <c r="I1793" t="str">
        <f t="shared" si="64"/>
        <v>MTDU-Male Single Rope Double Under</v>
      </c>
    </row>
    <row r="1794" spans="1:9" x14ac:dyDescent="0.25">
      <c r="A1794">
        <f>'Team Info'!$B$3</f>
        <v>0</v>
      </c>
      <c r="B1794">
        <f>'Male 30-second Double Under'!A82</f>
        <v>3</v>
      </c>
      <c r="C1794" t="str">
        <f>'Male 30-second Double Under'!B82</f>
        <v>MTDU</v>
      </c>
      <c r="D1794" t="str">
        <f>'Male 30-second Double Under'!C82</f>
        <v>50-Over</v>
      </c>
      <c r="E1794">
        <f>'Male 30-second Double Under'!D82</f>
        <v>0</v>
      </c>
      <c r="I1794" t="str">
        <f t="shared" si="64"/>
        <v>MTDU-Male Single Rope Double Under</v>
      </c>
    </row>
    <row r="1795" spans="1:9" x14ac:dyDescent="0.25">
      <c r="A1795">
        <f>'Team Info'!$B$3</f>
        <v>0</v>
      </c>
      <c r="B1795">
        <f>'Male 30-second Double Under'!A83</f>
        <v>4</v>
      </c>
      <c r="C1795" t="str">
        <f>'Male 30-second Double Under'!B83</f>
        <v>MTDU</v>
      </c>
      <c r="D1795" t="str">
        <f>'Male 30-second Double Under'!C83</f>
        <v>50-Over</v>
      </c>
      <c r="E1795">
        <f>'Male 30-second Double Under'!D83</f>
        <v>0</v>
      </c>
      <c r="I1795" t="str">
        <f t="shared" si="64"/>
        <v>MTDU-Male Single Rope Double Under</v>
      </c>
    </row>
    <row r="1796" spans="1:9" x14ac:dyDescent="0.25">
      <c r="A1796">
        <f>'Team Info'!$B$3</f>
        <v>0</v>
      </c>
      <c r="B1796">
        <f>'Male 30-second Double Under'!A84</f>
        <v>5</v>
      </c>
      <c r="C1796" t="str">
        <f>'Male 30-second Double Under'!B84</f>
        <v>MTDU</v>
      </c>
      <c r="D1796" t="str">
        <f>'Male 30-second Double Under'!C84</f>
        <v>50-Over</v>
      </c>
      <c r="E1796">
        <f>'Male 30-second Double Under'!D84</f>
        <v>0</v>
      </c>
      <c r="I1796" t="str">
        <f t="shared" si="64"/>
        <v>MTDU-Male Single Rope Double Under</v>
      </c>
    </row>
    <row r="1797" spans="1:9" x14ac:dyDescent="0.25">
      <c r="A1797">
        <f>'Team Info'!$B$3</f>
        <v>0</v>
      </c>
      <c r="B1797">
        <f>'Male SR Endurance Speed'!A5</f>
        <v>1</v>
      </c>
      <c r="C1797" t="str">
        <f>'Male SR Endurance Speed'!B5</f>
        <v>MTMS</v>
      </c>
      <c r="D1797" t="str">
        <f>'Male SR Endurance Speed'!C5</f>
        <v>8-under</v>
      </c>
      <c r="E1797">
        <f>'Male SR Endurance Speed'!D5</f>
        <v>0</v>
      </c>
      <c r="I1797" t="str">
        <f t="shared" ref="I1797:I1806" si="69">VLOOKUP(C1797,EVENTS,2,FALSE)</f>
        <v>MTMS-Male Three Minute Speed</v>
      </c>
    </row>
    <row r="1798" spans="1:9" x14ac:dyDescent="0.25">
      <c r="A1798">
        <f>'Team Info'!$B$3</f>
        <v>0</v>
      </c>
      <c r="B1798">
        <f>'Male SR Endurance Speed'!A6</f>
        <v>2</v>
      </c>
      <c r="C1798" t="str">
        <f>'Male SR Endurance Speed'!B6</f>
        <v>MTMS</v>
      </c>
      <c r="D1798" t="str">
        <f>'Male SR Endurance Speed'!C6</f>
        <v>8-under</v>
      </c>
      <c r="E1798">
        <f>'Male SR Endurance Speed'!D6</f>
        <v>0</v>
      </c>
      <c r="I1798" t="str">
        <f t="shared" si="69"/>
        <v>MTMS-Male Three Minute Speed</v>
      </c>
    </row>
    <row r="1799" spans="1:9" x14ac:dyDescent="0.25">
      <c r="A1799">
        <f>'Team Info'!$B$3</f>
        <v>0</v>
      </c>
      <c r="B1799">
        <f>'Male SR Endurance Speed'!A7</f>
        <v>3</v>
      </c>
      <c r="C1799" t="str">
        <f>'Male SR Endurance Speed'!B7</f>
        <v>MTMS</v>
      </c>
      <c r="D1799" t="str">
        <f>'Male SR Endurance Speed'!C7</f>
        <v>8-under</v>
      </c>
      <c r="E1799">
        <f>'Male SR Endurance Speed'!D7</f>
        <v>0</v>
      </c>
      <c r="I1799" t="str">
        <f t="shared" si="69"/>
        <v>MTMS-Male Three Minute Speed</v>
      </c>
    </row>
    <row r="1800" spans="1:9" x14ac:dyDescent="0.25">
      <c r="A1800">
        <f>'Team Info'!$B$3</f>
        <v>0</v>
      </c>
      <c r="B1800">
        <f>'Male SR Endurance Speed'!A8</f>
        <v>4</v>
      </c>
      <c r="C1800" t="str">
        <f>'Male SR Endurance Speed'!B8</f>
        <v>MTMS</v>
      </c>
      <c r="D1800" t="str">
        <f>'Male SR Endurance Speed'!C8</f>
        <v>8-under</v>
      </c>
      <c r="E1800">
        <f>'Male SR Endurance Speed'!D8</f>
        <v>0</v>
      </c>
      <c r="I1800" t="str">
        <f t="shared" si="69"/>
        <v>MTMS-Male Three Minute Speed</v>
      </c>
    </row>
    <row r="1801" spans="1:9" x14ac:dyDescent="0.25">
      <c r="A1801">
        <f>'Team Info'!$B$3</f>
        <v>0</v>
      </c>
      <c r="B1801">
        <f>'Male SR Endurance Speed'!A9</f>
        <v>5</v>
      </c>
      <c r="C1801" t="str">
        <f>'Male SR Endurance Speed'!B9</f>
        <v>MTMS</v>
      </c>
      <c r="D1801" t="str">
        <f>'Male SR Endurance Speed'!C9</f>
        <v>8-under</v>
      </c>
      <c r="E1801">
        <f>'Male SR Endurance Speed'!D9</f>
        <v>0</v>
      </c>
      <c r="I1801" t="str">
        <f t="shared" si="69"/>
        <v>MTMS-Male Three Minute Speed</v>
      </c>
    </row>
    <row r="1802" spans="1:9" x14ac:dyDescent="0.25">
      <c r="A1802">
        <f>'Team Info'!$B$3</f>
        <v>0</v>
      </c>
      <c r="B1802">
        <f>'Male SR Endurance Speed'!A10</f>
        <v>6</v>
      </c>
      <c r="C1802" t="str">
        <f>'Male SR Endurance Speed'!B10</f>
        <v>MTMS</v>
      </c>
      <c r="D1802" t="str">
        <f>'Male SR Endurance Speed'!C10</f>
        <v>8-under</v>
      </c>
      <c r="E1802">
        <f>'Male SR Endurance Speed'!D10</f>
        <v>0</v>
      </c>
      <c r="I1802" t="str">
        <f t="shared" si="69"/>
        <v>MTMS-Male Three Minute Speed</v>
      </c>
    </row>
    <row r="1803" spans="1:9" x14ac:dyDescent="0.25">
      <c r="A1803">
        <f>'Team Info'!$B$3</f>
        <v>0</v>
      </c>
      <c r="B1803">
        <f>'Male SR Endurance Speed'!A11</f>
        <v>7</v>
      </c>
      <c r="C1803" t="str">
        <f>'Male SR Endurance Speed'!B11</f>
        <v>MTMS</v>
      </c>
      <c r="D1803" t="str">
        <f>'Male SR Endurance Speed'!C11</f>
        <v>8-under</v>
      </c>
      <c r="E1803">
        <f>'Male SR Endurance Speed'!D11</f>
        <v>0</v>
      </c>
      <c r="I1803" t="str">
        <f t="shared" si="69"/>
        <v>MTMS-Male Three Minute Speed</v>
      </c>
    </row>
    <row r="1804" spans="1:9" x14ac:dyDescent="0.25">
      <c r="A1804">
        <f>'Team Info'!$B$3</f>
        <v>0</v>
      </c>
      <c r="B1804">
        <f>'Male SR Endurance Speed'!A12</f>
        <v>8</v>
      </c>
      <c r="C1804" t="str">
        <f>'Male SR Endurance Speed'!B12</f>
        <v>MTMS</v>
      </c>
      <c r="D1804" t="str">
        <f>'Male SR Endurance Speed'!C12</f>
        <v>8-under</v>
      </c>
      <c r="E1804">
        <f>'Male SR Endurance Speed'!D12</f>
        <v>0</v>
      </c>
      <c r="I1804" t="str">
        <f t="shared" si="69"/>
        <v>MTMS-Male Three Minute Speed</v>
      </c>
    </row>
    <row r="1805" spans="1:9" x14ac:dyDescent="0.25">
      <c r="A1805">
        <f>'Team Info'!$B$3</f>
        <v>0</v>
      </c>
      <c r="B1805">
        <f>'Male SR Endurance Speed'!A13</f>
        <v>9</v>
      </c>
      <c r="C1805" t="str">
        <f>'Male SR Endurance Speed'!B13</f>
        <v>MTMS</v>
      </c>
      <c r="D1805" t="str">
        <f>'Male SR Endurance Speed'!C13</f>
        <v>8-under</v>
      </c>
      <c r="E1805">
        <f>'Male SR Endurance Speed'!D13</f>
        <v>0</v>
      </c>
      <c r="I1805" t="str">
        <f t="shared" si="69"/>
        <v>MTMS-Male Three Minute Speed</v>
      </c>
    </row>
    <row r="1806" spans="1:9" x14ac:dyDescent="0.25">
      <c r="A1806">
        <f>'Team Info'!$B$3</f>
        <v>0</v>
      </c>
      <c r="B1806">
        <f>'Male SR Endurance Speed'!A14</f>
        <v>10</v>
      </c>
      <c r="C1806" t="str">
        <f>'Male SR Endurance Speed'!B14</f>
        <v>MTMS</v>
      </c>
      <c r="D1806" t="str">
        <f>'Male SR Endurance Speed'!C14</f>
        <v>8-under</v>
      </c>
      <c r="E1806">
        <f>'Male SR Endurance Speed'!D14</f>
        <v>0</v>
      </c>
      <c r="I1806" t="str">
        <f t="shared" si="69"/>
        <v>MTMS-Male Three Minute Speed</v>
      </c>
    </row>
    <row r="1807" spans="1:9" x14ac:dyDescent="0.25">
      <c r="A1807">
        <f>'Team Info'!$B$3</f>
        <v>0</v>
      </c>
      <c r="B1807">
        <f>'Male SR Endurance Speed'!A17</f>
        <v>1</v>
      </c>
      <c r="C1807" t="str">
        <f>'Male SR Endurance Speed'!B17</f>
        <v>MTMS</v>
      </c>
      <c r="D1807" t="str">
        <f>'Male SR Endurance Speed'!C17</f>
        <v>10-under</v>
      </c>
      <c r="E1807">
        <f>'Male SR Endurance Speed'!D17</f>
        <v>0</v>
      </c>
      <c r="I1807" t="str">
        <f t="shared" si="64"/>
        <v>MTMS-Male Three Minute Speed</v>
      </c>
    </row>
    <row r="1808" spans="1:9" x14ac:dyDescent="0.25">
      <c r="A1808">
        <f>'Team Info'!$B$3</f>
        <v>0</v>
      </c>
      <c r="B1808">
        <f>'Male SR Endurance Speed'!A18</f>
        <v>2</v>
      </c>
      <c r="C1808" t="str">
        <f>'Male SR Endurance Speed'!B18</f>
        <v>MTMS</v>
      </c>
      <c r="D1808" t="str">
        <f>'Male SR Endurance Speed'!C18</f>
        <v>10-under</v>
      </c>
      <c r="E1808">
        <f>'Male SR Endurance Speed'!D18</f>
        <v>0</v>
      </c>
      <c r="I1808" t="str">
        <f t="shared" si="64"/>
        <v>MTMS-Male Three Minute Speed</v>
      </c>
    </row>
    <row r="1809" spans="1:9" x14ac:dyDescent="0.25">
      <c r="A1809">
        <f>'Team Info'!$B$3</f>
        <v>0</v>
      </c>
      <c r="B1809">
        <f>'Male SR Endurance Speed'!A19</f>
        <v>3</v>
      </c>
      <c r="C1809" t="str">
        <f>'Male SR Endurance Speed'!B19</f>
        <v>MTMS</v>
      </c>
      <c r="D1809" t="str">
        <f>'Male SR Endurance Speed'!C19</f>
        <v>10-under</v>
      </c>
      <c r="E1809">
        <f>'Male SR Endurance Speed'!D19</f>
        <v>0</v>
      </c>
      <c r="I1809" t="str">
        <f t="shared" si="64"/>
        <v>MTMS-Male Three Minute Speed</v>
      </c>
    </row>
    <row r="1810" spans="1:9" x14ac:dyDescent="0.25">
      <c r="A1810">
        <f>'Team Info'!$B$3</f>
        <v>0</v>
      </c>
      <c r="B1810">
        <f>'Male SR Endurance Speed'!A20</f>
        <v>4</v>
      </c>
      <c r="C1810" t="str">
        <f>'Male SR Endurance Speed'!B20</f>
        <v>MTMS</v>
      </c>
      <c r="D1810" t="str">
        <f>'Male SR Endurance Speed'!C20</f>
        <v>10-under</v>
      </c>
      <c r="E1810">
        <f>'Male SR Endurance Speed'!D20</f>
        <v>0</v>
      </c>
      <c r="I1810" t="str">
        <f t="shared" si="64"/>
        <v>MTMS-Male Three Minute Speed</v>
      </c>
    </row>
    <row r="1811" spans="1:9" x14ac:dyDescent="0.25">
      <c r="A1811">
        <f>'Team Info'!$B$3</f>
        <v>0</v>
      </c>
      <c r="B1811">
        <f>'Male SR Endurance Speed'!A21</f>
        <v>5</v>
      </c>
      <c r="C1811" t="str">
        <f>'Male SR Endurance Speed'!B21</f>
        <v>MTMS</v>
      </c>
      <c r="D1811" t="str">
        <f>'Male SR Endurance Speed'!C21</f>
        <v>10-under</v>
      </c>
      <c r="E1811">
        <f>'Male SR Endurance Speed'!D21</f>
        <v>0</v>
      </c>
      <c r="I1811" t="str">
        <f t="shared" si="64"/>
        <v>MTMS-Male Three Minute Speed</v>
      </c>
    </row>
    <row r="1812" spans="1:9" x14ac:dyDescent="0.25">
      <c r="A1812">
        <f>'Team Info'!$B$3</f>
        <v>0</v>
      </c>
      <c r="B1812">
        <f>'Male SR Endurance Speed'!A22</f>
        <v>6</v>
      </c>
      <c r="C1812" t="str">
        <f>'Male SR Endurance Speed'!B22</f>
        <v>MTMS</v>
      </c>
      <c r="D1812" t="str">
        <f>'Male SR Endurance Speed'!C22</f>
        <v>10-under</v>
      </c>
      <c r="E1812">
        <f>'Male SR Endurance Speed'!D22</f>
        <v>0</v>
      </c>
      <c r="I1812" t="str">
        <f t="shared" si="64"/>
        <v>MTMS-Male Three Minute Speed</v>
      </c>
    </row>
    <row r="1813" spans="1:9" x14ac:dyDescent="0.25">
      <c r="A1813">
        <f>'Team Info'!$B$3</f>
        <v>0</v>
      </c>
      <c r="B1813">
        <f>'Male SR Endurance Speed'!A23</f>
        <v>7</v>
      </c>
      <c r="C1813" t="str">
        <f>'Male SR Endurance Speed'!B23</f>
        <v>MTMS</v>
      </c>
      <c r="D1813" t="str">
        <f>'Male SR Endurance Speed'!C23</f>
        <v>10-under</v>
      </c>
      <c r="E1813">
        <f>'Male SR Endurance Speed'!D23</f>
        <v>0</v>
      </c>
      <c r="I1813" t="str">
        <f t="shared" si="64"/>
        <v>MTMS-Male Three Minute Speed</v>
      </c>
    </row>
    <row r="1814" spans="1:9" x14ac:dyDescent="0.25">
      <c r="A1814">
        <f>'Team Info'!$B$3</f>
        <v>0</v>
      </c>
      <c r="B1814">
        <f>'Male SR Endurance Speed'!A24</f>
        <v>8</v>
      </c>
      <c r="C1814" t="str">
        <f>'Male SR Endurance Speed'!B24</f>
        <v>MTMS</v>
      </c>
      <c r="D1814" t="str">
        <f>'Male SR Endurance Speed'!C24</f>
        <v>10-under</v>
      </c>
      <c r="E1814">
        <f>'Male SR Endurance Speed'!D24</f>
        <v>0</v>
      </c>
      <c r="I1814" t="str">
        <f t="shared" si="64"/>
        <v>MTMS-Male Three Minute Speed</v>
      </c>
    </row>
    <row r="1815" spans="1:9" x14ac:dyDescent="0.25">
      <c r="A1815">
        <f>'Team Info'!$B$3</f>
        <v>0</v>
      </c>
      <c r="B1815">
        <f>'Male SR Endurance Speed'!A25</f>
        <v>9</v>
      </c>
      <c r="C1815" t="str">
        <f>'Male SR Endurance Speed'!B25</f>
        <v>MTMS</v>
      </c>
      <c r="D1815" t="str">
        <f>'Male SR Endurance Speed'!C25</f>
        <v>10-under</v>
      </c>
      <c r="E1815">
        <f>'Male SR Endurance Speed'!D25</f>
        <v>0</v>
      </c>
      <c r="I1815" t="str">
        <f t="shared" si="64"/>
        <v>MTMS-Male Three Minute Speed</v>
      </c>
    </row>
    <row r="1816" spans="1:9" x14ac:dyDescent="0.25">
      <c r="A1816">
        <f>'Team Info'!$B$3</f>
        <v>0</v>
      </c>
      <c r="B1816">
        <f>'Male SR Endurance Speed'!A26</f>
        <v>10</v>
      </c>
      <c r="C1816" t="str">
        <f>'Male SR Endurance Speed'!B26</f>
        <v>MTMS</v>
      </c>
      <c r="D1816" t="str">
        <f>'Male SR Endurance Speed'!C26</f>
        <v>10-under</v>
      </c>
      <c r="E1816">
        <f>'Male SR Endurance Speed'!D26</f>
        <v>0</v>
      </c>
      <c r="I1816" t="str">
        <f t="shared" si="64"/>
        <v>MTMS-Male Three Minute Speed</v>
      </c>
    </row>
    <row r="1817" spans="1:9" x14ac:dyDescent="0.25">
      <c r="A1817">
        <f>'Team Info'!$B$3</f>
        <v>0</v>
      </c>
      <c r="B1817">
        <f>'Male SR Endurance Speed'!A27</f>
        <v>11</v>
      </c>
      <c r="C1817" t="str">
        <f>'Male SR Endurance Speed'!B27</f>
        <v>MTMS</v>
      </c>
      <c r="D1817" t="str">
        <f>'Male SR Endurance Speed'!C27</f>
        <v>10-under</v>
      </c>
      <c r="E1817">
        <f>'Male SR Endurance Speed'!D27</f>
        <v>0</v>
      </c>
      <c r="I1817" t="str">
        <f t="shared" si="64"/>
        <v>MTMS-Male Three Minute Speed</v>
      </c>
    </row>
    <row r="1818" spans="1:9" x14ac:dyDescent="0.25">
      <c r="A1818">
        <f>'Team Info'!$B$3</f>
        <v>0</v>
      </c>
      <c r="B1818">
        <f>'Male SR Endurance Speed'!A28</f>
        <v>12</v>
      </c>
      <c r="C1818" t="str">
        <f>'Male SR Endurance Speed'!B28</f>
        <v>MTMS</v>
      </c>
      <c r="D1818" t="str">
        <f>'Male SR Endurance Speed'!C28</f>
        <v>10-under</v>
      </c>
      <c r="E1818">
        <f>'Male SR Endurance Speed'!D28</f>
        <v>0</v>
      </c>
      <c r="I1818" t="str">
        <f t="shared" si="64"/>
        <v>MTMS-Male Three Minute Speed</v>
      </c>
    </row>
    <row r="1819" spans="1:9" x14ac:dyDescent="0.25">
      <c r="A1819">
        <f>'Team Info'!$B$3</f>
        <v>0</v>
      </c>
      <c r="B1819">
        <f>'Male SR Endurance Speed'!A29</f>
        <v>13</v>
      </c>
      <c r="C1819" t="str">
        <f>'Male SR Endurance Speed'!B29</f>
        <v>MTMS</v>
      </c>
      <c r="D1819" t="str">
        <f>'Male SR Endurance Speed'!C29</f>
        <v>10-under</v>
      </c>
      <c r="E1819">
        <f>'Male SR Endurance Speed'!D29</f>
        <v>0</v>
      </c>
      <c r="I1819" t="str">
        <f t="shared" si="64"/>
        <v>MTMS-Male Three Minute Speed</v>
      </c>
    </row>
    <row r="1820" spans="1:9" x14ac:dyDescent="0.25">
      <c r="A1820">
        <f>'Team Info'!$B$3</f>
        <v>0</v>
      </c>
      <c r="B1820">
        <f>'Male SR Endurance Speed'!A30</f>
        <v>14</v>
      </c>
      <c r="C1820" t="str">
        <f>'Male SR Endurance Speed'!B30</f>
        <v>MTMS</v>
      </c>
      <c r="D1820" t="str">
        <f>'Male SR Endurance Speed'!C30</f>
        <v>10-under</v>
      </c>
      <c r="E1820">
        <f>'Male SR Endurance Speed'!D30</f>
        <v>0</v>
      </c>
      <c r="I1820" t="str">
        <f t="shared" si="64"/>
        <v>MTMS-Male Three Minute Speed</v>
      </c>
    </row>
    <row r="1821" spans="1:9" x14ac:dyDescent="0.25">
      <c r="A1821">
        <f>'Team Info'!$B$3</f>
        <v>0</v>
      </c>
      <c r="B1821">
        <f>'Male SR Endurance Speed'!A31</f>
        <v>15</v>
      </c>
      <c r="C1821" t="str">
        <f>'Male SR Endurance Speed'!B31</f>
        <v>MTMS</v>
      </c>
      <c r="D1821" t="str">
        <f>'Male SR Endurance Speed'!C31</f>
        <v>10-under</v>
      </c>
      <c r="E1821">
        <f>'Male SR Endurance Speed'!D31</f>
        <v>0</v>
      </c>
      <c r="I1821" t="str">
        <f t="shared" si="64"/>
        <v>MTMS-Male Three Minute Speed</v>
      </c>
    </row>
    <row r="1822" spans="1:9" x14ac:dyDescent="0.25">
      <c r="A1822">
        <f>'Team Info'!$B$3</f>
        <v>0</v>
      </c>
      <c r="B1822">
        <f>'Male SR Endurance Speed'!A32</f>
        <v>16</v>
      </c>
      <c r="C1822" t="str">
        <f>'Male SR Endurance Speed'!B32</f>
        <v>MTMS</v>
      </c>
      <c r="D1822" t="str">
        <f>'Male SR Endurance Speed'!C32</f>
        <v>10-under</v>
      </c>
      <c r="E1822">
        <f>'Male SR Endurance Speed'!D32</f>
        <v>0</v>
      </c>
      <c r="I1822" t="str">
        <f t="shared" si="64"/>
        <v>MTMS-Male Three Minute Speed</v>
      </c>
    </row>
    <row r="1823" spans="1:9" x14ac:dyDescent="0.25">
      <c r="A1823">
        <f>'Team Info'!$B$3</f>
        <v>0</v>
      </c>
      <c r="B1823">
        <f>'Male SR Endurance Speed'!A33</f>
        <v>17</v>
      </c>
      <c r="C1823" t="str">
        <f>'Male SR Endurance Speed'!B33</f>
        <v>MTMS</v>
      </c>
      <c r="D1823" t="str">
        <f>'Male SR Endurance Speed'!C33</f>
        <v>10-under</v>
      </c>
      <c r="E1823">
        <f>'Male SR Endurance Speed'!D33</f>
        <v>0</v>
      </c>
      <c r="I1823" t="str">
        <f t="shared" si="64"/>
        <v>MTMS-Male Three Minute Speed</v>
      </c>
    </row>
    <row r="1824" spans="1:9" x14ac:dyDescent="0.25">
      <c r="A1824">
        <f>'Team Info'!$B$3</f>
        <v>0</v>
      </c>
      <c r="B1824">
        <f>'Male SR Endurance Speed'!A34</f>
        <v>18</v>
      </c>
      <c r="C1824" t="str">
        <f>'Male SR Endurance Speed'!B34</f>
        <v>MTMS</v>
      </c>
      <c r="D1824" t="str">
        <f>'Male SR Endurance Speed'!C34</f>
        <v>10-under</v>
      </c>
      <c r="E1824">
        <f>'Male SR Endurance Speed'!D34</f>
        <v>0</v>
      </c>
      <c r="I1824" t="str">
        <f t="shared" si="64"/>
        <v>MTMS-Male Three Minute Speed</v>
      </c>
    </row>
    <row r="1825" spans="1:9" x14ac:dyDescent="0.25">
      <c r="A1825">
        <f>'Team Info'!$B$3</f>
        <v>0</v>
      </c>
      <c r="B1825">
        <f>'Male SR Endurance Speed'!A35</f>
        <v>19</v>
      </c>
      <c r="C1825" t="str">
        <f>'Male SR Endurance Speed'!B35</f>
        <v>MTMS</v>
      </c>
      <c r="D1825" t="str">
        <f>'Male SR Endurance Speed'!C35</f>
        <v>10-under</v>
      </c>
      <c r="E1825">
        <f>'Male SR Endurance Speed'!D35</f>
        <v>0</v>
      </c>
      <c r="I1825" t="str">
        <f t="shared" si="64"/>
        <v>MTMS-Male Three Minute Speed</v>
      </c>
    </row>
    <row r="1826" spans="1:9" x14ac:dyDescent="0.25">
      <c r="A1826">
        <f>'Team Info'!$B$3</f>
        <v>0</v>
      </c>
      <c r="B1826">
        <f>'Male SR Endurance Speed'!A36</f>
        <v>20</v>
      </c>
      <c r="C1826" t="str">
        <f>'Male SR Endurance Speed'!B36</f>
        <v>MTMS</v>
      </c>
      <c r="D1826" t="str">
        <f>'Male SR Endurance Speed'!C36</f>
        <v>10-under</v>
      </c>
      <c r="E1826">
        <f>'Male SR Endurance Speed'!D36</f>
        <v>0</v>
      </c>
      <c r="I1826" t="str">
        <f t="shared" si="64"/>
        <v>MTMS-Male Three Minute Speed</v>
      </c>
    </row>
    <row r="1827" spans="1:9" x14ac:dyDescent="0.25">
      <c r="A1827">
        <f>'Team Info'!$B$3</f>
        <v>0</v>
      </c>
      <c r="B1827">
        <f>'Male SR Endurance Speed'!H17</f>
        <v>1</v>
      </c>
      <c r="C1827" t="str">
        <f>'Male SR Endurance Speed'!I17</f>
        <v>MTMS</v>
      </c>
      <c r="D1827" t="str">
        <f>'Male SR Endurance Speed'!J17</f>
        <v>11-12</v>
      </c>
      <c r="E1827">
        <f>'Male SR Endurance Speed'!K17</f>
        <v>0</v>
      </c>
      <c r="I1827" t="str">
        <f t="shared" si="64"/>
        <v>MTMS-Male Three Minute Speed</v>
      </c>
    </row>
    <row r="1828" spans="1:9" x14ac:dyDescent="0.25">
      <c r="A1828">
        <f>'Team Info'!$B$3</f>
        <v>0</v>
      </c>
      <c r="B1828">
        <f>'Male SR Endurance Speed'!H18</f>
        <v>2</v>
      </c>
      <c r="C1828" t="str">
        <f>'Male SR Endurance Speed'!I18</f>
        <v>MTMS</v>
      </c>
      <c r="D1828" t="str">
        <f>'Male SR Endurance Speed'!J18</f>
        <v>11-12</v>
      </c>
      <c r="E1828">
        <f>'Male SR Endurance Speed'!K18</f>
        <v>0</v>
      </c>
      <c r="I1828" t="str">
        <f t="shared" ref="I1828:I1891" si="70">VLOOKUP(C1828,EVENTS,2,FALSE)</f>
        <v>MTMS-Male Three Minute Speed</v>
      </c>
    </row>
    <row r="1829" spans="1:9" x14ac:dyDescent="0.25">
      <c r="A1829">
        <f>'Team Info'!$B$3</f>
        <v>0</v>
      </c>
      <c r="B1829">
        <f>'Male SR Endurance Speed'!H19</f>
        <v>3</v>
      </c>
      <c r="C1829" t="str">
        <f>'Male SR Endurance Speed'!I19</f>
        <v>MTMS</v>
      </c>
      <c r="D1829" t="str">
        <f>'Male SR Endurance Speed'!J19</f>
        <v>11-12</v>
      </c>
      <c r="E1829">
        <f>'Male SR Endurance Speed'!K19</f>
        <v>0</v>
      </c>
      <c r="I1829" t="str">
        <f t="shared" si="70"/>
        <v>MTMS-Male Three Minute Speed</v>
      </c>
    </row>
    <row r="1830" spans="1:9" x14ac:dyDescent="0.25">
      <c r="A1830">
        <f>'Team Info'!$B$3</f>
        <v>0</v>
      </c>
      <c r="B1830">
        <f>'Male SR Endurance Speed'!H20</f>
        <v>4</v>
      </c>
      <c r="C1830" t="str">
        <f>'Male SR Endurance Speed'!I20</f>
        <v>MTMS</v>
      </c>
      <c r="D1830" t="str">
        <f>'Male SR Endurance Speed'!J20</f>
        <v>11-12</v>
      </c>
      <c r="E1830">
        <f>'Male SR Endurance Speed'!K20</f>
        <v>0</v>
      </c>
      <c r="I1830" t="str">
        <f t="shared" si="70"/>
        <v>MTMS-Male Three Minute Speed</v>
      </c>
    </row>
    <row r="1831" spans="1:9" x14ac:dyDescent="0.25">
      <c r="A1831">
        <f>'Team Info'!$B$3</f>
        <v>0</v>
      </c>
      <c r="B1831">
        <f>'Male SR Endurance Speed'!H21</f>
        <v>5</v>
      </c>
      <c r="C1831" t="str">
        <f>'Male SR Endurance Speed'!I21</f>
        <v>MTMS</v>
      </c>
      <c r="D1831" t="str">
        <f>'Male SR Endurance Speed'!J21</f>
        <v>11-12</v>
      </c>
      <c r="E1831">
        <f>'Male SR Endurance Speed'!K21</f>
        <v>0</v>
      </c>
      <c r="I1831" t="str">
        <f t="shared" si="70"/>
        <v>MTMS-Male Three Minute Speed</v>
      </c>
    </row>
    <row r="1832" spans="1:9" x14ac:dyDescent="0.25">
      <c r="A1832">
        <f>'Team Info'!$B$3</f>
        <v>0</v>
      </c>
      <c r="B1832">
        <f>'Male SR Endurance Speed'!H22</f>
        <v>6</v>
      </c>
      <c r="C1832" t="str">
        <f>'Male SR Endurance Speed'!I22</f>
        <v>MTMS</v>
      </c>
      <c r="D1832" t="str">
        <f>'Male SR Endurance Speed'!J22</f>
        <v>11-12</v>
      </c>
      <c r="E1832">
        <f>'Male SR Endurance Speed'!K22</f>
        <v>0</v>
      </c>
      <c r="I1832" t="str">
        <f t="shared" si="70"/>
        <v>MTMS-Male Three Minute Speed</v>
      </c>
    </row>
    <row r="1833" spans="1:9" x14ac:dyDescent="0.25">
      <c r="A1833">
        <f>'Team Info'!$B$3</f>
        <v>0</v>
      </c>
      <c r="B1833">
        <f>'Male SR Endurance Speed'!H23</f>
        <v>7</v>
      </c>
      <c r="C1833" t="str">
        <f>'Male SR Endurance Speed'!I23</f>
        <v>MTMS</v>
      </c>
      <c r="D1833" t="str">
        <f>'Male SR Endurance Speed'!J23</f>
        <v>11-12</v>
      </c>
      <c r="E1833">
        <f>'Male SR Endurance Speed'!K23</f>
        <v>0</v>
      </c>
      <c r="I1833" t="str">
        <f t="shared" si="70"/>
        <v>MTMS-Male Three Minute Speed</v>
      </c>
    </row>
    <row r="1834" spans="1:9" x14ac:dyDescent="0.25">
      <c r="A1834">
        <f>'Team Info'!$B$3</f>
        <v>0</v>
      </c>
      <c r="B1834">
        <f>'Male SR Endurance Speed'!H24</f>
        <v>8</v>
      </c>
      <c r="C1834" t="str">
        <f>'Male SR Endurance Speed'!I24</f>
        <v>MTMS</v>
      </c>
      <c r="D1834" t="str">
        <f>'Male SR Endurance Speed'!J24</f>
        <v>11-12</v>
      </c>
      <c r="E1834">
        <f>'Male SR Endurance Speed'!K24</f>
        <v>0</v>
      </c>
      <c r="I1834" t="str">
        <f t="shared" si="70"/>
        <v>MTMS-Male Three Minute Speed</v>
      </c>
    </row>
    <row r="1835" spans="1:9" x14ac:dyDescent="0.25">
      <c r="A1835">
        <f>'Team Info'!$B$3</f>
        <v>0</v>
      </c>
      <c r="B1835">
        <f>'Male SR Endurance Speed'!H25</f>
        <v>9</v>
      </c>
      <c r="C1835" t="str">
        <f>'Male SR Endurance Speed'!I25</f>
        <v>MTMS</v>
      </c>
      <c r="D1835" t="str">
        <f>'Male SR Endurance Speed'!J25</f>
        <v>11-12</v>
      </c>
      <c r="E1835">
        <f>'Male SR Endurance Speed'!K25</f>
        <v>0</v>
      </c>
      <c r="I1835" t="str">
        <f t="shared" si="70"/>
        <v>MTMS-Male Three Minute Speed</v>
      </c>
    </row>
    <row r="1836" spans="1:9" x14ac:dyDescent="0.25">
      <c r="A1836">
        <f>'Team Info'!$B$3</f>
        <v>0</v>
      </c>
      <c r="B1836">
        <f>'Male SR Endurance Speed'!H26</f>
        <v>10</v>
      </c>
      <c r="C1836" t="str">
        <f>'Male SR Endurance Speed'!I26</f>
        <v>MTMS</v>
      </c>
      <c r="D1836" t="str">
        <f>'Male SR Endurance Speed'!J26</f>
        <v>11-12</v>
      </c>
      <c r="E1836">
        <f>'Male SR Endurance Speed'!K26</f>
        <v>0</v>
      </c>
      <c r="I1836" t="str">
        <f t="shared" si="70"/>
        <v>MTMS-Male Three Minute Speed</v>
      </c>
    </row>
    <row r="1837" spans="1:9" x14ac:dyDescent="0.25">
      <c r="A1837">
        <f>'Team Info'!$B$3</f>
        <v>0</v>
      </c>
      <c r="B1837">
        <f>'Male SR Endurance Speed'!H27</f>
        <v>11</v>
      </c>
      <c r="C1837" t="str">
        <f>'Male SR Endurance Speed'!I27</f>
        <v>MTMS</v>
      </c>
      <c r="D1837" t="str">
        <f>'Male SR Endurance Speed'!J27</f>
        <v>11-12</v>
      </c>
      <c r="E1837">
        <f>'Male SR Endurance Speed'!K27</f>
        <v>0</v>
      </c>
      <c r="I1837" t="str">
        <f t="shared" si="70"/>
        <v>MTMS-Male Three Minute Speed</v>
      </c>
    </row>
    <row r="1838" spans="1:9" x14ac:dyDescent="0.25">
      <c r="A1838">
        <f>'Team Info'!$B$3</f>
        <v>0</v>
      </c>
      <c r="B1838">
        <f>'Male SR Endurance Speed'!H28</f>
        <v>12</v>
      </c>
      <c r="C1838" t="str">
        <f>'Male SR Endurance Speed'!I28</f>
        <v>MTMS</v>
      </c>
      <c r="D1838" t="str">
        <f>'Male SR Endurance Speed'!J28</f>
        <v>11-12</v>
      </c>
      <c r="E1838">
        <f>'Male SR Endurance Speed'!K28</f>
        <v>0</v>
      </c>
      <c r="I1838" t="str">
        <f t="shared" si="70"/>
        <v>MTMS-Male Three Minute Speed</v>
      </c>
    </row>
    <row r="1839" spans="1:9" x14ac:dyDescent="0.25">
      <c r="A1839">
        <f>'Team Info'!$B$3</f>
        <v>0</v>
      </c>
      <c r="B1839">
        <f>'Male SR Endurance Speed'!H29</f>
        <v>13</v>
      </c>
      <c r="C1839" t="str">
        <f>'Male SR Endurance Speed'!I29</f>
        <v>MTMS</v>
      </c>
      <c r="D1839" t="str">
        <f>'Male SR Endurance Speed'!J29</f>
        <v>11-12</v>
      </c>
      <c r="E1839">
        <f>'Male SR Endurance Speed'!K29</f>
        <v>0</v>
      </c>
      <c r="I1839" t="str">
        <f t="shared" si="70"/>
        <v>MTMS-Male Three Minute Speed</v>
      </c>
    </row>
    <row r="1840" spans="1:9" x14ac:dyDescent="0.25">
      <c r="A1840">
        <f>'Team Info'!$B$3</f>
        <v>0</v>
      </c>
      <c r="B1840">
        <f>'Male SR Endurance Speed'!H30</f>
        <v>14</v>
      </c>
      <c r="C1840" t="str">
        <f>'Male SR Endurance Speed'!I30</f>
        <v>MTMS</v>
      </c>
      <c r="D1840" t="str">
        <f>'Male SR Endurance Speed'!J30</f>
        <v>11-12</v>
      </c>
      <c r="E1840">
        <f>'Male SR Endurance Speed'!K30</f>
        <v>0</v>
      </c>
      <c r="I1840" t="str">
        <f t="shared" si="70"/>
        <v>MTMS-Male Three Minute Speed</v>
      </c>
    </row>
    <row r="1841" spans="1:9" x14ac:dyDescent="0.25">
      <c r="A1841">
        <f>'Team Info'!$B$3</f>
        <v>0</v>
      </c>
      <c r="B1841">
        <f>'Male SR Endurance Speed'!H31</f>
        <v>15</v>
      </c>
      <c r="C1841" t="str">
        <f>'Male SR Endurance Speed'!I31</f>
        <v>MTMS</v>
      </c>
      <c r="D1841" t="str">
        <f>'Male SR Endurance Speed'!J31</f>
        <v>11-12</v>
      </c>
      <c r="E1841">
        <f>'Male SR Endurance Speed'!K31</f>
        <v>0</v>
      </c>
      <c r="I1841" t="str">
        <f t="shared" si="70"/>
        <v>MTMS-Male Three Minute Speed</v>
      </c>
    </row>
    <row r="1842" spans="1:9" x14ac:dyDescent="0.25">
      <c r="A1842">
        <f>'Team Info'!$B$3</f>
        <v>0</v>
      </c>
      <c r="B1842">
        <f>'Male SR Endurance Speed'!H32</f>
        <v>16</v>
      </c>
      <c r="C1842" t="str">
        <f>'Male SR Endurance Speed'!I32</f>
        <v>MTMS</v>
      </c>
      <c r="D1842" t="str">
        <f>'Male SR Endurance Speed'!J32</f>
        <v>11-12</v>
      </c>
      <c r="E1842">
        <f>'Male SR Endurance Speed'!K32</f>
        <v>0</v>
      </c>
      <c r="I1842" t="str">
        <f t="shared" si="70"/>
        <v>MTMS-Male Three Minute Speed</v>
      </c>
    </row>
    <row r="1843" spans="1:9" x14ac:dyDescent="0.25">
      <c r="A1843">
        <f>'Team Info'!$B$3</f>
        <v>0</v>
      </c>
      <c r="B1843">
        <f>'Male SR Endurance Speed'!H33</f>
        <v>17</v>
      </c>
      <c r="C1843" t="str">
        <f>'Male SR Endurance Speed'!I33</f>
        <v>MTMS</v>
      </c>
      <c r="D1843" t="str">
        <f>'Male SR Endurance Speed'!J33</f>
        <v>11-12</v>
      </c>
      <c r="E1843">
        <f>'Male SR Endurance Speed'!K33</f>
        <v>0</v>
      </c>
      <c r="I1843" t="str">
        <f t="shared" si="70"/>
        <v>MTMS-Male Three Minute Speed</v>
      </c>
    </row>
    <row r="1844" spans="1:9" x14ac:dyDescent="0.25">
      <c r="A1844">
        <f>'Team Info'!$B$3</f>
        <v>0</v>
      </c>
      <c r="B1844">
        <f>'Male SR Endurance Speed'!H34</f>
        <v>18</v>
      </c>
      <c r="C1844" t="str">
        <f>'Male SR Endurance Speed'!I34</f>
        <v>MTMS</v>
      </c>
      <c r="D1844" t="str">
        <f>'Male SR Endurance Speed'!J34</f>
        <v>11-12</v>
      </c>
      <c r="E1844">
        <f>'Male SR Endurance Speed'!K34</f>
        <v>0</v>
      </c>
      <c r="I1844" t="str">
        <f t="shared" si="70"/>
        <v>MTMS-Male Three Minute Speed</v>
      </c>
    </row>
    <row r="1845" spans="1:9" x14ac:dyDescent="0.25">
      <c r="A1845">
        <f>'Team Info'!$B$3</f>
        <v>0</v>
      </c>
      <c r="B1845">
        <f>'Male SR Endurance Speed'!H35</f>
        <v>19</v>
      </c>
      <c r="C1845" t="str">
        <f>'Male SR Endurance Speed'!I35</f>
        <v>MTMS</v>
      </c>
      <c r="D1845" t="str">
        <f>'Male SR Endurance Speed'!J35</f>
        <v>11-12</v>
      </c>
      <c r="E1845">
        <f>'Male SR Endurance Speed'!K35</f>
        <v>0</v>
      </c>
      <c r="I1845" t="str">
        <f t="shared" si="70"/>
        <v>MTMS-Male Three Minute Speed</v>
      </c>
    </row>
    <row r="1846" spans="1:9" x14ac:dyDescent="0.25">
      <c r="A1846">
        <f>'Team Info'!$B$3</f>
        <v>0</v>
      </c>
      <c r="B1846">
        <f>'Male SR Endurance Speed'!H36</f>
        <v>20</v>
      </c>
      <c r="C1846" t="str">
        <f>'Male SR Endurance Speed'!I36</f>
        <v>MTMS</v>
      </c>
      <c r="D1846" t="str">
        <f>'Male SR Endurance Speed'!J36</f>
        <v>11-12</v>
      </c>
      <c r="E1846">
        <f>'Male SR Endurance Speed'!K36</f>
        <v>0</v>
      </c>
      <c r="I1846" t="str">
        <f t="shared" si="70"/>
        <v>MTMS-Male Three Minute Speed</v>
      </c>
    </row>
    <row r="1847" spans="1:9" x14ac:dyDescent="0.25">
      <c r="A1847">
        <f>'Team Info'!$B$3</f>
        <v>0</v>
      </c>
      <c r="B1847">
        <f>'Male SR Endurance Speed'!A39</f>
        <v>1</v>
      </c>
      <c r="C1847" t="str">
        <f>'Male SR Endurance Speed'!B39</f>
        <v>MTMS</v>
      </c>
      <c r="D1847" t="str">
        <f>'Male SR Endurance Speed'!C39</f>
        <v>13-14</v>
      </c>
      <c r="E1847">
        <f>'Male SR Endurance Speed'!D39</f>
        <v>0</v>
      </c>
      <c r="I1847" t="str">
        <f t="shared" si="70"/>
        <v>MTMS-Male Three Minute Speed</v>
      </c>
    </row>
    <row r="1848" spans="1:9" x14ac:dyDescent="0.25">
      <c r="A1848">
        <f>'Team Info'!$B$3</f>
        <v>0</v>
      </c>
      <c r="B1848">
        <f>'Male SR Endurance Speed'!A40</f>
        <v>2</v>
      </c>
      <c r="C1848" t="str">
        <f>'Male SR Endurance Speed'!B40</f>
        <v>MTMS</v>
      </c>
      <c r="D1848" t="str">
        <f>'Male SR Endurance Speed'!C40</f>
        <v>13-14</v>
      </c>
      <c r="E1848">
        <f>'Male SR Endurance Speed'!D40</f>
        <v>0</v>
      </c>
      <c r="I1848" t="str">
        <f t="shared" si="70"/>
        <v>MTMS-Male Three Minute Speed</v>
      </c>
    </row>
    <row r="1849" spans="1:9" x14ac:dyDescent="0.25">
      <c r="A1849">
        <f>'Team Info'!$B$3</f>
        <v>0</v>
      </c>
      <c r="B1849">
        <f>'Male SR Endurance Speed'!A41</f>
        <v>3</v>
      </c>
      <c r="C1849" t="str">
        <f>'Male SR Endurance Speed'!B41</f>
        <v>MTMS</v>
      </c>
      <c r="D1849" t="str">
        <f>'Male SR Endurance Speed'!C41</f>
        <v>13-14</v>
      </c>
      <c r="E1849">
        <f>'Male SR Endurance Speed'!D41</f>
        <v>0</v>
      </c>
      <c r="I1849" t="str">
        <f t="shared" si="70"/>
        <v>MTMS-Male Three Minute Speed</v>
      </c>
    </row>
    <row r="1850" spans="1:9" x14ac:dyDescent="0.25">
      <c r="A1850">
        <f>'Team Info'!$B$3</f>
        <v>0</v>
      </c>
      <c r="B1850">
        <f>'Male SR Endurance Speed'!A42</f>
        <v>4</v>
      </c>
      <c r="C1850" t="str">
        <f>'Male SR Endurance Speed'!B42</f>
        <v>MTMS</v>
      </c>
      <c r="D1850" t="str">
        <f>'Male SR Endurance Speed'!C42</f>
        <v>13-14</v>
      </c>
      <c r="E1850">
        <f>'Male SR Endurance Speed'!D42</f>
        <v>0</v>
      </c>
      <c r="I1850" t="str">
        <f t="shared" si="70"/>
        <v>MTMS-Male Three Minute Speed</v>
      </c>
    </row>
    <row r="1851" spans="1:9" x14ac:dyDescent="0.25">
      <c r="A1851">
        <f>'Team Info'!$B$3</f>
        <v>0</v>
      </c>
      <c r="B1851">
        <f>'Male SR Endurance Speed'!A43</f>
        <v>5</v>
      </c>
      <c r="C1851" t="str">
        <f>'Male SR Endurance Speed'!B43</f>
        <v>MTMS</v>
      </c>
      <c r="D1851" t="str">
        <f>'Male SR Endurance Speed'!C43</f>
        <v>13-14</v>
      </c>
      <c r="E1851">
        <f>'Male SR Endurance Speed'!D43</f>
        <v>0</v>
      </c>
      <c r="I1851" t="str">
        <f t="shared" si="70"/>
        <v>MTMS-Male Three Minute Speed</v>
      </c>
    </row>
    <row r="1852" spans="1:9" x14ac:dyDescent="0.25">
      <c r="A1852">
        <f>'Team Info'!$B$3</f>
        <v>0</v>
      </c>
      <c r="B1852">
        <f>'Male SR Endurance Speed'!A44</f>
        <v>6</v>
      </c>
      <c r="C1852" t="str">
        <f>'Male SR Endurance Speed'!B44</f>
        <v>MTMS</v>
      </c>
      <c r="D1852" t="str">
        <f>'Male SR Endurance Speed'!C44</f>
        <v>13-14</v>
      </c>
      <c r="E1852">
        <f>'Male SR Endurance Speed'!D44</f>
        <v>0</v>
      </c>
      <c r="I1852" t="str">
        <f t="shared" si="70"/>
        <v>MTMS-Male Three Minute Speed</v>
      </c>
    </row>
    <row r="1853" spans="1:9" x14ac:dyDescent="0.25">
      <c r="A1853">
        <f>'Team Info'!$B$3</f>
        <v>0</v>
      </c>
      <c r="B1853">
        <f>'Male SR Endurance Speed'!A45</f>
        <v>7</v>
      </c>
      <c r="C1853" t="str">
        <f>'Male SR Endurance Speed'!B45</f>
        <v>MTMS</v>
      </c>
      <c r="D1853" t="str">
        <f>'Male SR Endurance Speed'!C45</f>
        <v>13-14</v>
      </c>
      <c r="E1853">
        <f>'Male SR Endurance Speed'!D45</f>
        <v>0</v>
      </c>
      <c r="I1853" t="str">
        <f t="shared" si="70"/>
        <v>MTMS-Male Three Minute Speed</v>
      </c>
    </row>
    <row r="1854" spans="1:9" x14ac:dyDescent="0.25">
      <c r="A1854">
        <f>'Team Info'!$B$3</f>
        <v>0</v>
      </c>
      <c r="B1854">
        <f>'Male SR Endurance Speed'!A46</f>
        <v>8</v>
      </c>
      <c r="C1854" t="str">
        <f>'Male SR Endurance Speed'!B46</f>
        <v>MTMS</v>
      </c>
      <c r="D1854" t="str">
        <f>'Male SR Endurance Speed'!C46</f>
        <v>13-14</v>
      </c>
      <c r="E1854">
        <f>'Male SR Endurance Speed'!D46</f>
        <v>0</v>
      </c>
      <c r="I1854" t="str">
        <f t="shared" si="70"/>
        <v>MTMS-Male Three Minute Speed</v>
      </c>
    </row>
    <row r="1855" spans="1:9" x14ac:dyDescent="0.25">
      <c r="A1855">
        <f>'Team Info'!$B$3</f>
        <v>0</v>
      </c>
      <c r="B1855">
        <f>'Male SR Endurance Speed'!A47</f>
        <v>9</v>
      </c>
      <c r="C1855" t="str">
        <f>'Male SR Endurance Speed'!B47</f>
        <v>MTMS</v>
      </c>
      <c r="D1855" t="str">
        <f>'Male SR Endurance Speed'!C47</f>
        <v>13-14</v>
      </c>
      <c r="E1855">
        <f>'Male SR Endurance Speed'!D47</f>
        <v>0</v>
      </c>
      <c r="I1855" t="str">
        <f t="shared" si="70"/>
        <v>MTMS-Male Three Minute Speed</v>
      </c>
    </row>
    <row r="1856" spans="1:9" x14ac:dyDescent="0.25">
      <c r="A1856">
        <f>'Team Info'!$B$3</f>
        <v>0</v>
      </c>
      <c r="B1856">
        <f>'Male SR Endurance Speed'!A48</f>
        <v>10</v>
      </c>
      <c r="C1856" t="str">
        <f>'Male SR Endurance Speed'!B48</f>
        <v>MTMS</v>
      </c>
      <c r="D1856" t="str">
        <f>'Male SR Endurance Speed'!C48</f>
        <v>13-14</v>
      </c>
      <c r="E1856">
        <f>'Male SR Endurance Speed'!D48</f>
        <v>0</v>
      </c>
      <c r="I1856" t="str">
        <f t="shared" si="70"/>
        <v>MTMS-Male Three Minute Speed</v>
      </c>
    </row>
    <row r="1857" spans="1:9" x14ac:dyDescent="0.25">
      <c r="A1857">
        <f>'Team Info'!$B$3</f>
        <v>0</v>
      </c>
      <c r="B1857">
        <f>'Male SR Endurance Speed'!A49</f>
        <v>11</v>
      </c>
      <c r="C1857" t="str">
        <f>'Male SR Endurance Speed'!B49</f>
        <v>MTMS</v>
      </c>
      <c r="D1857" t="str">
        <f>'Male SR Endurance Speed'!C49</f>
        <v>13-14</v>
      </c>
      <c r="E1857">
        <f>'Male SR Endurance Speed'!D49</f>
        <v>0</v>
      </c>
      <c r="I1857" t="str">
        <f t="shared" si="70"/>
        <v>MTMS-Male Three Minute Speed</v>
      </c>
    </row>
    <row r="1858" spans="1:9" x14ac:dyDescent="0.25">
      <c r="A1858">
        <f>'Team Info'!$B$3</f>
        <v>0</v>
      </c>
      <c r="B1858">
        <f>'Male SR Endurance Speed'!A50</f>
        <v>12</v>
      </c>
      <c r="C1858" t="str">
        <f>'Male SR Endurance Speed'!B50</f>
        <v>MTMS</v>
      </c>
      <c r="D1858" t="str">
        <f>'Male SR Endurance Speed'!C50</f>
        <v>13-14</v>
      </c>
      <c r="E1858">
        <f>'Male SR Endurance Speed'!D50</f>
        <v>0</v>
      </c>
      <c r="I1858" t="str">
        <f t="shared" si="70"/>
        <v>MTMS-Male Three Minute Speed</v>
      </c>
    </row>
    <row r="1859" spans="1:9" x14ac:dyDescent="0.25">
      <c r="A1859">
        <f>'Team Info'!$B$3</f>
        <v>0</v>
      </c>
      <c r="B1859">
        <f>'Male SR Endurance Speed'!A51</f>
        <v>13</v>
      </c>
      <c r="C1859" t="str">
        <f>'Male SR Endurance Speed'!B51</f>
        <v>MTMS</v>
      </c>
      <c r="D1859" t="str">
        <f>'Male SR Endurance Speed'!C51</f>
        <v>13-14</v>
      </c>
      <c r="E1859">
        <f>'Male SR Endurance Speed'!D51</f>
        <v>0</v>
      </c>
      <c r="I1859" t="str">
        <f t="shared" si="70"/>
        <v>MTMS-Male Three Minute Speed</v>
      </c>
    </row>
    <row r="1860" spans="1:9" x14ac:dyDescent="0.25">
      <c r="A1860">
        <f>'Team Info'!$B$3</f>
        <v>0</v>
      </c>
      <c r="B1860">
        <f>'Male SR Endurance Speed'!A52</f>
        <v>14</v>
      </c>
      <c r="C1860" t="str">
        <f>'Male SR Endurance Speed'!B52</f>
        <v>MTMS</v>
      </c>
      <c r="D1860" t="str">
        <f>'Male SR Endurance Speed'!C52</f>
        <v>13-14</v>
      </c>
      <c r="E1860">
        <f>'Male SR Endurance Speed'!D52</f>
        <v>0</v>
      </c>
      <c r="I1860" t="str">
        <f t="shared" si="70"/>
        <v>MTMS-Male Three Minute Speed</v>
      </c>
    </row>
    <row r="1861" spans="1:9" x14ac:dyDescent="0.25">
      <c r="A1861">
        <f>'Team Info'!$B$3</f>
        <v>0</v>
      </c>
      <c r="B1861">
        <f>'Male SR Endurance Speed'!A53</f>
        <v>15</v>
      </c>
      <c r="C1861" t="str">
        <f>'Male SR Endurance Speed'!B53</f>
        <v>MTMS</v>
      </c>
      <c r="D1861" t="str">
        <f>'Male SR Endurance Speed'!C53</f>
        <v>13-14</v>
      </c>
      <c r="E1861">
        <f>'Male SR Endurance Speed'!D53</f>
        <v>0</v>
      </c>
      <c r="I1861" t="str">
        <f t="shared" si="70"/>
        <v>MTMS-Male Three Minute Speed</v>
      </c>
    </row>
    <row r="1862" spans="1:9" x14ac:dyDescent="0.25">
      <c r="A1862">
        <f>'Team Info'!$B$3</f>
        <v>0</v>
      </c>
      <c r="B1862">
        <f>'Male SR Endurance Speed'!A54</f>
        <v>16</v>
      </c>
      <c r="C1862" t="str">
        <f>'Male SR Endurance Speed'!B54</f>
        <v>MTMS</v>
      </c>
      <c r="D1862" t="str">
        <f>'Male SR Endurance Speed'!C54</f>
        <v>13-14</v>
      </c>
      <c r="E1862">
        <f>'Male SR Endurance Speed'!D54</f>
        <v>0</v>
      </c>
      <c r="I1862" t="str">
        <f t="shared" si="70"/>
        <v>MTMS-Male Three Minute Speed</v>
      </c>
    </row>
    <row r="1863" spans="1:9" x14ac:dyDescent="0.25">
      <c r="A1863">
        <f>'Team Info'!$B$3</f>
        <v>0</v>
      </c>
      <c r="B1863">
        <f>'Male SR Endurance Speed'!A55</f>
        <v>17</v>
      </c>
      <c r="C1863" t="str">
        <f>'Male SR Endurance Speed'!B55</f>
        <v>MTMS</v>
      </c>
      <c r="D1863" t="str">
        <f>'Male SR Endurance Speed'!C55</f>
        <v>13-14</v>
      </c>
      <c r="E1863">
        <f>'Male SR Endurance Speed'!D55</f>
        <v>0</v>
      </c>
      <c r="I1863" t="str">
        <f t="shared" si="70"/>
        <v>MTMS-Male Three Minute Speed</v>
      </c>
    </row>
    <row r="1864" spans="1:9" x14ac:dyDescent="0.25">
      <c r="A1864">
        <f>'Team Info'!$B$3</f>
        <v>0</v>
      </c>
      <c r="B1864">
        <f>'Male SR Endurance Speed'!A56</f>
        <v>18</v>
      </c>
      <c r="C1864" t="str">
        <f>'Male SR Endurance Speed'!B56</f>
        <v>MTMS</v>
      </c>
      <c r="D1864" t="str">
        <f>'Male SR Endurance Speed'!C56</f>
        <v>13-14</v>
      </c>
      <c r="E1864">
        <f>'Male SR Endurance Speed'!D56</f>
        <v>0</v>
      </c>
      <c r="I1864" t="str">
        <f t="shared" si="70"/>
        <v>MTMS-Male Three Minute Speed</v>
      </c>
    </row>
    <row r="1865" spans="1:9" x14ac:dyDescent="0.25">
      <c r="A1865">
        <f>'Team Info'!$B$3</f>
        <v>0</v>
      </c>
      <c r="B1865">
        <f>'Male SR Endurance Speed'!A57</f>
        <v>19</v>
      </c>
      <c r="C1865" t="str">
        <f>'Male SR Endurance Speed'!B57</f>
        <v>MTMS</v>
      </c>
      <c r="D1865" t="str">
        <f>'Male SR Endurance Speed'!C57</f>
        <v>13-14</v>
      </c>
      <c r="E1865">
        <f>'Male SR Endurance Speed'!D57</f>
        <v>0</v>
      </c>
      <c r="I1865" t="str">
        <f t="shared" si="70"/>
        <v>MTMS-Male Three Minute Speed</v>
      </c>
    </row>
    <row r="1866" spans="1:9" x14ac:dyDescent="0.25">
      <c r="A1866">
        <f>'Team Info'!$B$3</f>
        <v>0</v>
      </c>
      <c r="B1866">
        <f>'Male SR Endurance Speed'!A58</f>
        <v>20</v>
      </c>
      <c r="C1866" t="str">
        <f>'Male SR Endurance Speed'!B58</f>
        <v>MTMS</v>
      </c>
      <c r="D1866" t="str">
        <f>'Male SR Endurance Speed'!C58</f>
        <v>13-14</v>
      </c>
      <c r="E1866">
        <f>'Male SR Endurance Speed'!D58</f>
        <v>0</v>
      </c>
      <c r="I1866" t="str">
        <f t="shared" si="70"/>
        <v>MTMS-Male Three Minute Speed</v>
      </c>
    </row>
    <row r="1867" spans="1:9" x14ac:dyDescent="0.25">
      <c r="A1867">
        <f>'Team Info'!$B$3</f>
        <v>0</v>
      </c>
      <c r="B1867">
        <f>'Male SR Endurance Speed'!H39</f>
        <v>1</v>
      </c>
      <c r="C1867" t="str">
        <f>'Male SR Endurance Speed'!I39</f>
        <v>MTMS</v>
      </c>
      <c r="D1867" t="str">
        <f>'Male SR Endurance Speed'!J39</f>
        <v>15-16</v>
      </c>
      <c r="E1867">
        <f>'Male SR Endurance Speed'!K39</f>
        <v>0</v>
      </c>
      <c r="I1867" t="str">
        <f t="shared" si="70"/>
        <v>MTMS-Male Three Minute Speed</v>
      </c>
    </row>
    <row r="1868" spans="1:9" x14ac:dyDescent="0.25">
      <c r="A1868">
        <f>'Team Info'!$B$3</f>
        <v>0</v>
      </c>
      <c r="B1868">
        <f>'Male SR Endurance Speed'!H40</f>
        <v>2</v>
      </c>
      <c r="C1868" t="str">
        <f>'Male SR Endurance Speed'!I40</f>
        <v>MTMS</v>
      </c>
      <c r="D1868" t="str">
        <f>'Male SR Endurance Speed'!J40</f>
        <v>15-16</v>
      </c>
      <c r="E1868">
        <f>'Male SR Endurance Speed'!K40</f>
        <v>0</v>
      </c>
      <c r="I1868" t="str">
        <f t="shared" si="70"/>
        <v>MTMS-Male Three Minute Speed</v>
      </c>
    </row>
    <row r="1869" spans="1:9" x14ac:dyDescent="0.25">
      <c r="A1869">
        <f>'Team Info'!$B$3</f>
        <v>0</v>
      </c>
      <c r="B1869">
        <f>'Male SR Endurance Speed'!H41</f>
        <v>3</v>
      </c>
      <c r="C1869" t="str">
        <f>'Male SR Endurance Speed'!I41</f>
        <v>MTMS</v>
      </c>
      <c r="D1869" t="str">
        <f>'Male SR Endurance Speed'!J41</f>
        <v>15-16</v>
      </c>
      <c r="E1869">
        <f>'Male SR Endurance Speed'!K41</f>
        <v>0</v>
      </c>
      <c r="I1869" t="str">
        <f t="shared" si="70"/>
        <v>MTMS-Male Three Minute Speed</v>
      </c>
    </row>
    <row r="1870" spans="1:9" x14ac:dyDescent="0.25">
      <c r="A1870">
        <f>'Team Info'!$B$3</f>
        <v>0</v>
      </c>
      <c r="B1870">
        <f>'Male SR Endurance Speed'!H42</f>
        <v>4</v>
      </c>
      <c r="C1870" t="str">
        <f>'Male SR Endurance Speed'!I42</f>
        <v>MTMS</v>
      </c>
      <c r="D1870" t="str">
        <f>'Male SR Endurance Speed'!J42</f>
        <v>15-16</v>
      </c>
      <c r="E1870">
        <f>'Male SR Endurance Speed'!K42</f>
        <v>0</v>
      </c>
      <c r="I1870" t="str">
        <f t="shared" si="70"/>
        <v>MTMS-Male Three Minute Speed</v>
      </c>
    </row>
    <row r="1871" spans="1:9" x14ac:dyDescent="0.25">
      <c r="A1871">
        <f>'Team Info'!$B$3</f>
        <v>0</v>
      </c>
      <c r="B1871">
        <f>'Male SR Endurance Speed'!H43</f>
        <v>5</v>
      </c>
      <c r="C1871" t="str">
        <f>'Male SR Endurance Speed'!I43</f>
        <v>MTMS</v>
      </c>
      <c r="D1871" t="str">
        <f>'Male SR Endurance Speed'!J43</f>
        <v>15-16</v>
      </c>
      <c r="E1871">
        <f>'Male SR Endurance Speed'!K43</f>
        <v>0</v>
      </c>
      <c r="I1871" t="str">
        <f t="shared" si="70"/>
        <v>MTMS-Male Three Minute Speed</v>
      </c>
    </row>
    <row r="1872" spans="1:9" x14ac:dyDescent="0.25">
      <c r="A1872">
        <f>'Team Info'!$B$3</f>
        <v>0</v>
      </c>
      <c r="B1872">
        <f>'Male SR Endurance Speed'!H44</f>
        <v>6</v>
      </c>
      <c r="C1872" t="str">
        <f>'Male SR Endurance Speed'!I44</f>
        <v>MTMS</v>
      </c>
      <c r="D1872" t="str">
        <f>'Male SR Endurance Speed'!J44</f>
        <v>15-16</v>
      </c>
      <c r="E1872">
        <f>'Male SR Endurance Speed'!K44</f>
        <v>0</v>
      </c>
      <c r="I1872" t="str">
        <f t="shared" si="70"/>
        <v>MTMS-Male Three Minute Speed</v>
      </c>
    </row>
    <row r="1873" spans="1:9" x14ac:dyDescent="0.25">
      <c r="A1873">
        <f>'Team Info'!$B$3</f>
        <v>0</v>
      </c>
      <c r="B1873">
        <f>'Male SR Endurance Speed'!H45</f>
        <v>7</v>
      </c>
      <c r="C1873" t="str">
        <f>'Male SR Endurance Speed'!I45</f>
        <v>MTMS</v>
      </c>
      <c r="D1873" t="str">
        <f>'Male SR Endurance Speed'!J45</f>
        <v>15-16</v>
      </c>
      <c r="E1873">
        <f>'Male SR Endurance Speed'!K45</f>
        <v>0</v>
      </c>
      <c r="I1873" t="str">
        <f t="shared" si="70"/>
        <v>MTMS-Male Three Minute Speed</v>
      </c>
    </row>
    <row r="1874" spans="1:9" x14ac:dyDescent="0.25">
      <c r="A1874">
        <f>'Team Info'!$B$3</f>
        <v>0</v>
      </c>
      <c r="B1874">
        <f>'Male SR Endurance Speed'!H46</f>
        <v>8</v>
      </c>
      <c r="C1874" t="str">
        <f>'Male SR Endurance Speed'!I46</f>
        <v>MTMS</v>
      </c>
      <c r="D1874" t="str">
        <f>'Male SR Endurance Speed'!J46</f>
        <v>15-16</v>
      </c>
      <c r="E1874">
        <f>'Male SR Endurance Speed'!K46</f>
        <v>0</v>
      </c>
      <c r="I1874" t="str">
        <f t="shared" si="70"/>
        <v>MTMS-Male Three Minute Speed</v>
      </c>
    </row>
    <row r="1875" spans="1:9" x14ac:dyDescent="0.25">
      <c r="A1875">
        <f>'Team Info'!$B$3</f>
        <v>0</v>
      </c>
      <c r="B1875">
        <f>'Male SR Endurance Speed'!H47</f>
        <v>9</v>
      </c>
      <c r="C1875" t="str">
        <f>'Male SR Endurance Speed'!I47</f>
        <v>MTMS</v>
      </c>
      <c r="D1875" t="str">
        <f>'Male SR Endurance Speed'!J47</f>
        <v>15-16</v>
      </c>
      <c r="E1875">
        <f>'Male SR Endurance Speed'!K47</f>
        <v>0</v>
      </c>
      <c r="I1875" t="str">
        <f t="shared" si="70"/>
        <v>MTMS-Male Three Minute Speed</v>
      </c>
    </row>
    <row r="1876" spans="1:9" x14ac:dyDescent="0.25">
      <c r="A1876">
        <f>'Team Info'!$B$3</f>
        <v>0</v>
      </c>
      <c r="B1876">
        <f>'Male SR Endurance Speed'!H48</f>
        <v>10</v>
      </c>
      <c r="C1876" t="str">
        <f>'Male SR Endurance Speed'!I48</f>
        <v>MTMS</v>
      </c>
      <c r="D1876" t="str">
        <f>'Male SR Endurance Speed'!J48</f>
        <v>15-16</v>
      </c>
      <c r="E1876">
        <f>'Male SR Endurance Speed'!K48</f>
        <v>0</v>
      </c>
      <c r="I1876" t="str">
        <f t="shared" si="70"/>
        <v>MTMS-Male Three Minute Speed</v>
      </c>
    </row>
    <row r="1877" spans="1:9" x14ac:dyDescent="0.25">
      <c r="A1877">
        <f>'Team Info'!$B$3</f>
        <v>0</v>
      </c>
      <c r="B1877">
        <f>'Male SR Endurance Speed'!H49</f>
        <v>11</v>
      </c>
      <c r="C1877" t="str">
        <f>'Male SR Endurance Speed'!I49</f>
        <v>MTMS</v>
      </c>
      <c r="D1877" t="str">
        <f>'Male SR Endurance Speed'!J49</f>
        <v>15-16</v>
      </c>
      <c r="E1877">
        <f>'Male SR Endurance Speed'!K49</f>
        <v>0</v>
      </c>
      <c r="I1877" t="str">
        <f t="shared" si="70"/>
        <v>MTMS-Male Three Minute Speed</v>
      </c>
    </row>
    <row r="1878" spans="1:9" x14ac:dyDescent="0.25">
      <c r="A1878">
        <f>'Team Info'!$B$3</f>
        <v>0</v>
      </c>
      <c r="B1878">
        <f>'Male SR Endurance Speed'!H50</f>
        <v>12</v>
      </c>
      <c r="C1878" t="str">
        <f>'Male SR Endurance Speed'!I50</f>
        <v>MTMS</v>
      </c>
      <c r="D1878" t="str">
        <f>'Male SR Endurance Speed'!J50</f>
        <v>15-16</v>
      </c>
      <c r="E1878">
        <f>'Male SR Endurance Speed'!K50</f>
        <v>0</v>
      </c>
      <c r="I1878" t="str">
        <f t="shared" si="70"/>
        <v>MTMS-Male Three Minute Speed</v>
      </c>
    </row>
    <row r="1879" spans="1:9" x14ac:dyDescent="0.25">
      <c r="A1879">
        <f>'Team Info'!$B$3</f>
        <v>0</v>
      </c>
      <c r="B1879">
        <f>'Male SR Endurance Speed'!H51</f>
        <v>13</v>
      </c>
      <c r="C1879" t="str">
        <f>'Male SR Endurance Speed'!I51</f>
        <v>MTMS</v>
      </c>
      <c r="D1879" t="str">
        <f>'Male SR Endurance Speed'!J51</f>
        <v>15-16</v>
      </c>
      <c r="E1879">
        <f>'Male SR Endurance Speed'!K51</f>
        <v>0</v>
      </c>
      <c r="I1879" t="str">
        <f t="shared" si="70"/>
        <v>MTMS-Male Three Minute Speed</v>
      </c>
    </row>
    <row r="1880" spans="1:9" x14ac:dyDescent="0.25">
      <c r="A1880">
        <f>'Team Info'!$B$3</f>
        <v>0</v>
      </c>
      <c r="B1880">
        <f>'Male SR Endurance Speed'!H52</f>
        <v>14</v>
      </c>
      <c r="C1880" t="str">
        <f>'Male SR Endurance Speed'!I52</f>
        <v>MTMS</v>
      </c>
      <c r="D1880" t="str">
        <f>'Male SR Endurance Speed'!J52</f>
        <v>15-16</v>
      </c>
      <c r="E1880">
        <f>'Male SR Endurance Speed'!K52</f>
        <v>0</v>
      </c>
      <c r="I1880" t="str">
        <f t="shared" si="70"/>
        <v>MTMS-Male Three Minute Speed</v>
      </c>
    </row>
    <row r="1881" spans="1:9" x14ac:dyDescent="0.25">
      <c r="A1881">
        <f>'Team Info'!$B$3</f>
        <v>0</v>
      </c>
      <c r="B1881">
        <f>'Male SR Endurance Speed'!H53</f>
        <v>15</v>
      </c>
      <c r="C1881" t="str">
        <f>'Male SR Endurance Speed'!I53</f>
        <v>MTMS</v>
      </c>
      <c r="D1881" t="str">
        <f>'Male SR Endurance Speed'!J53</f>
        <v>15-16</v>
      </c>
      <c r="E1881">
        <f>'Male SR Endurance Speed'!K53</f>
        <v>0</v>
      </c>
      <c r="I1881" t="str">
        <f t="shared" si="70"/>
        <v>MTMS-Male Three Minute Speed</v>
      </c>
    </row>
    <row r="1882" spans="1:9" x14ac:dyDescent="0.25">
      <c r="A1882">
        <f>'Team Info'!$B$3</f>
        <v>0</v>
      </c>
      <c r="B1882">
        <f>'Male SR Endurance Speed'!H54</f>
        <v>16</v>
      </c>
      <c r="C1882" t="str">
        <f>'Male SR Endurance Speed'!I54</f>
        <v>MTMS</v>
      </c>
      <c r="D1882" t="str">
        <f>'Male SR Endurance Speed'!J54</f>
        <v>15-16</v>
      </c>
      <c r="E1882">
        <f>'Male SR Endurance Speed'!K54</f>
        <v>0</v>
      </c>
      <c r="I1882" t="str">
        <f t="shared" si="70"/>
        <v>MTMS-Male Three Minute Speed</v>
      </c>
    </row>
    <row r="1883" spans="1:9" x14ac:dyDescent="0.25">
      <c r="A1883">
        <f>'Team Info'!$B$3</f>
        <v>0</v>
      </c>
      <c r="B1883">
        <f>'Male SR Endurance Speed'!H55</f>
        <v>17</v>
      </c>
      <c r="C1883" t="str">
        <f>'Male SR Endurance Speed'!I55</f>
        <v>MTMS</v>
      </c>
      <c r="D1883" t="str">
        <f>'Male SR Endurance Speed'!J55</f>
        <v>15-16</v>
      </c>
      <c r="E1883">
        <f>'Male SR Endurance Speed'!K55</f>
        <v>0</v>
      </c>
      <c r="I1883" t="str">
        <f t="shared" si="70"/>
        <v>MTMS-Male Three Minute Speed</v>
      </c>
    </row>
    <row r="1884" spans="1:9" x14ac:dyDescent="0.25">
      <c r="A1884">
        <f>'Team Info'!$B$3</f>
        <v>0</v>
      </c>
      <c r="B1884">
        <f>'Male SR Endurance Speed'!H56</f>
        <v>18</v>
      </c>
      <c r="C1884" t="str">
        <f>'Male SR Endurance Speed'!I56</f>
        <v>MTMS</v>
      </c>
      <c r="D1884" t="str">
        <f>'Male SR Endurance Speed'!J56</f>
        <v>15-16</v>
      </c>
      <c r="E1884">
        <f>'Male SR Endurance Speed'!K56</f>
        <v>0</v>
      </c>
      <c r="I1884" t="str">
        <f t="shared" si="70"/>
        <v>MTMS-Male Three Minute Speed</v>
      </c>
    </row>
    <row r="1885" spans="1:9" x14ac:dyDescent="0.25">
      <c r="A1885">
        <f>'Team Info'!$B$3</f>
        <v>0</v>
      </c>
      <c r="B1885">
        <f>'Male SR Endurance Speed'!H57</f>
        <v>19</v>
      </c>
      <c r="C1885" t="str">
        <f>'Male SR Endurance Speed'!I57</f>
        <v>MTMS</v>
      </c>
      <c r="D1885" t="str">
        <f>'Male SR Endurance Speed'!J57</f>
        <v>15-16</v>
      </c>
      <c r="E1885">
        <f>'Male SR Endurance Speed'!K57</f>
        <v>0</v>
      </c>
      <c r="I1885" t="str">
        <f t="shared" si="70"/>
        <v>MTMS-Male Three Minute Speed</v>
      </c>
    </row>
    <row r="1886" spans="1:9" x14ac:dyDescent="0.25">
      <c r="A1886">
        <f>'Team Info'!$B$3</f>
        <v>0</v>
      </c>
      <c r="B1886">
        <f>'Male SR Endurance Speed'!H58</f>
        <v>20</v>
      </c>
      <c r="C1886" t="str">
        <f>'Male SR Endurance Speed'!I58</f>
        <v>MTMS</v>
      </c>
      <c r="D1886" t="str">
        <f>'Male SR Endurance Speed'!J58</f>
        <v>15-16</v>
      </c>
      <c r="E1886">
        <f>'Male SR Endurance Speed'!K58</f>
        <v>0</v>
      </c>
      <c r="I1886" t="str">
        <f t="shared" si="70"/>
        <v>MTMS-Male Three Minute Speed</v>
      </c>
    </row>
    <row r="1887" spans="1:9" x14ac:dyDescent="0.25">
      <c r="A1887">
        <f>'Team Info'!$B$3</f>
        <v>0</v>
      </c>
      <c r="B1887">
        <f>'Male SR Endurance Speed'!A61</f>
        <v>1</v>
      </c>
      <c r="C1887" t="str">
        <f>'Male SR Endurance Speed'!B61</f>
        <v>MTMS</v>
      </c>
      <c r="D1887" t="str">
        <f>'Male SR Endurance Speed'!C61</f>
        <v>17-18</v>
      </c>
      <c r="E1887">
        <f>'Male SR Endurance Speed'!D61</f>
        <v>0</v>
      </c>
      <c r="I1887" t="str">
        <f t="shared" si="70"/>
        <v>MTMS-Male Three Minute Speed</v>
      </c>
    </row>
    <row r="1888" spans="1:9" x14ac:dyDescent="0.25">
      <c r="A1888">
        <f>'Team Info'!$B$3</f>
        <v>0</v>
      </c>
      <c r="B1888">
        <f>'Male SR Endurance Speed'!A62</f>
        <v>2</v>
      </c>
      <c r="C1888" t="str">
        <f>'Male SR Endurance Speed'!B62</f>
        <v>MTMS</v>
      </c>
      <c r="D1888" t="str">
        <f>'Male SR Endurance Speed'!C62</f>
        <v>17-18</v>
      </c>
      <c r="E1888">
        <f>'Male SR Endurance Speed'!D62</f>
        <v>0</v>
      </c>
      <c r="I1888" t="str">
        <f t="shared" si="70"/>
        <v>MTMS-Male Three Minute Speed</v>
      </c>
    </row>
    <row r="1889" spans="1:9" x14ac:dyDescent="0.25">
      <c r="A1889">
        <f>'Team Info'!$B$3</f>
        <v>0</v>
      </c>
      <c r="B1889">
        <f>'Male SR Endurance Speed'!A63</f>
        <v>3</v>
      </c>
      <c r="C1889" t="str">
        <f>'Male SR Endurance Speed'!B63</f>
        <v>MTMS</v>
      </c>
      <c r="D1889" t="str">
        <f>'Male SR Endurance Speed'!C63</f>
        <v>17-18</v>
      </c>
      <c r="E1889">
        <f>'Male SR Endurance Speed'!D63</f>
        <v>0</v>
      </c>
      <c r="I1889" t="str">
        <f t="shared" si="70"/>
        <v>MTMS-Male Three Minute Speed</v>
      </c>
    </row>
    <row r="1890" spans="1:9" x14ac:dyDescent="0.25">
      <c r="A1890">
        <f>'Team Info'!$B$3</f>
        <v>0</v>
      </c>
      <c r="B1890">
        <f>'Male SR Endurance Speed'!A64</f>
        <v>4</v>
      </c>
      <c r="C1890" t="str">
        <f>'Male SR Endurance Speed'!B64</f>
        <v>MTMS</v>
      </c>
      <c r="D1890" t="str">
        <f>'Male SR Endurance Speed'!C64</f>
        <v>17-18</v>
      </c>
      <c r="E1890">
        <f>'Male SR Endurance Speed'!D64</f>
        <v>0</v>
      </c>
      <c r="I1890" t="str">
        <f t="shared" si="70"/>
        <v>MTMS-Male Three Minute Speed</v>
      </c>
    </row>
    <row r="1891" spans="1:9" x14ac:dyDescent="0.25">
      <c r="A1891">
        <f>'Team Info'!$B$3</f>
        <v>0</v>
      </c>
      <c r="B1891">
        <f>'Male SR Endurance Speed'!A65</f>
        <v>5</v>
      </c>
      <c r="C1891" t="str">
        <f>'Male SR Endurance Speed'!B65</f>
        <v>MTMS</v>
      </c>
      <c r="D1891" t="str">
        <f>'Male SR Endurance Speed'!C65</f>
        <v>17-18</v>
      </c>
      <c r="E1891">
        <f>'Male SR Endurance Speed'!D65</f>
        <v>0</v>
      </c>
      <c r="I1891" t="str">
        <f t="shared" si="70"/>
        <v>MTMS-Male Three Minute Speed</v>
      </c>
    </row>
    <row r="1892" spans="1:9" x14ac:dyDescent="0.25">
      <c r="A1892">
        <f>'Team Info'!$B$3</f>
        <v>0</v>
      </c>
      <c r="B1892">
        <f>'Male SR Endurance Speed'!A66</f>
        <v>6</v>
      </c>
      <c r="C1892" t="str">
        <f>'Male SR Endurance Speed'!B66</f>
        <v>MTMS</v>
      </c>
      <c r="D1892" t="str">
        <f>'Male SR Endurance Speed'!C66</f>
        <v>17-18</v>
      </c>
      <c r="E1892">
        <f>'Male SR Endurance Speed'!D66</f>
        <v>0</v>
      </c>
      <c r="I1892" t="str">
        <f t="shared" ref="I1892:I1964" si="71">VLOOKUP(C1892,EVENTS,2,FALSE)</f>
        <v>MTMS-Male Three Minute Speed</v>
      </c>
    </row>
    <row r="1893" spans="1:9" x14ac:dyDescent="0.25">
      <c r="A1893">
        <f>'Team Info'!$B$3</f>
        <v>0</v>
      </c>
      <c r="B1893">
        <f>'Male SR Endurance Speed'!A67</f>
        <v>7</v>
      </c>
      <c r="C1893" t="str">
        <f>'Male SR Endurance Speed'!B67</f>
        <v>MTMS</v>
      </c>
      <c r="D1893" t="str">
        <f>'Male SR Endurance Speed'!C67</f>
        <v>17-18</v>
      </c>
      <c r="E1893">
        <f>'Male SR Endurance Speed'!D67</f>
        <v>0</v>
      </c>
      <c r="I1893" t="str">
        <f t="shared" si="71"/>
        <v>MTMS-Male Three Minute Speed</v>
      </c>
    </row>
    <row r="1894" spans="1:9" x14ac:dyDescent="0.25">
      <c r="A1894">
        <f>'Team Info'!$B$3</f>
        <v>0</v>
      </c>
      <c r="B1894">
        <f>'Male SR Endurance Speed'!A68</f>
        <v>8</v>
      </c>
      <c r="C1894" t="str">
        <f>'Male SR Endurance Speed'!B68</f>
        <v>MTMS</v>
      </c>
      <c r="D1894" t="str">
        <f>'Male SR Endurance Speed'!C68</f>
        <v>17-18</v>
      </c>
      <c r="E1894">
        <f>'Male SR Endurance Speed'!D68</f>
        <v>0</v>
      </c>
      <c r="I1894" t="str">
        <f t="shared" ref="I1894:I1895" si="72">VLOOKUP(C1894,EVENTS,2,FALSE)</f>
        <v>MTMS-Male Three Minute Speed</v>
      </c>
    </row>
    <row r="1895" spans="1:9" x14ac:dyDescent="0.25">
      <c r="A1895">
        <f>'Team Info'!$B$3</f>
        <v>0</v>
      </c>
      <c r="B1895">
        <f>'Male SR Endurance Speed'!A69</f>
        <v>9</v>
      </c>
      <c r="C1895" t="str">
        <f>'Male SR Endurance Speed'!B69</f>
        <v>MTMS</v>
      </c>
      <c r="D1895" t="str">
        <f>'Male SR Endurance Speed'!C69</f>
        <v>17-18</v>
      </c>
      <c r="E1895">
        <f>'Male SR Endurance Speed'!D69</f>
        <v>0</v>
      </c>
      <c r="I1895" t="str">
        <f t="shared" si="72"/>
        <v>MTMS-Male Three Minute Speed</v>
      </c>
    </row>
    <row r="1896" spans="1:9" x14ac:dyDescent="0.25">
      <c r="A1896">
        <f>'Team Info'!$B$3</f>
        <v>0</v>
      </c>
      <c r="B1896">
        <f>'Male SR Endurance Speed'!A70</f>
        <v>10</v>
      </c>
      <c r="C1896" t="str">
        <f>'Male SR Endurance Speed'!B70</f>
        <v>MTMS</v>
      </c>
      <c r="D1896" t="str">
        <f>'Male SR Endurance Speed'!C70</f>
        <v>17-18</v>
      </c>
      <c r="E1896">
        <f>'Male SR Endurance Speed'!D70</f>
        <v>0</v>
      </c>
      <c r="I1896" t="str">
        <f t="shared" si="71"/>
        <v>MTMS-Male Three Minute Speed</v>
      </c>
    </row>
    <row r="1897" spans="1:9" x14ac:dyDescent="0.25">
      <c r="A1897">
        <f>'Team Info'!$B$3</f>
        <v>0</v>
      </c>
      <c r="B1897">
        <f>'Male SR Endurance Speed'!H61</f>
        <v>1</v>
      </c>
      <c r="C1897" t="str">
        <f>'Male SR Endurance Speed'!I61</f>
        <v>MTMS</v>
      </c>
      <c r="D1897" t="str">
        <f>'Male SR Endurance Speed'!J61</f>
        <v>19-22</v>
      </c>
      <c r="E1897">
        <f>'Male SR Endurance Speed'!K61</f>
        <v>0</v>
      </c>
      <c r="I1897" t="str">
        <f t="shared" si="71"/>
        <v>MTMS-Male Three Minute Speed</v>
      </c>
    </row>
    <row r="1898" spans="1:9" x14ac:dyDescent="0.25">
      <c r="A1898">
        <f>'Team Info'!$B$3</f>
        <v>0</v>
      </c>
      <c r="B1898">
        <f>'Male SR Endurance Speed'!H62</f>
        <v>2</v>
      </c>
      <c r="C1898" t="str">
        <f>'Male SR Endurance Speed'!I62</f>
        <v>MTMS</v>
      </c>
      <c r="D1898" t="str">
        <f>'Male SR Endurance Speed'!J62</f>
        <v>19-22</v>
      </c>
      <c r="E1898">
        <f>'Male SR Endurance Speed'!K62</f>
        <v>0</v>
      </c>
      <c r="I1898" t="str">
        <f t="shared" si="71"/>
        <v>MTMS-Male Three Minute Speed</v>
      </c>
    </row>
    <row r="1899" spans="1:9" x14ac:dyDescent="0.25">
      <c r="A1899">
        <f>'Team Info'!$B$3</f>
        <v>0</v>
      </c>
      <c r="B1899">
        <f>'Male SR Endurance Speed'!H63</f>
        <v>3</v>
      </c>
      <c r="C1899" t="str">
        <f>'Male SR Endurance Speed'!I63</f>
        <v>MTMS</v>
      </c>
      <c r="D1899" t="str">
        <f>'Male SR Endurance Speed'!J63</f>
        <v>19-22</v>
      </c>
      <c r="E1899">
        <f>'Male SR Endurance Speed'!K63</f>
        <v>0</v>
      </c>
      <c r="I1899" t="str">
        <f t="shared" si="71"/>
        <v>MTMS-Male Three Minute Speed</v>
      </c>
    </row>
    <row r="1900" spans="1:9" x14ac:dyDescent="0.25">
      <c r="A1900">
        <f>'Team Info'!$B$3</f>
        <v>0</v>
      </c>
      <c r="B1900">
        <f>'Male SR Endurance Speed'!H64</f>
        <v>4</v>
      </c>
      <c r="C1900" t="str">
        <f>'Male SR Endurance Speed'!I64</f>
        <v>MTMS</v>
      </c>
      <c r="D1900" t="str">
        <f>'Male SR Endurance Speed'!J64</f>
        <v>19-22</v>
      </c>
      <c r="E1900">
        <f>'Male SR Endurance Speed'!K64</f>
        <v>0</v>
      </c>
      <c r="I1900" t="str">
        <f t="shared" si="71"/>
        <v>MTMS-Male Three Minute Speed</v>
      </c>
    </row>
    <row r="1901" spans="1:9" x14ac:dyDescent="0.25">
      <c r="A1901">
        <f>'Team Info'!$B$3</f>
        <v>0</v>
      </c>
      <c r="B1901">
        <f>'Male SR Endurance Speed'!H65</f>
        <v>5</v>
      </c>
      <c r="C1901" t="str">
        <f>'Male SR Endurance Speed'!I65</f>
        <v>MTMS</v>
      </c>
      <c r="D1901" t="str">
        <f>'Male SR Endurance Speed'!J65</f>
        <v>19-22</v>
      </c>
      <c r="E1901">
        <f>'Male SR Endurance Speed'!K65</f>
        <v>0</v>
      </c>
      <c r="I1901" t="str">
        <f t="shared" si="71"/>
        <v>MTMS-Male Three Minute Speed</v>
      </c>
    </row>
    <row r="1902" spans="1:9" x14ac:dyDescent="0.25">
      <c r="A1902">
        <f>'Team Info'!$B$3</f>
        <v>0</v>
      </c>
      <c r="B1902">
        <f>'Male SR Endurance Speed'!H66</f>
        <v>6</v>
      </c>
      <c r="C1902" t="str">
        <f>'Male SR Endurance Speed'!I66</f>
        <v>MTMS</v>
      </c>
      <c r="D1902" t="str">
        <f>'Male SR Endurance Speed'!J66</f>
        <v>19-22</v>
      </c>
      <c r="E1902">
        <f>'Male SR Endurance Speed'!K66</f>
        <v>0</v>
      </c>
      <c r="I1902" t="str">
        <f t="shared" si="71"/>
        <v>MTMS-Male Three Minute Speed</v>
      </c>
    </row>
    <row r="1903" spans="1:9" x14ac:dyDescent="0.25">
      <c r="A1903">
        <f>'Team Info'!$B$3</f>
        <v>0</v>
      </c>
      <c r="B1903">
        <f>'Male SR Endurance Speed'!H67</f>
        <v>7</v>
      </c>
      <c r="C1903" t="str">
        <f>'Male SR Endurance Speed'!I67</f>
        <v>MTMS</v>
      </c>
      <c r="D1903" t="str">
        <f>'Male SR Endurance Speed'!J67</f>
        <v>19-22</v>
      </c>
      <c r="E1903">
        <f>'Male SR Endurance Speed'!K67</f>
        <v>0</v>
      </c>
      <c r="I1903" t="str">
        <f t="shared" si="71"/>
        <v>MTMS-Male Three Minute Speed</v>
      </c>
    </row>
    <row r="1904" spans="1:9" x14ac:dyDescent="0.25">
      <c r="A1904">
        <f>'Team Info'!$B$3</f>
        <v>0</v>
      </c>
      <c r="B1904">
        <f>'Male SR Endurance Speed'!H68</f>
        <v>8</v>
      </c>
      <c r="C1904" t="str">
        <f>'Male SR Endurance Speed'!I68</f>
        <v>MTMS</v>
      </c>
      <c r="D1904" t="str">
        <f>'Male SR Endurance Speed'!J68</f>
        <v>19-22</v>
      </c>
      <c r="E1904">
        <f>'Male SR Endurance Speed'!K68</f>
        <v>0</v>
      </c>
      <c r="I1904" t="str">
        <f t="shared" ref="I1904:I1905" si="73">VLOOKUP(C1904,EVENTS,2,FALSE)</f>
        <v>MTMS-Male Three Minute Speed</v>
      </c>
    </row>
    <row r="1905" spans="1:9" x14ac:dyDescent="0.25">
      <c r="A1905">
        <f>'Team Info'!$B$3</f>
        <v>0</v>
      </c>
      <c r="B1905">
        <f>'Male SR Endurance Speed'!H69</f>
        <v>9</v>
      </c>
      <c r="C1905" t="str">
        <f>'Male SR Endurance Speed'!I69</f>
        <v>MTMS</v>
      </c>
      <c r="D1905" t="str">
        <f>'Male SR Endurance Speed'!J69</f>
        <v>19-22</v>
      </c>
      <c r="E1905">
        <f>'Male SR Endurance Speed'!K69</f>
        <v>0</v>
      </c>
      <c r="I1905" t="str">
        <f t="shared" si="73"/>
        <v>MTMS-Male Three Minute Speed</v>
      </c>
    </row>
    <row r="1906" spans="1:9" x14ac:dyDescent="0.25">
      <c r="A1906">
        <f>'Team Info'!$B$3</f>
        <v>0</v>
      </c>
      <c r="B1906">
        <f>'Male SR Endurance Speed'!H70</f>
        <v>10</v>
      </c>
      <c r="C1906" t="str">
        <f>'Male SR Endurance Speed'!I70</f>
        <v>MTMS</v>
      </c>
      <c r="D1906" t="str">
        <f>'Male SR Endurance Speed'!J70</f>
        <v>19-22</v>
      </c>
      <c r="E1906">
        <f>'Male SR Endurance Speed'!K70</f>
        <v>0</v>
      </c>
      <c r="I1906" t="str">
        <f t="shared" si="71"/>
        <v>MTMS-Male Three Minute Speed</v>
      </c>
    </row>
    <row r="1907" spans="1:9" x14ac:dyDescent="0.25">
      <c r="A1907">
        <f>'Team Info'!$B$3</f>
        <v>0</v>
      </c>
      <c r="B1907">
        <f>'Male SR Endurance Speed'!A73</f>
        <v>1</v>
      </c>
      <c r="C1907" t="str">
        <f>'Male SR Endurance Speed'!B73</f>
        <v>MTMS</v>
      </c>
      <c r="D1907" t="str">
        <f>'Male SR Endurance Speed'!C73</f>
        <v>23-29</v>
      </c>
      <c r="E1907">
        <f>'Male SR Endurance Speed'!D73</f>
        <v>0</v>
      </c>
      <c r="I1907" t="str">
        <f t="shared" ref="I1907" si="74">VLOOKUP(C1907,EVENTS,2,FALSE)</f>
        <v>MTMS-Male Three Minute Speed</v>
      </c>
    </row>
    <row r="1908" spans="1:9" x14ac:dyDescent="0.25">
      <c r="A1908">
        <f>'Team Info'!$B$3</f>
        <v>0</v>
      </c>
      <c r="B1908">
        <f>'Male SR Endurance Speed'!A74</f>
        <v>2</v>
      </c>
      <c r="C1908" t="str">
        <f>'Male SR Endurance Speed'!B74</f>
        <v>MTMS</v>
      </c>
      <c r="D1908" t="str">
        <f>'Male SR Endurance Speed'!C74</f>
        <v>23-29</v>
      </c>
      <c r="E1908">
        <f>'Male SR Endurance Speed'!D74</f>
        <v>0</v>
      </c>
      <c r="I1908" t="str">
        <f t="shared" ref="I1908:I1911" si="75">VLOOKUP(C1908,EVENTS,2,FALSE)</f>
        <v>MTMS-Male Three Minute Speed</v>
      </c>
    </row>
    <row r="1909" spans="1:9" x14ac:dyDescent="0.25">
      <c r="A1909">
        <f>'Team Info'!$B$3</f>
        <v>0</v>
      </c>
      <c r="B1909">
        <f>'Male SR Endurance Speed'!A75</f>
        <v>3</v>
      </c>
      <c r="C1909" t="str">
        <f>'Male SR Endurance Speed'!B75</f>
        <v>MTMS</v>
      </c>
      <c r="D1909" t="str">
        <f>'Male SR Endurance Speed'!C75</f>
        <v>23-29</v>
      </c>
      <c r="E1909">
        <f>'Male SR Endurance Speed'!D75</f>
        <v>0</v>
      </c>
      <c r="I1909" t="str">
        <f t="shared" si="75"/>
        <v>MTMS-Male Three Minute Speed</v>
      </c>
    </row>
    <row r="1910" spans="1:9" x14ac:dyDescent="0.25">
      <c r="A1910">
        <f>'Team Info'!$B$3</f>
        <v>0</v>
      </c>
      <c r="B1910">
        <f>'Male SR Endurance Speed'!A76</f>
        <v>4</v>
      </c>
      <c r="C1910" t="str">
        <f>'Male SR Endurance Speed'!B76</f>
        <v>MTMS</v>
      </c>
      <c r="D1910" t="str">
        <f>'Male SR Endurance Speed'!C76</f>
        <v>23-29</v>
      </c>
      <c r="E1910">
        <f>'Male SR Endurance Speed'!D76</f>
        <v>0</v>
      </c>
      <c r="I1910" t="str">
        <f t="shared" si="75"/>
        <v>MTMS-Male Three Minute Speed</v>
      </c>
    </row>
    <row r="1911" spans="1:9" x14ac:dyDescent="0.25">
      <c r="A1911">
        <f>'Team Info'!$B$3</f>
        <v>0</v>
      </c>
      <c r="B1911">
        <f>'Male SR Endurance Speed'!A77</f>
        <v>5</v>
      </c>
      <c r="C1911" t="str">
        <f>'Male SR Endurance Speed'!B77</f>
        <v>MTMS</v>
      </c>
      <c r="D1911" t="str">
        <f>'Male SR Endurance Speed'!C77</f>
        <v>23-29</v>
      </c>
      <c r="E1911">
        <f>'Male SR Endurance Speed'!D77</f>
        <v>0</v>
      </c>
      <c r="I1911" t="str">
        <f t="shared" si="75"/>
        <v>MTMS-Male Three Minute Speed</v>
      </c>
    </row>
    <row r="1912" spans="1:9" x14ac:dyDescent="0.25">
      <c r="A1912">
        <f>'Team Info'!$B$3</f>
        <v>0</v>
      </c>
      <c r="B1912">
        <f>'Male SR Endurance Speed'!H73</f>
        <v>1</v>
      </c>
      <c r="C1912" t="str">
        <f>'Male SR Endurance Speed'!I73</f>
        <v>MTMS</v>
      </c>
      <c r="D1912" t="str">
        <f>'Male SR Endurance Speed'!J73</f>
        <v>30-49</v>
      </c>
      <c r="E1912">
        <f>'Male SR Endurance Speed'!K73</f>
        <v>0</v>
      </c>
      <c r="I1912" t="str">
        <f t="shared" si="71"/>
        <v>MTMS-Male Three Minute Speed</v>
      </c>
    </row>
    <row r="1913" spans="1:9" x14ac:dyDescent="0.25">
      <c r="A1913">
        <f>'Team Info'!$B$3</f>
        <v>0</v>
      </c>
      <c r="B1913">
        <f>'Male SR Endurance Speed'!H74</f>
        <v>2</v>
      </c>
      <c r="C1913" t="str">
        <f>'Male SR Endurance Speed'!I74</f>
        <v>MTMS</v>
      </c>
      <c r="D1913" t="str">
        <f>'Male SR Endurance Speed'!J74</f>
        <v>30-49</v>
      </c>
      <c r="E1913">
        <f>'Male SR Endurance Speed'!K74</f>
        <v>0</v>
      </c>
      <c r="I1913" t="str">
        <f t="shared" si="71"/>
        <v>MTMS-Male Three Minute Speed</v>
      </c>
    </row>
    <row r="1914" spans="1:9" x14ac:dyDescent="0.25">
      <c r="A1914">
        <f>'Team Info'!$B$3</f>
        <v>0</v>
      </c>
      <c r="B1914">
        <f>'Male SR Endurance Speed'!H75</f>
        <v>3</v>
      </c>
      <c r="C1914" t="str">
        <f>'Male SR Endurance Speed'!I75</f>
        <v>MTMS</v>
      </c>
      <c r="D1914" t="str">
        <f>'Male SR Endurance Speed'!J75</f>
        <v>30-49</v>
      </c>
      <c r="E1914">
        <f>'Male SR Endurance Speed'!K75</f>
        <v>0</v>
      </c>
      <c r="I1914" t="str">
        <f t="shared" si="71"/>
        <v>MTMS-Male Three Minute Speed</v>
      </c>
    </row>
    <row r="1915" spans="1:9" x14ac:dyDescent="0.25">
      <c r="A1915">
        <f>'Team Info'!$B$3</f>
        <v>0</v>
      </c>
      <c r="B1915">
        <f>'Male SR Endurance Speed'!H76</f>
        <v>4</v>
      </c>
      <c r="C1915" t="str">
        <f>'Male SR Endurance Speed'!I76</f>
        <v>MTMS</v>
      </c>
      <c r="D1915" t="str">
        <f>'Male SR Endurance Speed'!J76</f>
        <v>30-49</v>
      </c>
      <c r="E1915">
        <f>'Male SR Endurance Speed'!K76</f>
        <v>0</v>
      </c>
      <c r="I1915" t="str">
        <f t="shared" si="71"/>
        <v>MTMS-Male Three Minute Speed</v>
      </c>
    </row>
    <row r="1916" spans="1:9" x14ac:dyDescent="0.25">
      <c r="A1916">
        <f>'Team Info'!$B$3</f>
        <v>0</v>
      </c>
      <c r="B1916">
        <f>'Male SR Endurance Speed'!H77</f>
        <v>5</v>
      </c>
      <c r="C1916" t="str">
        <f>'Male SR Endurance Speed'!I77</f>
        <v>MTMS</v>
      </c>
      <c r="D1916" t="str">
        <f>'Male SR Endurance Speed'!J77</f>
        <v>30-49</v>
      </c>
      <c r="E1916">
        <f>'Male SR Endurance Speed'!K77</f>
        <v>0</v>
      </c>
      <c r="I1916" t="str">
        <f t="shared" si="71"/>
        <v>MTMS-Male Three Minute Speed</v>
      </c>
    </row>
    <row r="1917" spans="1:9" x14ac:dyDescent="0.25">
      <c r="A1917">
        <f>'Team Info'!$B$3</f>
        <v>0</v>
      </c>
      <c r="B1917">
        <f>'Male SR Endurance Speed'!A80</f>
        <v>1</v>
      </c>
      <c r="C1917" t="str">
        <f>'Male SR Endurance Speed'!B80</f>
        <v>MTMS</v>
      </c>
      <c r="D1917" t="str">
        <f>'Male SR Endurance Speed'!C80</f>
        <v>50-Over</v>
      </c>
      <c r="E1917">
        <f>'Male SR Endurance Speed'!D80</f>
        <v>0</v>
      </c>
      <c r="I1917" t="str">
        <f t="shared" si="71"/>
        <v>MTMS-Male Three Minute Speed</v>
      </c>
    </row>
    <row r="1918" spans="1:9" x14ac:dyDescent="0.25">
      <c r="A1918">
        <f>'Team Info'!$B$3</f>
        <v>0</v>
      </c>
      <c r="B1918">
        <f>'Male SR Endurance Speed'!A81</f>
        <v>2</v>
      </c>
      <c r="C1918" t="str">
        <f>'Male SR Endurance Speed'!B81</f>
        <v>MTMS</v>
      </c>
      <c r="D1918" t="str">
        <f>'Male SR Endurance Speed'!C81</f>
        <v>50-Over</v>
      </c>
      <c r="E1918">
        <f>'Male SR Endurance Speed'!D81</f>
        <v>0</v>
      </c>
      <c r="I1918" t="str">
        <f t="shared" si="71"/>
        <v>MTMS-Male Three Minute Speed</v>
      </c>
    </row>
    <row r="1919" spans="1:9" x14ac:dyDescent="0.25">
      <c r="A1919">
        <f>'Team Info'!$B$3</f>
        <v>0</v>
      </c>
      <c r="B1919">
        <f>'Male SR Endurance Speed'!A82</f>
        <v>3</v>
      </c>
      <c r="C1919" t="str">
        <f>'Male SR Endurance Speed'!B82</f>
        <v>MTMS</v>
      </c>
      <c r="D1919" t="str">
        <f>'Male SR Endurance Speed'!C82</f>
        <v>50-Over</v>
      </c>
      <c r="E1919">
        <f>'Male SR Endurance Speed'!D82</f>
        <v>0</v>
      </c>
      <c r="I1919" t="str">
        <f t="shared" si="71"/>
        <v>MTMS-Male Three Minute Speed</v>
      </c>
    </row>
    <row r="1920" spans="1:9" x14ac:dyDescent="0.25">
      <c r="A1920">
        <f>'Team Info'!$B$3</f>
        <v>0</v>
      </c>
      <c r="B1920">
        <f>'Male SR Endurance Speed'!A83</f>
        <v>4</v>
      </c>
      <c r="C1920" t="str">
        <f>'Male SR Endurance Speed'!B83</f>
        <v>MTMS</v>
      </c>
      <c r="D1920" t="str">
        <f>'Male SR Endurance Speed'!C83</f>
        <v>50-Over</v>
      </c>
      <c r="E1920">
        <f>'Male SR Endurance Speed'!D83</f>
        <v>0</v>
      </c>
      <c r="I1920" t="str">
        <f t="shared" si="71"/>
        <v>MTMS-Male Three Minute Speed</v>
      </c>
    </row>
    <row r="1921" spans="1:9" x14ac:dyDescent="0.25">
      <c r="A1921">
        <f>'Team Info'!$B$3</f>
        <v>0</v>
      </c>
      <c r="B1921">
        <f>'Male SR Endurance Speed'!A84</f>
        <v>5</v>
      </c>
      <c r="C1921" t="str">
        <f>'Male SR Endurance Speed'!B84</f>
        <v>MTMS</v>
      </c>
      <c r="D1921" t="str">
        <f>'Male SR Endurance Speed'!C84</f>
        <v>50-Over</v>
      </c>
      <c r="E1921">
        <f>'Male SR Endurance Speed'!D84</f>
        <v>0</v>
      </c>
      <c r="I1921" t="str">
        <f t="shared" si="71"/>
        <v>MTMS-Male Three Minute Speed</v>
      </c>
    </row>
    <row r="1922" spans="1:9" x14ac:dyDescent="0.25">
      <c r="A1922">
        <f>'Team Info'!$B$3</f>
        <v>0</v>
      </c>
      <c r="B1922">
        <f>'Male SR 30 Second Speed'!A5</f>
        <v>1</v>
      </c>
      <c r="C1922" t="str">
        <f>'Male SR 30 Second Speed'!B5</f>
        <v>MTSS</v>
      </c>
      <c r="D1922" t="str">
        <f>'Male SR 30 Second Speed'!C5</f>
        <v>8-under</v>
      </c>
      <c r="E1922">
        <f>'Male SR 30 Second Speed'!D5</f>
        <v>0</v>
      </c>
      <c r="I1922" t="str">
        <f t="shared" ref="I1922:I1931" si="76">VLOOKUP(C1922,EVENTS,2,FALSE)</f>
        <v>MTSS-Male Thirty Second Speed</v>
      </c>
    </row>
    <row r="1923" spans="1:9" x14ac:dyDescent="0.25">
      <c r="A1923">
        <f>'Team Info'!$B$3</f>
        <v>0</v>
      </c>
      <c r="B1923">
        <f>'Male SR 30 Second Speed'!A6</f>
        <v>2</v>
      </c>
      <c r="C1923" t="str">
        <f>'Male SR 30 Second Speed'!B6</f>
        <v>MTSS</v>
      </c>
      <c r="D1923" t="str">
        <f>'Male SR 30 Second Speed'!C6</f>
        <v>8-under</v>
      </c>
      <c r="E1923">
        <f>'Male SR 30 Second Speed'!D6</f>
        <v>0</v>
      </c>
      <c r="I1923" t="str">
        <f t="shared" si="76"/>
        <v>MTSS-Male Thirty Second Speed</v>
      </c>
    </row>
    <row r="1924" spans="1:9" x14ac:dyDescent="0.25">
      <c r="A1924">
        <f>'Team Info'!$B$3</f>
        <v>0</v>
      </c>
      <c r="B1924">
        <f>'Male SR 30 Second Speed'!A7</f>
        <v>3</v>
      </c>
      <c r="C1924" t="str">
        <f>'Male SR 30 Second Speed'!B7</f>
        <v>MTSS</v>
      </c>
      <c r="D1924" t="str">
        <f>'Male SR 30 Second Speed'!C7</f>
        <v>8-under</v>
      </c>
      <c r="E1924">
        <f>'Male SR 30 Second Speed'!D7</f>
        <v>0</v>
      </c>
      <c r="I1924" t="str">
        <f t="shared" si="76"/>
        <v>MTSS-Male Thirty Second Speed</v>
      </c>
    </row>
    <row r="1925" spans="1:9" x14ac:dyDescent="0.25">
      <c r="A1925">
        <f>'Team Info'!$B$3</f>
        <v>0</v>
      </c>
      <c r="B1925">
        <f>'Male SR 30 Second Speed'!A8</f>
        <v>4</v>
      </c>
      <c r="C1925" t="str">
        <f>'Male SR 30 Second Speed'!B8</f>
        <v>MTSS</v>
      </c>
      <c r="D1925" t="str">
        <f>'Male SR 30 Second Speed'!C8</f>
        <v>8-under</v>
      </c>
      <c r="E1925">
        <f>'Male SR 30 Second Speed'!D8</f>
        <v>0</v>
      </c>
      <c r="I1925" t="str">
        <f t="shared" si="76"/>
        <v>MTSS-Male Thirty Second Speed</v>
      </c>
    </row>
    <row r="1926" spans="1:9" x14ac:dyDescent="0.25">
      <c r="A1926">
        <f>'Team Info'!$B$3</f>
        <v>0</v>
      </c>
      <c r="B1926">
        <f>'Male SR 30 Second Speed'!A9</f>
        <v>5</v>
      </c>
      <c r="C1926" t="str">
        <f>'Male SR 30 Second Speed'!B9</f>
        <v>MTSS</v>
      </c>
      <c r="D1926" t="str">
        <f>'Male SR 30 Second Speed'!C9</f>
        <v>8-under</v>
      </c>
      <c r="E1926">
        <f>'Male SR 30 Second Speed'!D9</f>
        <v>0</v>
      </c>
      <c r="I1926" t="str">
        <f t="shared" si="76"/>
        <v>MTSS-Male Thirty Second Speed</v>
      </c>
    </row>
    <row r="1927" spans="1:9" x14ac:dyDescent="0.25">
      <c r="A1927">
        <f>'Team Info'!$B$3</f>
        <v>0</v>
      </c>
      <c r="B1927">
        <f>'Male SR 30 Second Speed'!A10</f>
        <v>6</v>
      </c>
      <c r="C1927" t="str">
        <f>'Male SR 30 Second Speed'!B10</f>
        <v>MTSS</v>
      </c>
      <c r="D1927" t="str">
        <f>'Male SR 30 Second Speed'!C10</f>
        <v>8-under</v>
      </c>
      <c r="E1927">
        <f>'Male SR 30 Second Speed'!D10</f>
        <v>0</v>
      </c>
      <c r="I1927" t="str">
        <f t="shared" si="76"/>
        <v>MTSS-Male Thirty Second Speed</v>
      </c>
    </row>
    <row r="1928" spans="1:9" x14ac:dyDescent="0.25">
      <c r="A1928">
        <f>'Team Info'!$B$3</f>
        <v>0</v>
      </c>
      <c r="B1928">
        <f>'Male SR 30 Second Speed'!A11</f>
        <v>7</v>
      </c>
      <c r="C1928" t="str">
        <f>'Male SR 30 Second Speed'!B11</f>
        <v>MTSS</v>
      </c>
      <c r="D1928" t="str">
        <f>'Male SR 30 Second Speed'!C11</f>
        <v>8-under</v>
      </c>
      <c r="E1928">
        <f>'Male SR 30 Second Speed'!D11</f>
        <v>0</v>
      </c>
      <c r="I1928" t="str">
        <f t="shared" si="76"/>
        <v>MTSS-Male Thirty Second Speed</v>
      </c>
    </row>
    <row r="1929" spans="1:9" x14ac:dyDescent="0.25">
      <c r="A1929">
        <f>'Team Info'!$B$3</f>
        <v>0</v>
      </c>
      <c r="B1929">
        <f>'Male SR 30 Second Speed'!A12</f>
        <v>8</v>
      </c>
      <c r="C1929" t="str">
        <f>'Male SR 30 Second Speed'!B12</f>
        <v>MTSS</v>
      </c>
      <c r="D1929" t="str">
        <f>'Male SR 30 Second Speed'!C12</f>
        <v>8-under</v>
      </c>
      <c r="E1929">
        <f>'Male SR 30 Second Speed'!D12</f>
        <v>0</v>
      </c>
      <c r="I1929" t="str">
        <f t="shared" si="76"/>
        <v>MTSS-Male Thirty Second Speed</v>
      </c>
    </row>
    <row r="1930" spans="1:9" x14ac:dyDescent="0.25">
      <c r="A1930">
        <f>'Team Info'!$B$3</f>
        <v>0</v>
      </c>
      <c r="B1930">
        <f>'Male SR 30 Second Speed'!A13</f>
        <v>9</v>
      </c>
      <c r="C1930" t="str">
        <f>'Male SR 30 Second Speed'!B13</f>
        <v>MTSS</v>
      </c>
      <c r="D1930" t="str">
        <f>'Male SR 30 Second Speed'!C13</f>
        <v>8-under</v>
      </c>
      <c r="E1930">
        <f>'Male SR 30 Second Speed'!D13</f>
        <v>0</v>
      </c>
      <c r="I1930" t="str">
        <f t="shared" si="76"/>
        <v>MTSS-Male Thirty Second Speed</v>
      </c>
    </row>
    <row r="1931" spans="1:9" x14ac:dyDescent="0.25">
      <c r="A1931">
        <f>'Team Info'!$B$3</f>
        <v>0</v>
      </c>
      <c r="B1931">
        <f>'Male SR 30 Second Speed'!A14</f>
        <v>10</v>
      </c>
      <c r="C1931" t="str">
        <f>'Male SR 30 Second Speed'!B14</f>
        <v>MTSS</v>
      </c>
      <c r="D1931" t="str">
        <f>'Male SR 30 Second Speed'!C14</f>
        <v>8-under</v>
      </c>
      <c r="E1931">
        <f>'Male SR 30 Second Speed'!D14</f>
        <v>0</v>
      </c>
      <c r="I1931" t="str">
        <f t="shared" si="76"/>
        <v>MTSS-Male Thirty Second Speed</v>
      </c>
    </row>
    <row r="1932" spans="1:9" x14ac:dyDescent="0.25">
      <c r="A1932">
        <f>'Team Info'!$B$3</f>
        <v>0</v>
      </c>
      <c r="B1932">
        <f>'Male SR 30 Second Speed'!A17</f>
        <v>1</v>
      </c>
      <c r="C1932" t="str">
        <f>'Male SR 30 Second Speed'!B17</f>
        <v>MTSS</v>
      </c>
      <c r="D1932" t="str">
        <f>'Male SR 30 Second Speed'!C17</f>
        <v>10-under</v>
      </c>
      <c r="E1932">
        <f>'Male SR 30 Second Speed'!D17</f>
        <v>0</v>
      </c>
      <c r="I1932" t="str">
        <f t="shared" si="71"/>
        <v>MTSS-Male Thirty Second Speed</v>
      </c>
    </row>
    <row r="1933" spans="1:9" x14ac:dyDescent="0.25">
      <c r="A1933">
        <f>'Team Info'!$B$3</f>
        <v>0</v>
      </c>
      <c r="B1933">
        <f>'Male SR 30 Second Speed'!A18</f>
        <v>2</v>
      </c>
      <c r="C1933" t="str">
        <f>'Male SR 30 Second Speed'!B18</f>
        <v>MTSS</v>
      </c>
      <c r="D1933" t="str">
        <f>'Male SR 30 Second Speed'!C18</f>
        <v>10-under</v>
      </c>
      <c r="E1933">
        <f>'Male SR 30 Second Speed'!D18</f>
        <v>0</v>
      </c>
      <c r="I1933" t="str">
        <f t="shared" si="71"/>
        <v>MTSS-Male Thirty Second Speed</v>
      </c>
    </row>
    <row r="1934" spans="1:9" x14ac:dyDescent="0.25">
      <c r="A1934">
        <f>'Team Info'!$B$3</f>
        <v>0</v>
      </c>
      <c r="B1934">
        <f>'Male SR 30 Second Speed'!A19</f>
        <v>3</v>
      </c>
      <c r="C1934" t="str">
        <f>'Male SR 30 Second Speed'!B19</f>
        <v>MTSS</v>
      </c>
      <c r="D1934" t="str">
        <f>'Male SR 30 Second Speed'!C19</f>
        <v>10-under</v>
      </c>
      <c r="E1934">
        <f>'Male SR 30 Second Speed'!D19</f>
        <v>0</v>
      </c>
      <c r="I1934" t="str">
        <f t="shared" si="71"/>
        <v>MTSS-Male Thirty Second Speed</v>
      </c>
    </row>
    <row r="1935" spans="1:9" x14ac:dyDescent="0.25">
      <c r="A1935">
        <f>'Team Info'!$B$3</f>
        <v>0</v>
      </c>
      <c r="B1935">
        <f>'Male SR 30 Second Speed'!A20</f>
        <v>4</v>
      </c>
      <c r="C1935" t="str">
        <f>'Male SR 30 Second Speed'!B20</f>
        <v>MTSS</v>
      </c>
      <c r="D1935" t="str">
        <f>'Male SR 30 Second Speed'!C20</f>
        <v>10-under</v>
      </c>
      <c r="E1935">
        <f>'Male SR 30 Second Speed'!D20</f>
        <v>0</v>
      </c>
      <c r="I1935" t="str">
        <f t="shared" si="71"/>
        <v>MTSS-Male Thirty Second Speed</v>
      </c>
    </row>
    <row r="1936" spans="1:9" x14ac:dyDescent="0.25">
      <c r="A1936">
        <f>'Team Info'!$B$3</f>
        <v>0</v>
      </c>
      <c r="B1936">
        <f>'Male SR 30 Second Speed'!A21</f>
        <v>5</v>
      </c>
      <c r="C1936" t="str">
        <f>'Male SR 30 Second Speed'!B21</f>
        <v>MTSS</v>
      </c>
      <c r="D1936" t="str">
        <f>'Male SR 30 Second Speed'!C21</f>
        <v>10-under</v>
      </c>
      <c r="E1936">
        <f>'Male SR 30 Second Speed'!D21</f>
        <v>0</v>
      </c>
      <c r="I1936" t="str">
        <f t="shared" si="71"/>
        <v>MTSS-Male Thirty Second Speed</v>
      </c>
    </row>
    <row r="1937" spans="1:9" x14ac:dyDescent="0.25">
      <c r="A1937">
        <f>'Team Info'!$B$3</f>
        <v>0</v>
      </c>
      <c r="B1937">
        <f>'Male SR 30 Second Speed'!A22</f>
        <v>6</v>
      </c>
      <c r="C1937" t="str">
        <f>'Male SR 30 Second Speed'!B22</f>
        <v>MTSS</v>
      </c>
      <c r="D1937" t="str">
        <f>'Male SR 30 Second Speed'!C22</f>
        <v>10-under</v>
      </c>
      <c r="E1937">
        <f>'Male SR 30 Second Speed'!D22</f>
        <v>0</v>
      </c>
      <c r="I1937" t="str">
        <f t="shared" si="71"/>
        <v>MTSS-Male Thirty Second Speed</v>
      </c>
    </row>
    <row r="1938" spans="1:9" x14ac:dyDescent="0.25">
      <c r="A1938">
        <f>'Team Info'!$B$3</f>
        <v>0</v>
      </c>
      <c r="B1938">
        <f>'Male SR 30 Second Speed'!A23</f>
        <v>7</v>
      </c>
      <c r="C1938" t="str">
        <f>'Male SR 30 Second Speed'!B23</f>
        <v>MTSS</v>
      </c>
      <c r="D1938" t="str">
        <f>'Male SR 30 Second Speed'!C23</f>
        <v>10-under</v>
      </c>
      <c r="E1938">
        <f>'Male SR 30 Second Speed'!D23</f>
        <v>0</v>
      </c>
      <c r="I1938" t="str">
        <f t="shared" si="71"/>
        <v>MTSS-Male Thirty Second Speed</v>
      </c>
    </row>
    <row r="1939" spans="1:9" x14ac:dyDescent="0.25">
      <c r="A1939">
        <f>'Team Info'!$B$3</f>
        <v>0</v>
      </c>
      <c r="B1939">
        <f>'Male SR 30 Second Speed'!A24</f>
        <v>8</v>
      </c>
      <c r="C1939" t="str">
        <f>'Male SR 30 Second Speed'!B24</f>
        <v>MTSS</v>
      </c>
      <c r="D1939" t="str">
        <f>'Male SR 30 Second Speed'!C24</f>
        <v>10-under</v>
      </c>
      <c r="E1939">
        <f>'Male SR 30 Second Speed'!D24</f>
        <v>0</v>
      </c>
      <c r="I1939" t="str">
        <f t="shared" si="71"/>
        <v>MTSS-Male Thirty Second Speed</v>
      </c>
    </row>
    <row r="1940" spans="1:9" x14ac:dyDescent="0.25">
      <c r="A1940">
        <f>'Team Info'!$B$3</f>
        <v>0</v>
      </c>
      <c r="B1940">
        <f>'Male SR 30 Second Speed'!A25</f>
        <v>9</v>
      </c>
      <c r="C1940" t="str">
        <f>'Male SR 30 Second Speed'!B25</f>
        <v>MTSS</v>
      </c>
      <c r="D1940" t="str">
        <f>'Male SR 30 Second Speed'!C25</f>
        <v>10-under</v>
      </c>
      <c r="E1940">
        <f>'Male SR 30 Second Speed'!D25</f>
        <v>0</v>
      </c>
      <c r="I1940" t="str">
        <f t="shared" si="71"/>
        <v>MTSS-Male Thirty Second Speed</v>
      </c>
    </row>
    <row r="1941" spans="1:9" x14ac:dyDescent="0.25">
      <c r="A1941">
        <f>'Team Info'!$B$3</f>
        <v>0</v>
      </c>
      <c r="B1941">
        <f>'Male SR 30 Second Speed'!A26</f>
        <v>10</v>
      </c>
      <c r="C1941" t="str">
        <f>'Male SR 30 Second Speed'!B26</f>
        <v>MTSS</v>
      </c>
      <c r="D1941" t="str">
        <f>'Male SR 30 Second Speed'!C26</f>
        <v>10-under</v>
      </c>
      <c r="E1941">
        <f>'Male SR 30 Second Speed'!D26</f>
        <v>0</v>
      </c>
      <c r="I1941" t="str">
        <f t="shared" si="71"/>
        <v>MTSS-Male Thirty Second Speed</v>
      </c>
    </row>
    <row r="1942" spans="1:9" x14ac:dyDescent="0.25">
      <c r="A1942">
        <f>'Team Info'!$B$3</f>
        <v>0</v>
      </c>
      <c r="B1942">
        <f>'Male SR 30 Second Speed'!A27</f>
        <v>11</v>
      </c>
      <c r="C1942" t="str">
        <f>'Male SR 30 Second Speed'!B27</f>
        <v>MTSS</v>
      </c>
      <c r="D1942" t="str">
        <f>'Male SR 30 Second Speed'!C27</f>
        <v>10-under</v>
      </c>
      <c r="E1942">
        <f>'Male SR 30 Second Speed'!D27</f>
        <v>0</v>
      </c>
      <c r="I1942" t="str">
        <f t="shared" si="71"/>
        <v>MTSS-Male Thirty Second Speed</v>
      </c>
    </row>
    <row r="1943" spans="1:9" x14ac:dyDescent="0.25">
      <c r="A1943">
        <f>'Team Info'!$B$3</f>
        <v>0</v>
      </c>
      <c r="B1943">
        <f>'Male SR 30 Second Speed'!A28</f>
        <v>12</v>
      </c>
      <c r="C1943" t="str">
        <f>'Male SR 30 Second Speed'!B28</f>
        <v>MTSS</v>
      </c>
      <c r="D1943" t="str">
        <f>'Male SR 30 Second Speed'!C28</f>
        <v>10-under</v>
      </c>
      <c r="E1943">
        <f>'Male SR 30 Second Speed'!D28</f>
        <v>0</v>
      </c>
      <c r="I1943" t="str">
        <f t="shared" si="71"/>
        <v>MTSS-Male Thirty Second Speed</v>
      </c>
    </row>
    <row r="1944" spans="1:9" x14ac:dyDescent="0.25">
      <c r="A1944">
        <f>'Team Info'!$B$3</f>
        <v>0</v>
      </c>
      <c r="B1944">
        <f>'Male SR 30 Second Speed'!A29</f>
        <v>13</v>
      </c>
      <c r="C1944" t="str">
        <f>'Male SR 30 Second Speed'!B29</f>
        <v>MTSS</v>
      </c>
      <c r="D1944" t="str">
        <f>'Male SR 30 Second Speed'!C29</f>
        <v>10-under</v>
      </c>
      <c r="E1944">
        <f>'Male SR 30 Second Speed'!D29</f>
        <v>0</v>
      </c>
      <c r="I1944" t="str">
        <f t="shared" si="71"/>
        <v>MTSS-Male Thirty Second Speed</v>
      </c>
    </row>
    <row r="1945" spans="1:9" x14ac:dyDescent="0.25">
      <c r="A1945">
        <f>'Team Info'!$B$3</f>
        <v>0</v>
      </c>
      <c r="B1945">
        <f>'Male SR 30 Second Speed'!A30</f>
        <v>14</v>
      </c>
      <c r="C1945" t="str">
        <f>'Male SR 30 Second Speed'!B30</f>
        <v>MTSS</v>
      </c>
      <c r="D1945" t="str">
        <f>'Male SR 30 Second Speed'!C30</f>
        <v>10-under</v>
      </c>
      <c r="E1945">
        <f>'Male SR 30 Second Speed'!D30</f>
        <v>0</v>
      </c>
      <c r="I1945" t="str">
        <f t="shared" si="71"/>
        <v>MTSS-Male Thirty Second Speed</v>
      </c>
    </row>
    <row r="1946" spans="1:9" x14ac:dyDescent="0.25">
      <c r="A1946">
        <f>'Team Info'!$B$3</f>
        <v>0</v>
      </c>
      <c r="B1946">
        <f>'Male SR 30 Second Speed'!A31</f>
        <v>15</v>
      </c>
      <c r="C1946" t="str">
        <f>'Male SR 30 Second Speed'!B31</f>
        <v>MTSS</v>
      </c>
      <c r="D1946" t="str">
        <f>'Male SR 30 Second Speed'!C31</f>
        <v>10-under</v>
      </c>
      <c r="E1946">
        <f>'Male SR 30 Second Speed'!D31</f>
        <v>0</v>
      </c>
      <c r="I1946" t="str">
        <f t="shared" si="71"/>
        <v>MTSS-Male Thirty Second Speed</v>
      </c>
    </row>
    <row r="1947" spans="1:9" x14ac:dyDescent="0.25">
      <c r="A1947">
        <f>'Team Info'!$B$3</f>
        <v>0</v>
      </c>
      <c r="B1947">
        <f>'Male SR 30 Second Speed'!A32</f>
        <v>16</v>
      </c>
      <c r="C1947" t="str">
        <f>'Male SR 30 Second Speed'!B32</f>
        <v>MTSS</v>
      </c>
      <c r="D1947" t="str">
        <f>'Male SR 30 Second Speed'!C32</f>
        <v>10-under</v>
      </c>
      <c r="E1947">
        <f>'Male SR 30 Second Speed'!D32</f>
        <v>0</v>
      </c>
      <c r="I1947" t="str">
        <f t="shared" si="71"/>
        <v>MTSS-Male Thirty Second Speed</v>
      </c>
    </row>
    <row r="1948" spans="1:9" x14ac:dyDescent="0.25">
      <c r="A1948">
        <f>'Team Info'!$B$3</f>
        <v>0</v>
      </c>
      <c r="B1948">
        <f>'Male SR 30 Second Speed'!A33</f>
        <v>17</v>
      </c>
      <c r="C1948" t="str">
        <f>'Male SR 30 Second Speed'!B33</f>
        <v>MTSS</v>
      </c>
      <c r="D1948" t="str">
        <f>'Male SR 30 Second Speed'!C33</f>
        <v>10-under</v>
      </c>
      <c r="E1948">
        <f>'Male SR 30 Second Speed'!D33</f>
        <v>0</v>
      </c>
      <c r="I1948" t="str">
        <f t="shared" si="71"/>
        <v>MTSS-Male Thirty Second Speed</v>
      </c>
    </row>
    <row r="1949" spans="1:9" x14ac:dyDescent="0.25">
      <c r="A1949">
        <f>'Team Info'!$B$3</f>
        <v>0</v>
      </c>
      <c r="B1949">
        <f>'Male SR 30 Second Speed'!A34</f>
        <v>18</v>
      </c>
      <c r="C1949" t="str">
        <f>'Male SR 30 Second Speed'!B34</f>
        <v>MTSS</v>
      </c>
      <c r="D1949" t="str">
        <f>'Male SR 30 Second Speed'!C34</f>
        <v>10-under</v>
      </c>
      <c r="E1949">
        <f>'Male SR 30 Second Speed'!D34</f>
        <v>0</v>
      </c>
      <c r="I1949" t="str">
        <f t="shared" si="71"/>
        <v>MTSS-Male Thirty Second Speed</v>
      </c>
    </row>
    <row r="1950" spans="1:9" x14ac:dyDescent="0.25">
      <c r="A1950">
        <f>'Team Info'!$B$3</f>
        <v>0</v>
      </c>
      <c r="B1950">
        <f>'Male SR 30 Second Speed'!A35</f>
        <v>19</v>
      </c>
      <c r="C1950" t="str">
        <f>'Male SR 30 Second Speed'!B35</f>
        <v>MTSS</v>
      </c>
      <c r="D1950" t="str">
        <f>'Male SR 30 Second Speed'!C35</f>
        <v>10-under</v>
      </c>
      <c r="E1950">
        <f>'Male SR 30 Second Speed'!D35</f>
        <v>0</v>
      </c>
      <c r="I1950" t="str">
        <f t="shared" si="71"/>
        <v>MTSS-Male Thirty Second Speed</v>
      </c>
    </row>
    <row r="1951" spans="1:9" x14ac:dyDescent="0.25">
      <c r="A1951">
        <f>'Team Info'!$B$3</f>
        <v>0</v>
      </c>
      <c r="B1951">
        <f>'Male SR 30 Second Speed'!A36</f>
        <v>20</v>
      </c>
      <c r="C1951" t="str">
        <f>'Male SR 30 Second Speed'!B36</f>
        <v>MTSS</v>
      </c>
      <c r="D1951" t="str">
        <f>'Male SR 30 Second Speed'!C36</f>
        <v>10-under</v>
      </c>
      <c r="E1951">
        <f>'Male SR 30 Second Speed'!D36</f>
        <v>0</v>
      </c>
      <c r="I1951" t="str">
        <f t="shared" si="71"/>
        <v>MTSS-Male Thirty Second Speed</v>
      </c>
    </row>
    <row r="1952" spans="1:9" x14ac:dyDescent="0.25">
      <c r="A1952">
        <f>'Team Info'!$B$3</f>
        <v>0</v>
      </c>
      <c r="B1952">
        <f>'Male SR 30 Second Speed'!H17</f>
        <v>1</v>
      </c>
      <c r="C1952" t="str">
        <f>'Male SR 30 Second Speed'!I17</f>
        <v>MTSS</v>
      </c>
      <c r="D1952" t="str">
        <f>'Male SR 30 Second Speed'!J17</f>
        <v>11-12</v>
      </c>
      <c r="E1952">
        <f>'Male SR 30 Second Speed'!K17</f>
        <v>0</v>
      </c>
      <c r="I1952" t="str">
        <f t="shared" si="71"/>
        <v>MTSS-Male Thirty Second Speed</v>
      </c>
    </row>
    <row r="1953" spans="1:9" x14ac:dyDescent="0.25">
      <c r="A1953">
        <f>'Team Info'!$B$3</f>
        <v>0</v>
      </c>
      <c r="B1953">
        <f>'Male SR 30 Second Speed'!H18</f>
        <v>2</v>
      </c>
      <c r="C1953" t="str">
        <f>'Male SR 30 Second Speed'!I18</f>
        <v>MTSS</v>
      </c>
      <c r="D1953" t="str">
        <f>'Male SR 30 Second Speed'!J18</f>
        <v>11-12</v>
      </c>
      <c r="E1953">
        <f>'Male SR 30 Second Speed'!K18</f>
        <v>0</v>
      </c>
      <c r="I1953" t="str">
        <f t="shared" si="71"/>
        <v>MTSS-Male Thirty Second Speed</v>
      </c>
    </row>
    <row r="1954" spans="1:9" x14ac:dyDescent="0.25">
      <c r="A1954">
        <f>'Team Info'!$B$3</f>
        <v>0</v>
      </c>
      <c r="B1954">
        <f>'Male SR 30 Second Speed'!H19</f>
        <v>3</v>
      </c>
      <c r="C1954" t="str">
        <f>'Male SR 30 Second Speed'!I19</f>
        <v>MTSS</v>
      </c>
      <c r="D1954" t="str">
        <f>'Male SR 30 Second Speed'!J19</f>
        <v>11-12</v>
      </c>
      <c r="E1954">
        <f>'Male SR 30 Second Speed'!K19</f>
        <v>0</v>
      </c>
      <c r="I1954" t="str">
        <f t="shared" si="71"/>
        <v>MTSS-Male Thirty Second Speed</v>
      </c>
    </row>
    <row r="1955" spans="1:9" x14ac:dyDescent="0.25">
      <c r="A1955">
        <f>'Team Info'!$B$3</f>
        <v>0</v>
      </c>
      <c r="B1955">
        <f>'Male SR 30 Second Speed'!H20</f>
        <v>4</v>
      </c>
      <c r="C1955" t="str">
        <f>'Male SR 30 Second Speed'!I20</f>
        <v>MTSS</v>
      </c>
      <c r="D1955" t="str">
        <f>'Male SR 30 Second Speed'!J20</f>
        <v>11-12</v>
      </c>
      <c r="E1955">
        <f>'Male SR 30 Second Speed'!K20</f>
        <v>0</v>
      </c>
      <c r="I1955" t="str">
        <f t="shared" si="71"/>
        <v>MTSS-Male Thirty Second Speed</v>
      </c>
    </row>
    <row r="1956" spans="1:9" x14ac:dyDescent="0.25">
      <c r="A1956">
        <f>'Team Info'!$B$3</f>
        <v>0</v>
      </c>
      <c r="B1956">
        <f>'Male SR 30 Second Speed'!H21</f>
        <v>5</v>
      </c>
      <c r="C1956" t="str">
        <f>'Male SR 30 Second Speed'!I21</f>
        <v>MTSS</v>
      </c>
      <c r="D1956" t="str">
        <f>'Male SR 30 Second Speed'!J21</f>
        <v>11-12</v>
      </c>
      <c r="E1956">
        <f>'Male SR 30 Second Speed'!K21</f>
        <v>0</v>
      </c>
      <c r="I1956" t="str">
        <f t="shared" si="71"/>
        <v>MTSS-Male Thirty Second Speed</v>
      </c>
    </row>
    <row r="1957" spans="1:9" x14ac:dyDescent="0.25">
      <c r="A1957">
        <f>'Team Info'!$B$3</f>
        <v>0</v>
      </c>
      <c r="B1957">
        <f>'Male SR 30 Second Speed'!H22</f>
        <v>6</v>
      </c>
      <c r="C1957" t="str">
        <f>'Male SR 30 Second Speed'!I22</f>
        <v>MTSS</v>
      </c>
      <c r="D1957" t="str">
        <f>'Male SR 30 Second Speed'!J22</f>
        <v>11-12</v>
      </c>
      <c r="E1957">
        <f>'Male SR 30 Second Speed'!K22</f>
        <v>0</v>
      </c>
      <c r="I1957" t="str">
        <f t="shared" si="71"/>
        <v>MTSS-Male Thirty Second Speed</v>
      </c>
    </row>
    <row r="1958" spans="1:9" x14ac:dyDescent="0.25">
      <c r="A1958">
        <f>'Team Info'!$B$3</f>
        <v>0</v>
      </c>
      <c r="B1958">
        <f>'Male SR 30 Second Speed'!H23</f>
        <v>7</v>
      </c>
      <c r="C1958" t="str">
        <f>'Male SR 30 Second Speed'!I23</f>
        <v>MTSS</v>
      </c>
      <c r="D1958" t="str">
        <f>'Male SR 30 Second Speed'!J23</f>
        <v>11-12</v>
      </c>
      <c r="E1958">
        <f>'Male SR 30 Second Speed'!K23</f>
        <v>0</v>
      </c>
      <c r="I1958" t="str">
        <f t="shared" si="71"/>
        <v>MTSS-Male Thirty Second Speed</v>
      </c>
    </row>
    <row r="1959" spans="1:9" x14ac:dyDescent="0.25">
      <c r="A1959">
        <f>'Team Info'!$B$3</f>
        <v>0</v>
      </c>
      <c r="B1959">
        <f>'Male SR 30 Second Speed'!H24</f>
        <v>8</v>
      </c>
      <c r="C1959" t="str">
        <f>'Male SR 30 Second Speed'!I24</f>
        <v>MTSS</v>
      </c>
      <c r="D1959" t="str">
        <f>'Male SR 30 Second Speed'!J24</f>
        <v>11-12</v>
      </c>
      <c r="E1959">
        <f>'Male SR 30 Second Speed'!K24</f>
        <v>0</v>
      </c>
      <c r="I1959" t="str">
        <f t="shared" si="71"/>
        <v>MTSS-Male Thirty Second Speed</v>
      </c>
    </row>
    <row r="1960" spans="1:9" x14ac:dyDescent="0.25">
      <c r="A1960">
        <f>'Team Info'!$B$3</f>
        <v>0</v>
      </c>
      <c r="B1960">
        <f>'Male SR 30 Second Speed'!H25</f>
        <v>9</v>
      </c>
      <c r="C1960" t="str">
        <f>'Male SR 30 Second Speed'!I25</f>
        <v>MTSS</v>
      </c>
      <c r="D1960" t="str">
        <f>'Male SR 30 Second Speed'!J25</f>
        <v>11-12</v>
      </c>
      <c r="E1960">
        <f>'Male SR 30 Second Speed'!K25</f>
        <v>0</v>
      </c>
      <c r="I1960" t="str">
        <f t="shared" si="71"/>
        <v>MTSS-Male Thirty Second Speed</v>
      </c>
    </row>
    <row r="1961" spans="1:9" x14ac:dyDescent="0.25">
      <c r="A1961">
        <f>'Team Info'!$B$3</f>
        <v>0</v>
      </c>
      <c r="B1961">
        <f>'Male SR 30 Second Speed'!H26</f>
        <v>10</v>
      </c>
      <c r="C1961" t="str">
        <f>'Male SR 30 Second Speed'!I26</f>
        <v>MTSS</v>
      </c>
      <c r="D1961" t="str">
        <f>'Male SR 30 Second Speed'!J26</f>
        <v>11-12</v>
      </c>
      <c r="E1961">
        <f>'Male SR 30 Second Speed'!K26</f>
        <v>0</v>
      </c>
      <c r="I1961" t="str">
        <f t="shared" si="71"/>
        <v>MTSS-Male Thirty Second Speed</v>
      </c>
    </row>
    <row r="1962" spans="1:9" x14ac:dyDescent="0.25">
      <c r="A1962">
        <f>'Team Info'!$B$3</f>
        <v>0</v>
      </c>
      <c r="B1962">
        <f>'Male SR 30 Second Speed'!H27</f>
        <v>11</v>
      </c>
      <c r="C1962" t="str">
        <f>'Male SR 30 Second Speed'!I27</f>
        <v>MTSS</v>
      </c>
      <c r="D1962" t="str">
        <f>'Male SR 30 Second Speed'!J27</f>
        <v>11-12</v>
      </c>
      <c r="E1962">
        <f>'Male SR 30 Second Speed'!K27</f>
        <v>0</v>
      </c>
      <c r="I1962" t="str">
        <f t="shared" si="71"/>
        <v>MTSS-Male Thirty Second Speed</v>
      </c>
    </row>
    <row r="1963" spans="1:9" x14ac:dyDescent="0.25">
      <c r="A1963">
        <f>'Team Info'!$B$3</f>
        <v>0</v>
      </c>
      <c r="B1963">
        <f>'Male SR 30 Second Speed'!H28</f>
        <v>12</v>
      </c>
      <c r="C1963" t="str">
        <f>'Male SR 30 Second Speed'!I28</f>
        <v>MTSS</v>
      </c>
      <c r="D1963" t="str">
        <f>'Male SR 30 Second Speed'!J28</f>
        <v>11-12</v>
      </c>
      <c r="E1963">
        <f>'Male SR 30 Second Speed'!K28</f>
        <v>0</v>
      </c>
      <c r="I1963" t="str">
        <f t="shared" si="71"/>
        <v>MTSS-Male Thirty Second Speed</v>
      </c>
    </row>
    <row r="1964" spans="1:9" x14ac:dyDescent="0.25">
      <c r="A1964">
        <f>'Team Info'!$B$3</f>
        <v>0</v>
      </c>
      <c r="B1964">
        <f>'Male SR 30 Second Speed'!H29</f>
        <v>13</v>
      </c>
      <c r="C1964" t="str">
        <f>'Male SR 30 Second Speed'!I29</f>
        <v>MTSS</v>
      </c>
      <c r="D1964" t="str">
        <f>'Male SR 30 Second Speed'!J29</f>
        <v>11-12</v>
      </c>
      <c r="E1964">
        <f>'Male SR 30 Second Speed'!K29</f>
        <v>0</v>
      </c>
      <c r="I1964" t="str">
        <f t="shared" si="71"/>
        <v>MTSS-Male Thirty Second Speed</v>
      </c>
    </row>
    <row r="1965" spans="1:9" x14ac:dyDescent="0.25">
      <c r="A1965">
        <f>'Team Info'!$B$3</f>
        <v>0</v>
      </c>
      <c r="B1965">
        <f>'Male SR 30 Second Speed'!H30</f>
        <v>14</v>
      </c>
      <c r="C1965" t="str">
        <f>'Male SR 30 Second Speed'!I30</f>
        <v>MTSS</v>
      </c>
      <c r="D1965" t="str">
        <f>'Male SR 30 Second Speed'!J30</f>
        <v>11-12</v>
      </c>
      <c r="E1965">
        <f>'Male SR 30 Second Speed'!K30</f>
        <v>0</v>
      </c>
      <c r="I1965" t="str">
        <f t="shared" ref="I1965:I2028" si="77">VLOOKUP(C1965,EVENTS,2,FALSE)</f>
        <v>MTSS-Male Thirty Second Speed</v>
      </c>
    </row>
    <row r="1966" spans="1:9" x14ac:dyDescent="0.25">
      <c r="A1966">
        <f>'Team Info'!$B$3</f>
        <v>0</v>
      </c>
      <c r="B1966">
        <f>'Male SR 30 Second Speed'!H31</f>
        <v>15</v>
      </c>
      <c r="C1966" t="str">
        <f>'Male SR 30 Second Speed'!I31</f>
        <v>MTSS</v>
      </c>
      <c r="D1966" t="str">
        <f>'Male SR 30 Second Speed'!J31</f>
        <v>11-12</v>
      </c>
      <c r="E1966">
        <f>'Male SR 30 Second Speed'!K31</f>
        <v>0</v>
      </c>
      <c r="I1966" t="str">
        <f t="shared" si="77"/>
        <v>MTSS-Male Thirty Second Speed</v>
      </c>
    </row>
    <row r="1967" spans="1:9" x14ac:dyDescent="0.25">
      <c r="A1967">
        <f>'Team Info'!$B$3</f>
        <v>0</v>
      </c>
      <c r="B1967">
        <f>'Male SR 30 Second Speed'!H32</f>
        <v>16</v>
      </c>
      <c r="C1967" t="str">
        <f>'Male SR 30 Second Speed'!I32</f>
        <v>MTSS</v>
      </c>
      <c r="D1967" t="str">
        <f>'Male SR 30 Second Speed'!J32</f>
        <v>11-12</v>
      </c>
      <c r="E1967">
        <f>'Male SR 30 Second Speed'!K32</f>
        <v>0</v>
      </c>
      <c r="I1967" t="str">
        <f t="shared" si="77"/>
        <v>MTSS-Male Thirty Second Speed</v>
      </c>
    </row>
    <row r="1968" spans="1:9" x14ac:dyDescent="0.25">
      <c r="A1968">
        <f>'Team Info'!$B$3</f>
        <v>0</v>
      </c>
      <c r="B1968">
        <f>'Male SR 30 Second Speed'!H33</f>
        <v>17</v>
      </c>
      <c r="C1968" t="str">
        <f>'Male SR 30 Second Speed'!I33</f>
        <v>MTSS</v>
      </c>
      <c r="D1968" t="str">
        <f>'Male SR 30 Second Speed'!J33</f>
        <v>11-12</v>
      </c>
      <c r="E1968">
        <f>'Male SR 30 Second Speed'!K33</f>
        <v>0</v>
      </c>
      <c r="I1968" t="str">
        <f t="shared" si="77"/>
        <v>MTSS-Male Thirty Second Speed</v>
      </c>
    </row>
    <row r="1969" spans="1:9" x14ac:dyDescent="0.25">
      <c r="A1969">
        <f>'Team Info'!$B$3</f>
        <v>0</v>
      </c>
      <c r="B1969">
        <f>'Male SR 30 Second Speed'!H34</f>
        <v>18</v>
      </c>
      <c r="C1969" t="str">
        <f>'Male SR 30 Second Speed'!I34</f>
        <v>MTSS</v>
      </c>
      <c r="D1969" t="str">
        <f>'Male SR 30 Second Speed'!J34</f>
        <v>11-12</v>
      </c>
      <c r="E1969">
        <f>'Male SR 30 Second Speed'!K34</f>
        <v>0</v>
      </c>
      <c r="I1969" t="str">
        <f t="shared" si="77"/>
        <v>MTSS-Male Thirty Second Speed</v>
      </c>
    </row>
    <row r="1970" spans="1:9" x14ac:dyDescent="0.25">
      <c r="A1970">
        <f>'Team Info'!$B$3</f>
        <v>0</v>
      </c>
      <c r="B1970">
        <f>'Male SR 30 Second Speed'!H35</f>
        <v>19</v>
      </c>
      <c r="C1970" t="str">
        <f>'Male SR 30 Second Speed'!I35</f>
        <v>MTSS</v>
      </c>
      <c r="D1970" t="str">
        <f>'Male SR 30 Second Speed'!J35</f>
        <v>11-12</v>
      </c>
      <c r="E1970">
        <f>'Male SR 30 Second Speed'!K35</f>
        <v>0</v>
      </c>
      <c r="I1970" t="str">
        <f t="shared" si="77"/>
        <v>MTSS-Male Thirty Second Speed</v>
      </c>
    </row>
    <row r="1971" spans="1:9" x14ac:dyDescent="0.25">
      <c r="A1971">
        <f>'Team Info'!$B$3</f>
        <v>0</v>
      </c>
      <c r="B1971">
        <f>'Male SR 30 Second Speed'!H36</f>
        <v>20</v>
      </c>
      <c r="C1971" t="str">
        <f>'Male SR 30 Second Speed'!I36</f>
        <v>MTSS</v>
      </c>
      <c r="D1971" t="str">
        <f>'Male SR 30 Second Speed'!J36</f>
        <v>11-12</v>
      </c>
      <c r="E1971">
        <f>'Male SR 30 Second Speed'!K36</f>
        <v>0</v>
      </c>
      <c r="I1971" t="str">
        <f t="shared" si="77"/>
        <v>MTSS-Male Thirty Second Speed</v>
      </c>
    </row>
    <row r="1972" spans="1:9" x14ac:dyDescent="0.25">
      <c r="A1972">
        <f>'Team Info'!$B$3</f>
        <v>0</v>
      </c>
      <c r="B1972">
        <f>'Male SR 30 Second Speed'!A39</f>
        <v>1</v>
      </c>
      <c r="C1972" t="str">
        <f>'Male SR 30 Second Speed'!B39</f>
        <v>MTSS</v>
      </c>
      <c r="D1972" t="str">
        <f>'Male SR 30 Second Speed'!C39</f>
        <v>13-14</v>
      </c>
      <c r="E1972">
        <f>'Male SR 30 Second Speed'!D39</f>
        <v>0</v>
      </c>
      <c r="I1972" t="str">
        <f t="shared" si="77"/>
        <v>MTSS-Male Thirty Second Speed</v>
      </c>
    </row>
    <row r="1973" spans="1:9" x14ac:dyDescent="0.25">
      <c r="A1973">
        <f>'Team Info'!$B$3</f>
        <v>0</v>
      </c>
      <c r="B1973">
        <f>'Male SR 30 Second Speed'!A40</f>
        <v>2</v>
      </c>
      <c r="C1973" t="str">
        <f>'Male SR 30 Second Speed'!B40</f>
        <v>MTSS</v>
      </c>
      <c r="D1973" t="str">
        <f>'Male SR 30 Second Speed'!C40</f>
        <v>13-14</v>
      </c>
      <c r="E1973">
        <f>'Male SR 30 Second Speed'!D40</f>
        <v>0</v>
      </c>
      <c r="I1973" t="str">
        <f t="shared" si="77"/>
        <v>MTSS-Male Thirty Second Speed</v>
      </c>
    </row>
    <row r="1974" spans="1:9" x14ac:dyDescent="0.25">
      <c r="A1974">
        <f>'Team Info'!$B$3</f>
        <v>0</v>
      </c>
      <c r="B1974">
        <f>'Male SR 30 Second Speed'!A41</f>
        <v>3</v>
      </c>
      <c r="C1974" t="str">
        <f>'Male SR 30 Second Speed'!B41</f>
        <v>MTSS</v>
      </c>
      <c r="D1974" t="str">
        <f>'Male SR 30 Second Speed'!C41</f>
        <v>13-14</v>
      </c>
      <c r="E1974">
        <f>'Male SR 30 Second Speed'!D41</f>
        <v>0</v>
      </c>
      <c r="I1974" t="str">
        <f t="shared" si="77"/>
        <v>MTSS-Male Thirty Second Speed</v>
      </c>
    </row>
    <row r="1975" spans="1:9" x14ac:dyDescent="0.25">
      <c r="A1975">
        <f>'Team Info'!$B$3</f>
        <v>0</v>
      </c>
      <c r="B1975">
        <f>'Male SR 30 Second Speed'!A42</f>
        <v>4</v>
      </c>
      <c r="C1975" t="str">
        <f>'Male SR 30 Second Speed'!B42</f>
        <v>MTSS</v>
      </c>
      <c r="D1975" t="str">
        <f>'Male SR 30 Second Speed'!C42</f>
        <v>13-14</v>
      </c>
      <c r="E1975">
        <f>'Male SR 30 Second Speed'!D42</f>
        <v>0</v>
      </c>
      <c r="I1975" t="str">
        <f t="shared" si="77"/>
        <v>MTSS-Male Thirty Second Speed</v>
      </c>
    </row>
    <row r="1976" spans="1:9" x14ac:dyDescent="0.25">
      <c r="A1976">
        <f>'Team Info'!$B$3</f>
        <v>0</v>
      </c>
      <c r="B1976">
        <f>'Male SR 30 Second Speed'!A43</f>
        <v>5</v>
      </c>
      <c r="C1976" t="str">
        <f>'Male SR 30 Second Speed'!B43</f>
        <v>MTSS</v>
      </c>
      <c r="D1976" t="str">
        <f>'Male SR 30 Second Speed'!C43</f>
        <v>13-14</v>
      </c>
      <c r="E1976">
        <f>'Male SR 30 Second Speed'!D43</f>
        <v>0</v>
      </c>
      <c r="I1976" t="str">
        <f t="shared" si="77"/>
        <v>MTSS-Male Thirty Second Speed</v>
      </c>
    </row>
    <row r="1977" spans="1:9" x14ac:dyDescent="0.25">
      <c r="A1977">
        <f>'Team Info'!$B$3</f>
        <v>0</v>
      </c>
      <c r="B1977">
        <f>'Male SR 30 Second Speed'!A44</f>
        <v>6</v>
      </c>
      <c r="C1977" t="str">
        <f>'Male SR 30 Second Speed'!B44</f>
        <v>MTSS</v>
      </c>
      <c r="D1977" t="str">
        <f>'Male SR 30 Second Speed'!C44</f>
        <v>13-14</v>
      </c>
      <c r="E1977">
        <f>'Male SR 30 Second Speed'!D44</f>
        <v>0</v>
      </c>
      <c r="I1977" t="str">
        <f t="shared" si="77"/>
        <v>MTSS-Male Thirty Second Speed</v>
      </c>
    </row>
    <row r="1978" spans="1:9" x14ac:dyDescent="0.25">
      <c r="A1978">
        <f>'Team Info'!$B$3</f>
        <v>0</v>
      </c>
      <c r="B1978">
        <f>'Male SR 30 Second Speed'!A45</f>
        <v>7</v>
      </c>
      <c r="C1978" t="str">
        <f>'Male SR 30 Second Speed'!B45</f>
        <v>MTSS</v>
      </c>
      <c r="D1978" t="str">
        <f>'Male SR 30 Second Speed'!C45</f>
        <v>13-14</v>
      </c>
      <c r="E1978">
        <f>'Male SR 30 Second Speed'!D45</f>
        <v>0</v>
      </c>
      <c r="I1978" t="str">
        <f t="shared" si="77"/>
        <v>MTSS-Male Thirty Second Speed</v>
      </c>
    </row>
    <row r="1979" spans="1:9" x14ac:dyDescent="0.25">
      <c r="A1979">
        <f>'Team Info'!$B$3</f>
        <v>0</v>
      </c>
      <c r="B1979">
        <f>'Male SR 30 Second Speed'!A46</f>
        <v>8</v>
      </c>
      <c r="C1979" t="str">
        <f>'Male SR 30 Second Speed'!B46</f>
        <v>MTSS</v>
      </c>
      <c r="D1979" t="str">
        <f>'Male SR 30 Second Speed'!C46</f>
        <v>13-14</v>
      </c>
      <c r="E1979">
        <f>'Male SR 30 Second Speed'!D46</f>
        <v>0</v>
      </c>
      <c r="I1979" t="str">
        <f t="shared" si="77"/>
        <v>MTSS-Male Thirty Second Speed</v>
      </c>
    </row>
    <row r="1980" spans="1:9" x14ac:dyDescent="0.25">
      <c r="A1980">
        <f>'Team Info'!$B$3</f>
        <v>0</v>
      </c>
      <c r="B1980">
        <f>'Male SR 30 Second Speed'!A47</f>
        <v>9</v>
      </c>
      <c r="C1980" t="str">
        <f>'Male SR 30 Second Speed'!B47</f>
        <v>MTSS</v>
      </c>
      <c r="D1980" t="str">
        <f>'Male SR 30 Second Speed'!C47</f>
        <v>13-14</v>
      </c>
      <c r="E1980">
        <f>'Male SR 30 Second Speed'!D47</f>
        <v>0</v>
      </c>
      <c r="I1980" t="str">
        <f t="shared" si="77"/>
        <v>MTSS-Male Thirty Second Speed</v>
      </c>
    </row>
    <row r="1981" spans="1:9" x14ac:dyDescent="0.25">
      <c r="A1981">
        <f>'Team Info'!$B$3</f>
        <v>0</v>
      </c>
      <c r="B1981">
        <f>'Male SR 30 Second Speed'!A48</f>
        <v>10</v>
      </c>
      <c r="C1981" t="str">
        <f>'Male SR 30 Second Speed'!B48</f>
        <v>MTSS</v>
      </c>
      <c r="D1981" t="str">
        <f>'Male SR 30 Second Speed'!C48</f>
        <v>13-14</v>
      </c>
      <c r="E1981">
        <f>'Male SR 30 Second Speed'!D48</f>
        <v>0</v>
      </c>
      <c r="I1981" t="str">
        <f t="shared" si="77"/>
        <v>MTSS-Male Thirty Second Speed</v>
      </c>
    </row>
    <row r="1982" spans="1:9" x14ac:dyDescent="0.25">
      <c r="A1982">
        <f>'Team Info'!$B$3</f>
        <v>0</v>
      </c>
      <c r="B1982">
        <f>'Male SR 30 Second Speed'!A49</f>
        <v>11</v>
      </c>
      <c r="C1982" t="str">
        <f>'Male SR 30 Second Speed'!B49</f>
        <v>MTSS</v>
      </c>
      <c r="D1982" t="str">
        <f>'Male SR 30 Second Speed'!C49</f>
        <v>13-14</v>
      </c>
      <c r="E1982">
        <f>'Male SR 30 Second Speed'!D49</f>
        <v>0</v>
      </c>
      <c r="I1982" t="str">
        <f t="shared" si="77"/>
        <v>MTSS-Male Thirty Second Speed</v>
      </c>
    </row>
    <row r="1983" spans="1:9" x14ac:dyDescent="0.25">
      <c r="A1983">
        <f>'Team Info'!$B$3</f>
        <v>0</v>
      </c>
      <c r="B1983">
        <f>'Male SR 30 Second Speed'!A50</f>
        <v>12</v>
      </c>
      <c r="C1983" t="str">
        <f>'Male SR 30 Second Speed'!B50</f>
        <v>MTSS</v>
      </c>
      <c r="D1983" t="str">
        <f>'Male SR 30 Second Speed'!C50</f>
        <v>13-14</v>
      </c>
      <c r="E1983">
        <f>'Male SR 30 Second Speed'!D50</f>
        <v>0</v>
      </c>
      <c r="I1983" t="str">
        <f t="shared" si="77"/>
        <v>MTSS-Male Thirty Second Speed</v>
      </c>
    </row>
    <row r="1984" spans="1:9" x14ac:dyDescent="0.25">
      <c r="A1984">
        <f>'Team Info'!$B$3</f>
        <v>0</v>
      </c>
      <c r="B1984">
        <f>'Male SR 30 Second Speed'!A51</f>
        <v>13</v>
      </c>
      <c r="C1984" t="str">
        <f>'Male SR 30 Second Speed'!B51</f>
        <v>MTSS</v>
      </c>
      <c r="D1984" t="str">
        <f>'Male SR 30 Second Speed'!C51</f>
        <v>13-14</v>
      </c>
      <c r="E1984">
        <f>'Male SR 30 Second Speed'!D51</f>
        <v>0</v>
      </c>
      <c r="I1984" t="str">
        <f t="shared" si="77"/>
        <v>MTSS-Male Thirty Second Speed</v>
      </c>
    </row>
    <row r="1985" spans="1:9" x14ac:dyDescent="0.25">
      <c r="A1985">
        <f>'Team Info'!$B$3</f>
        <v>0</v>
      </c>
      <c r="B1985">
        <f>'Male SR 30 Second Speed'!A52</f>
        <v>14</v>
      </c>
      <c r="C1985" t="str">
        <f>'Male SR 30 Second Speed'!B52</f>
        <v>MTSS</v>
      </c>
      <c r="D1985" t="str">
        <f>'Male SR 30 Second Speed'!C52</f>
        <v>13-14</v>
      </c>
      <c r="E1985">
        <f>'Male SR 30 Second Speed'!D52</f>
        <v>0</v>
      </c>
      <c r="I1985" t="str">
        <f t="shared" si="77"/>
        <v>MTSS-Male Thirty Second Speed</v>
      </c>
    </row>
    <row r="1986" spans="1:9" x14ac:dyDescent="0.25">
      <c r="A1986">
        <f>'Team Info'!$B$3</f>
        <v>0</v>
      </c>
      <c r="B1986">
        <f>'Male SR 30 Second Speed'!A53</f>
        <v>15</v>
      </c>
      <c r="C1986" t="str">
        <f>'Male SR 30 Second Speed'!B53</f>
        <v>MTSS</v>
      </c>
      <c r="D1986" t="str">
        <f>'Male SR 30 Second Speed'!C53</f>
        <v>13-14</v>
      </c>
      <c r="E1986">
        <f>'Male SR 30 Second Speed'!D53</f>
        <v>0</v>
      </c>
      <c r="I1986" t="str">
        <f t="shared" si="77"/>
        <v>MTSS-Male Thirty Second Speed</v>
      </c>
    </row>
    <row r="1987" spans="1:9" x14ac:dyDescent="0.25">
      <c r="A1987">
        <f>'Team Info'!$B$3</f>
        <v>0</v>
      </c>
      <c r="B1987">
        <f>'Male SR 30 Second Speed'!A54</f>
        <v>16</v>
      </c>
      <c r="C1987" t="str">
        <f>'Male SR 30 Second Speed'!B54</f>
        <v>MTSS</v>
      </c>
      <c r="D1987" t="str">
        <f>'Male SR 30 Second Speed'!C54</f>
        <v>13-14</v>
      </c>
      <c r="E1987">
        <f>'Male SR 30 Second Speed'!D54</f>
        <v>0</v>
      </c>
      <c r="I1987" t="str">
        <f t="shared" si="77"/>
        <v>MTSS-Male Thirty Second Speed</v>
      </c>
    </row>
    <row r="1988" spans="1:9" x14ac:dyDescent="0.25">
      <c r="A1988">
        <f>'Team Info'!$B$3</f>
        <v>0</v>
      </c>
      <c r="B1988">
        <f>'Male SR 30 Second Speed'!A55</f>
        <v>17</v>
      </c>
      <c r="C1988" t="str">
        <f>'Male SR 30 Second Speed'!B55</f>
        <v>MTSS</v>
      </c>
      <c r="D1988" t="str">
        <f>'Male SR 30 Second Speed'!C55</f>
        <v>13-14</v>
      </c>
      <c r="E1988">
        <f>'Male SR 30 Second Speed'!D55</f>
        <v>0</v>
      </c>
      <c r="I1988" t="str">
        <f t="shared" si="77"/>
        <v>MTSS-Male Thirty Second Speed</v>
      </c>
    </row>
    <row r="1989" spans="1:9" x14ac:dyDescent="0.25">
      <c r="A1989">
        <f>'Team Info'!$B$3</f>
        <v>0</v>
      </c>
      <c r="B1989">
        <f>'Male SR 30 Second Speed'!A56</f>
        <v>18</v>
      </c>
      <c r="C1989" t="str">
        <f>'Male SR 30 Second Speed'!B56</f>
        <v>MTSS</v>
      </c>
      <c r="D1989" t="str">
        <f>'Male SR 30 Second Speed'!C56</f>
        <v>13-14</v>
      </c>
      <c r="E1989">
        <f>'Male SR 30 Second Speed'!D56</f>
        <v>0</v>
      </c>
      <c r="I1989" t="str">
        <f t="shared" si="77"/>
        <v>MTSS-Male Thirty Second Speed</v>
      </c>
    </row>
    <row r="1990" spans="1:9" x14ac:dyDescent="0.25">
      <c r="A1990">
        <f>'Team Info'!$B$3</f>
        <v>0</v>
      </c>
      <c r="B1990">
        <f>'Male SR 30 Second Speed'!A57</f>
        <v>19</v>
      </c>
      <c r="C1990" t="str">
        <f>'Male SR 30 Second Speed'!B57</f>
        <v>MTSS</v>
      </c>
      <c r="D1990" t="str">
        <f>'Male SR 30 Second Speed'!C57</f>
        <v>13-14</v>
      </c>
      <c r="E1990">
        <f>'Male SR 30 Second Speed'!D57</f>
        <v>0</v>
      </c>
      <c r="I1990" t="str">
        <f t="shared" si="77"/>
        <v>MTSS-Male Thirty Second Speed</v>
      </c>
    </row>
    <row r="1991" spans="1:9" x14ac:dyDescent="0.25">
      <c r="A1991">
        <f>'Team Info'!$B$3</f>
        <v>0</v>
      </c>
      <c r="B1991">
        <f>'Male SR 30 Second Speed'!A58</f>
        <v>20</v>
      </c>
      <c r="C1991" t="str">
        <f>'Male SR 30 Second Speed'!B58</f>
        <v>MTSS</v>
      </c>
      <c r="D1991" t="str">
        <f>'Male SR 30 Second Speed'!C58</f>
        <v>13-14</v>
      </c>
      <c r="E1991">
        <f>'Male SR 30 Second Speed'!D58</f>
        <v>0</v>
      </c>
      <c r="I1991" t="str">
        <f t="shared" si="77"/>
        <v>MTSS-Male Thirty Second Speed</v>
      </c>
    </row>
    <row r="1992" spans="1:9" x14ac:dyDescent="0.25">
      <c r="A1992">
        <f>'Team Info'!$B$3</f>
        <v>0</v>
      </c>
      <c r="B1992">
        <f>'Male SR 30 Second Speed'!H39</f>
        <v>1</v>
      </c>
      <c r="C1992" t="str">
        <f>'Male SR 30 Second Speed'!I39</f>
        <v>MTSS</v>
      </c>
      <c r="D1992" t="str">
        <f>'Male SR 30 Second Speed'!J39</f>
        <v>15-16</v>
      </c>
      <c r="E1992">
        <f>'Male SR 30 Second Speed'!K39</f>
        <v>0</v>
      </c>
      <c r="I1992" t="str">
        <f t="shared" si="77"/>
        <v>MTSS-Male Thirty Second Speed</v>
      </c>
    </row>
    <row r="1993" spans="1:9" x14ac:dyDescent="0.25">
      <c r="A1993">
        <f>'Team Info'!$B$3</f>
        <v>0</v>
      </c>
      <c r="B1993">
        <f>'Male SR 30 Second Speed'!H40</f>
        <v>2</v>
      </c>
      <c r="C1993" t="str">
        <f>'Male SR 30 Second Speed'!I40</f>
        <v>MTSS</v>
      </c>
      <c r="D1993" t="str">
        <f>'Male SR 30 Second Speed'!J40</f>
        <v>15-16</v>
      </c>
      <c r="E1993">
        <f>'Male SR 30 Second Speed'!K40</f>
        <v>0</v>
      </c>
      <c r="I1993" t="str">
        <f t="shared" si="77"/>
        <v>MTSS-Male Thirty Second Speed</v>
      </c>
    </row>
    <row r="1994" spans="1:9" x14ac:dyDescent="0.25">
      <c r="A1994">
        <f>'Team Info'!$B$3</f>
        <v>0</v>
      </c>
      <c r="B1994">
        <f>'Male SR 30 Second Speed'!H41</f>
        <v>3</v>
      </c>
      <c r="C1994" t="str">
        <f>'Male SR 30 Second Speed'!I41</f>
        <v>MTSS</v>
      </c>
      <c r="D1994" t="str">
        <f>'Male SR 30 Second Speed'!J41</f>
        <v>15-16</v>
      </c>
      <c r="E1994">
        <f>'Male SR 30 Second Speed'!K41</f>
        <v>0</v>
      </c>
      <c r="I1994" t="str">
        <f t="shared" si="77"/>
        <v>MTSS-Male Thirty Second Speed</v>
      </c>
    </row>
    <row r="1995" spans="1:9" x14ac:dyDescent="0.25">
      <c r="A1995">
        <f>'Team Info'!$B$3</f>
        <v>0</v>
      </c>
      <c r="B1995">
        <f>'Male SR 30 Second Speed'!H42</f>
        <v>4</v>
      </c>
      <c r="C1995" t="str">
        <f>'Male SR 30 Second Speed'!I42</f>
        <v>MTSS</v>
      </c>
      <c r="D1995" t="str">
        <f>'Male SR 30 Second Speed'!J42</f>
        <v>15-16</v>
      </c>
      <c r="E1995">
        <f>'Male SR 30 Second Speed'!K42</f>
        <v>0</v>
      </c>
      <c r="I1995" t="str">
        <f t="shared" si="77"/>
        <v>MTSS-Male Thirty Second Speed</v>
      </c>
    </row>
    <row r="1996" spans="1:9" x14ac:dyDescent="0.25">
      <c r="A1996">
        <f>'Team Info'!$B$3</f>
        <v>0</v>
      </c>
      <c r="B1996">
        <f>'Male SR 30 Second Speed'!H43</f>
        <v>5</v>
      </c>
      <c r="C1996" t="str">
        <f>'Male SR 30 Second Speed'!I43</f>
        <v>MTSS</v>
      </c>
      <c r="D1996" t="str">
        <f>'Male SR 30 Second Speed'!J43</f>
        <v>15-16</v>
      </c>
      <c r="E1996">
        <f>'Male SR 30 Second Speed'!K43</f>
        <v>0</v>
      </c>
      <c r="I1996" t="str">
        <f t="shared" si="77"/>
        <v>MTSS-Male Thirty Second Speed</v>
      </c>
    </row>
    <row r="1997" spans="1:9" x14ac:dyDescent="0.25">
      <c r="A1997">
        <f>'Team Info'!$B$3</f>
        <v>0</v>
      </c>
      <c r="B1997">
        <f>'Male SR 30 Second Speed'!H44</f>
        <v>6</v>
      </c>
      <c r="C1997" t="str">
        <f>'Male SR 30 Second Speed'!I44</f>
        <v>MTSS</v>
      </c>
      <c r="D1997" t="str">
        <f>'Male SR 30 Second Speed'!J44</f>
        <v>15-16</v>
      </c>
      <c r="E1997">
        <f>'Male SR 30 Second Speed'!K44</f>
        <v>0</v>
      </c>
      <c r="I1997" t="str">
        <f t="shared" si="77"/>
        <v>MTSS-Male Thirty Second Speed</v>
      </c>
    </row>
    <row r="1998" spans="1:9" x14ac:dyDescent="0.25">
      <c r="A1998">
        <f>'Team Info'!$B$3</f>
        <v>0</v>
      </c>
      <c r="B1998">
        <f>'Male SR 30 Second Speed'!H45</f>
        <v>7</v>
      </c>
      <c r="C1998" t="str">
        <f>'Male SR 30 Second Speed'!I45</f>
        <v>MTSS</v>
      </c>
      <c r="D1998" t="str">
        <f>'Male SR 30 Second Speed'!J45</f>
        <v>15-16</v>
      </c>
      <c r="E1998">
        <f>'Male SR 30 Second Speed'!K45</f>
        <v>0</v>
      </c>
      <c r="I1998" t="str">
        <f t="shared" si="77"/>
        <v>MTSS-Male Thirty Second Speed</v>
      </c>
    </row>
    <row r="1999" spans="1:9" x14ac:dyDescent="0.25">
      <c r="A1999">
        <f>'Team Info'!$B$3</f>
        <v>0</v>
      </c>
      <c r="B1999">
        <f>'Male SR 30 Second Speed'!H46</f>
        <v>8</v>
      </c>
      <c r="C1999" t="str">
        <f>'Male SR 30 Second Speed'!I46</f>
        <v>MTSS</v>
      </c>
      <c r="D1999" t="str">
        <f>'Male SR 30 Second Speed'!J46</f>
        <v>15-16</v>
      </c>
      <c r="E1999">
        <f>'Male SR 30 Second Speed'!K46</f>
        <v>0</v>
      </c>
      <c r="I1999" t="str">
        <f t="shared" si="77"/>
        <v>MTSS-Male Thirty Second Speed</v>
      </c>
    </row>
    <row r="2000" spans="1:9" x14ac:dyDescent="0.25">
      <c r="A2000">
        <f>'Team Info'!$B$3</f>
        <v>0</v>
      </c>
      <c r="B2000">
        <f>'Male SR 30 Second Speed'!H47</f>
        <v>9</v>
      </c>
      <c r="C2000" t="str">
        <f>'Male SR 30 Second Speed'!I47</f>
        <v>MTSS</v>
      </c>
      <c r="D2000" t="str">
        <f>'Male SR 30 Second Speed'!J47</f>
        <v>15-16</v>
      </c>
      <c r="E2000">
        <f>'Male SR 30 Second Speed'!K47</f>
        <v>0</v>
      </c>
      <c r="I2000" t="str">
        <f t="shared" si="77"/>
        <v>MTSS-Male Thirty Second Speed</v>
      </c>
    </row>
    <row r="2001" spans="1:9" x14ac:dyDescent="0.25">
      <c r="A2001">
        <f>'Team Info'!$B$3</f>
        <v>0</v>
      </c>
      <c r="B2001">
        <f>'Male SR 30 Second Speed'!H48</f>
        <v>10</v>
      </c>
      <c r="C2001" t="str">
        <f>'Male SR 30 Second Speed'!I48</f>
        <v>MTSS</v>
      </c>
      <c r="D2001" t="str">
        <f>'Male SR 30 Second Speed'!J48</f>
        <v>15-16</v>
      </c>
      <c r="E2001">
        <f>'Male SR 30 Second Speed'!K48</f>
        <v>0</v>
      </c>
      <c r="I2001" t="str">
        <f t="shared" si="77"/>
        <v>MTSS-Male Thirty Second Speed</v>
      </c>
    </row>
    <row r="2002" spans="1:9" x14ac:dyDescent="0.25">
      <c r="A2002">
        <f>'Team Info'!$B$3</f>
        <v>0</v>
      </c>
      <c r="B2002">
        <f>'Male SR 30 Second Speed'!H49</f>
        <v>11</v>
      </c>
      <c r="C2002" t="str">
        <f>'Male SR 30 Second Speed'!I49</f>
        <v>MTSS</v>
      </c>
      <c r="D2002" t="str">
        <f>'Male SR 30 Second Speed'!J49</f>
        <v>15-16</v>
      </c>
      <c r="E2002">
        <f>'Male SR 30 Second Speed'!K49</f>
        <v>0</v>
      </c>
      <c r="I2002" t="str">
        <f t="shared" si="77"/>
        <v>MTSS-Male Thirty Second Speed</v>
      </c>
    </row>
    <row r="2003" spans="1:9" x14ac:dyDescent="0.25">
      <c r="A2003">
        <f>'Team Info'!$B$3</f>
        <v>0</v>
      </c>
      <c r="B2003">
        <f>'Male SR 30 Second Speed'!H50</f>
        <v>12</v>
      </c>
      <c r="C2003" t="str">
        <f>'Male SR 30 Second Speed'!I50</f>
        <v>MTSS</v>
      </c>
      <c r="D2003" t="str">
        <f>'Male SR 30 Second Speed'!J50</f>
        <v>15-16</v>
      </c>
      <c r="E2003">
        <f>'Male SR 30 Second Speed'!K50</f>
        <v>0</v>
      </c>
      <c r="I2003" t="str">
        <f t="shared" si="77"/>
        <v>MTSS-Male Thirty Second Speed</v>
      </c>
    </row>
    <row r="2004" spans="1:9" x14ac:dyDescent="0.25">
      <c r="A2004">
        <f>'Team Info'!$B$3</f>
        <v>0</v>
      </c>
      <c r="B2004">
        <f>'Male SR 30 Second Speed'!H51</f>
        <v>13</v>
      </c>
      <c r="C2004" t="str">
        <f>'Male SR 30 Second Speed'!I51</f>
        <v>MTSS</v>
      </c>
      <c r="D2004" t="str">
        <f>'Male SR 30 Second Speed'!J51</f>
        <v>15-16</v>
      </c>
      <c r="E2004">
        <f>'Male SR 30 Second Speed'!K51</f>
        <v>0</v>
      </c>
      <c r="I2004" t="str">
        <f t="shared" si="77"/>
        <v>MTSS-Male Thirty Second Speed</v>
      </c>
    </row>
    <row r="2005" spans="1:9" x14ac:dyDescent="0.25">
      <c r="A2005">
        <f>'Team Info'!$B$3</f>
        <v>0</v>
      </c>
      <c r="B2005">
        <f>'Male SR 30 Second Speed'!H52</f>
        <v>14</v>
      </c>
      <c r="C2005" t="str">
        <f>'Male SR 30 Second Speed'!I52</f>
        <v>MTSS</v>
      </c>
      <c r="D2005" t="str">
        <f>'Male SR 30 Second Speed'!J52</f>
        <v>15-16</v>
      </c>
      <c r="E2005">
        <f>'Male SR 30 Second Speed'!K52</f>
        <v>0</v>
      </c>
      <c r="I2005" t="str">
        <f t="shared" si="77"/>
        <v>MTSS-Male Thirty Second Speed</v>
      </c>
    </row>
    <row r="2006" spans="1:9" x14ac:dyDescent="0.25">
      <c r="A2006">
        <f>'Team Info'!$B$3</f>
        <v>0</v>
      </c>
      <c r="B2006">
        <f>'Male SR 30 Second Speed'!H53</f>
        <v>15</v>
      </c>
      <c r="C2006" t="str">
        <f>'Male SR 30 Second Speed'!I53</f>
        <v>MTSS</v>
      </c>
      <c r="D2006" t="str">
        <f>'Male SR 30 Second Speed'!J53</f>
        <v>15-16</v>
      </c>
      <c r="E2006">
        <f>'Male SR 30 Second Speed'!K53</f>
        <v>0</v>
      </c>
      <c r="I2006" t="str">
        <f t="shared" si="77"/>
        <v>MTSS-Male Thirty Second Speed</v>
      </c>
    </row>
    <row r="2007" spans="1:9" x14ac:dyDescent="0.25">
      <c r="A2007">
        <f>'Team Info'!$B$3</f>
        <v>0</v>
      </c>
      <c r="B2007">
        <f>'Male SR 30 Second Speed'!H54</f>
        <v>16</v>
      </c>
      <c r="C2007" t="str">
        <f>'Male SR 30 Second Speed'!I54</f>
        <v>MTSS</v>
      </c>
      <c r="D2007" t="str">
        <f>'Male SR 30 Second Speed'!J54</f>
        <v>15-16</v>
      </c>
      <c r="E2007">
        <f>'Male SR 30 Second Speed'!K54</f>
        <v>0</v>
      </c>
      <c r="I2007" t="str">
        <f t="shared" si="77"/>
        <v>MTSS-Male Thirty Second Speed</v>
      </c>
    </row>
    <row r="2008" spans="1:9" x14ac:dyDescent="0.25">
      <c r="A2008">
        <f>'Team Info'!$B$3</f>
        <v>0</v>
      </c>
      <c r="B2008">
        <f>'Male SR 30 Second Speed'!H55</f>
        <v>17</v>
      </c>
      <c r="C2008" t="str">
        <f>'Male SR 30 Second Speed'!I55</f>
        <v>MTSS</v>
      </c>
      <c r="D2008" t="str">
        <f>'Male SR 30 Second Speed'!J55</f>
        <v>15-16</v>
      </c>
      <c r="E2008">
        <f>'Male SR 30 Second Speed'!K55</f>
        <v>0</v>
      </c>
      <c r="I2008" t="str">
        <f t="shared" si="77"/>
        <v>MTSS-Male Thirty Second Speed</v>
      </c>
    </row>
    <row r="2009" spans="1:9" x14ac:dyDescent="0.25">
      <c r="A2009">
        <f>'Team Info'!$B$3</f>
        <v>0</v>
      </c>
      <c r="B2009">
        <f>'Male SR 30 Second Speed'!H56</f>
        <v>18</v>
      </c>
      <c r="C2009" t="str">
        <f>'Male SR 30 Second Speed'!I56</f>
        <v>MTSS</v>
      </c>
      <c r="D2009" t="str">
        <f>'Male SR 30 Second Speed'!J56</f>
        <v>15-16</v>
      </c>
      <c r="E2009">
        <f>'Male SR 30 Second Speed'!K56</f>
        <v>0</v>
      </c>
      <c r="I2009" t="str">
        <f t="shared" si="77"/>
        <v>MTSS-Male Thirty Second Speed</v>
      </c>
    </row>
    <row r="2010" spans="1:9" x14ac:dyDescent="0.25">
      <c r="A2010">
        <f>'Team Info'!$B$3</f>
        <v>0</v>
      </c>
      <c r="B2010">
        <f>'Male SR 30 Second Speed'!H57</f>
        <v>19</v>
      </c>
      <c r="C2010" t="str">
        <f>'Male SR 30 Second Speed'!I57</f>
        <v>MTSS</v>
      </c>
      <c r="D2010" t="str">
        <f>'Male SR 30 Second Speed'!J57</f>
        <v>15-16</v>
      </c>
      <c r="E2010">
        <f>'Male SR 30 Second Speed'!K57</f>
        <v>0</v>
      </c>
      <c r="I2010" t="str">
        <f t="shared" si="77"/>
        <v>MTSS-Male Thirty Second Speed</v>
      </c>
    </row>
    <row r="2011" spans="1:9" x14ac:dyDescent="0.25">
      <c r="A2011">
        <f>'Team Info'!$B$3</f>
        <v>0</v>
      </c>
      <c r="B2011">
        <f>'Male SR 30 Second Speed'!H58</f>
        <v>20</v>
      </c>
      <c r="C2011" t="str">
        <f>'Male SR 30 Second Speed'!I58</f>
        <v>MTSS</v>
      </c>
      <c r="D2011" t="str">
        <f>'Male SR 30 Second Speed'!J58</f>
        <v>15-16</v>
      </c>
      <c r="E2011">
        <f>'Male SR 30 Second Speed'!K58</f>
        <v>0</v>
      </c>
      <c r="I2011" t="str">
        <f t="shared" si="77"/>
        <v>MTSS-Male Thirty Second Speed</v>
      </c>
    </row>
    <row r="2012" spans="1:9" x14ac:dyDescent="0.25">
      <c r="A2012">
        <f>'Team Info'!$B$3</f>
        <v>0</v>
      </c>
      <c r="B2012">
        <f>'Male SR 30 Second Speed'!A61</f>
        <v>1</v>
      </c>
      <c r="C2012" t="str">
        <f>'Male SR 30 Second Speed'!B61</f>
        <v>MTSS</v>
      </c>
      <c r="D2012" t="str">
        <f>'Male SR 30 Second Speed'!C61</f>
        <v>17-18</v>
      </c>
      <c r="E2012">
        <f>'Male SR 30 Second Speed'!D61</f>
        <v>0</v>
      </c>
      <c r="I2012" t="str">
        <f t="shared" si="77"/>
        <v>MTSS-Male Thirty Second Speed</v>
      </c>
    </row>
    <row r="2013" spans="1:9" x14ac:dyDescent="0.25">
      <c r="A2013">
        <f>'Team Info'!$B$3</f>
        <v>0</v>
      </c>
      <c r="B2013">
        <f>'Male SR 30 Second Speed'!A62</f>
        <v>2</v>
      </c>
      <c r="C2013" t="str">
        <f>'Male SR 30 Second Speed'!B62</f>
        <v>MTSS</v>
      </c>
      <c r="D2013" t="str">
        <f>'Male SR 30 Second Speed'!C62</f>
        <v>17-18</v>
      </c>
      <c r="E2013">
        <f>'Male SR 30 Second Speed'!D62</f>
        <v>0</v>
      </c>
      <c r="I2013" t="str">
        <f t="shared" si="77"/>
        <v>MTSS-Male Thirty Second Speed</v>
      </c>
    </row>
    <row r="2014" spans="1:9" x14ac:dyDescent="0.25">
      <c r="A2014">
        <f>'Team Info'!$B$3</f>
        <v>0</v>
      </c>
      <c r="B2014">
        <f>'Male SR 30 Second Speed'!A63</f>
        <v>3</v>
      </c>
      <c r="C2014" t="str">
        <f>'Male SR 30 Second Speed'!B63</f>
        <v>MTSS</v>
      </c>
      <c r="D2014" t="str">
        <f>'Male SR 30 Second Speed'!C63</f>
        <v>17-18</v>
      </c>
      <c r="E2014">
        <f>'Male SR 30 Second Speed'!D63</f>
        <v>0</v>
      </c>
      <c r="I2014" t="str">
        <f t="shared" si="77"/>
        <v>MTSS-Male Thirty Second Speed</v>
      </c>
    </row>
    <row r="2015" spans="1:9" x14ac:dyDescent="0.25">
      <c r="A2015">
        <f>'Team Info'!$B$3</f>
        <v>0</v>
      </c>
      <c r="B2015">
        <f>'Male SR 30 Second Speed'!A64</f>
        <v>4</v>
      </c>
      <c r="C2015" t="str">
        <f>'Male SR 30 Second Speed'!B64</f>
        <v>MTSS</v>
      </c>
      <c r="D2015" t="str">
        <f>'Male SR 30 Second Speed'!C64</f>
        <v>17-18</v>
      </c>
      <c r="E2015">
        <f>'Male SR 30 Second Speed'!D64</f>
        <v>0</v>
      </c>
      <c r="I2015" t="str">
        <f t="shared" si="77"/>
        <v>MTSS-Male Thirty Second Speed</v>
      </c>
    </row>
    <row r="2016" spans="1:9" x14ac:dyDescent="0.25">
      <c r="A2016">
        <f>'Team Info'!$B$3</f>
        <v>0</v>
      </c>
      <c r="B2016">
        <f>'Male SR 30 Second Speed'!A65</f>
        <v>5</v>
      </c>
      <c r="C2016" t="str">
        <f>'Male SR 30 Second Speed'!B65</f>
        <v>MTSS</v>
      </c>
      <c r="D2016" t="str">
        <f>'Male SR 30 Second Speed'!C65</f>
        <v>17-18</v>
      </c>
      <c r="E2016">
        <f>'Male SR 30 Second Speed'!D65</f>
        <v>0</v>
      </c>
      <c r="I2016" t="str">
        <f t="shared" si="77"/>
        <v>MTSS-Male Thirty Second Speed</v>
      </c>
    </row>
    <row r="2017" spans="1:9" x14ac:dyDescent="0.25">
      <c r="A2017">
        <f>'Team Info'!$B$3</f>
        <v>0</v>
      </c>
      <c r="B2017">
        <f>'Male SR 30 Second Speed'!A66</f>
        <v>6</v>
      </c>
      <c r="C2017" t="str">
        <f>'Male SR 30 Second Speed'!B66</f>
        <v>MTSS</v>
      </c>
      <c r="D2017" t="str">
        <f>'Male SR 30 Second Speed'!C66</f>
        <v>17-18</v>
      </c>
      <c r="E2017">
        <f>'Male SR 30 Second Speed'!D66</f>
        <v>0</v>
      </c>
      <c r="I2017" t="str">
        <f t="shared" si="77"/>
        <v>MTSS-Male Thirty Second Speed</v>
      </c>
    </row>
    <row r="2018" spans="1:9" x14ac:dyDescent="0.25">
      <c r="A2018">
        <f>'Team Info'!$B$3</f>
        <v>0</v>
      </c>
      <c r="B2018">
        <f>'Male SR 30 Second Speed'!A67</f>
        <v>7</v>
      </c>
      <c r="C2018" t="str">
        <f>'Male SR 30 Second Speed'!B67</f>
        <v>MTSS</v>
      </c>
      <c r="D2018" t="str">
        <f>'Male SR 30 Second Speed'!C67</f>
        <v>17-18</v>
      </c>
      <c r="E2018">
        <f>'Male SR 30 Second Speed'!D67</f>
        <v>0</v>
      </c>
      <c r="I2018" t="str">
        <f t="shared" si="77"/>
        <v>MTSS-Male Thirty Second Speed</v>
      </c>
    </row>
    <row r="2019" spans="1:9" x14ac:dyDescent="0.25">
      <c r="A2019">
        <f>'Team Info'!$B$3</f>
        <v>0</v>
      </c>
      <c r="B2019">
        <f>'Male SR 30 Second Speed'!A68</f>
        <v>8</v>
      </c>
      <c r="C2019" t="str">
        <f>'Male SR 30 Second Speed'!B68</f>
        <v>MTSS</v>
      </c>
      <c r="D2019" t="str">
        <f>'Male SR 30 Second Speed'!C68</f>
        <v>17-18</v>
      </c>
      <c r="E2019">
        <f>'Male SR 30 Second Speed'!D68</f>
        <v>0</v>
      </c>
      <c r="I2019" t="str">
        <f t="shared" si="77"/>
        <v>MTSS-Male Thirty Second Speed</v>
      </c>
    </row>
    <row r="2020" spans="1:9" x14ac:dyDescent="0.25">
      <c r="A2020">
        <f>'Team Info'!$B$3</f>
        <v>0</v>
      </c>
      <c r="B2020">
        <f>'Male SR 30 Second Speed'!H61</f>
        <v>1</v>
      </c>
      <c r="C2020" t="str">
        <f>'Male SR 30 Second Speed'!I61</f>
        <v>MTSS</v>
      </c>
      <c r="D2020" t="str">
        <f>'Male SR 30 Second Speed'!J61</f>
        <v>19-22</v>
      </c>
      <c r="E2020">
        <f>'Male SR 30 Second Speed'!K61</f>
        <v>0</v>
      </c>
      <c r="I2020" t="str">
        <f t="shared" si="77"/>
        <v>MTSS-Male Thirty Second Speed</v>
      </c>
    </row>
    <row r="2021" spans="1:9" x14ac:dyDescent="0.25">
      <c r="A2021">
        <f>'Team Info'!$B$3</f>
        <v>0</v>
      </c>
      <c r="B2021">
        <f>'Male SR 30 Second Speed'!H62</f>
        <v>2</v>
      </c>
      <c r="C2021" t="str">
        <f>'Male SR 30 Second Speed'!I62</f>
        <v>MTSS</v>
      </c>
      <c r="D2021" t="str">
        <f>'Male SR 30 Second Speed'!J62</f>
        <v>19-22</v>
      </c>
      <c r="E2021">
        <f>'Male SR 30 Second Speed'!K62</f>
        <v>0</v>
      </c>
      <c r="I2021" t="str">
        <f t="shared" si="77"/>
        <v>MTSS-Male Thirty Second Speed</v>
      </c>
    </row>
    <row r="2022" spans="1:9" x14ac:dyDescent="0.25">
      <c r="A2022">
        <f>'Team Info'!$B$3</f>
        <v>0</v>
      </c>
      <c r="B2022">
        <f>'Male SR 30 Second Speed'!H63</f>
        <v>3</v>
      </c>
      <c r="C2022" t="str">
        <f>'Male SR 30 Second Speed'!I63</f>
        <v>MTSS</v>
      </c>
      <c r="D2022" t="str">
        <f>'Male SR 30 Second Speed'!J63</f>
        <v>19-22</v>
      </c>
      <c r="E2022">
        <f>'Male SR 30 Second Speed'!K63</f>
        <v>0</v>
      </c>
      <c r="I2022" t="str">
        <f t="shared" si="77"/>
        <v>MTSS-Male Thirty Second Speed</v>
      </c>
    </row>
    <row r="2023" spans="1:9" x14ac:dyDescent="0.25">
      <c r="A2023">
        <f>'Team Info'!$B$3</f>
        <v>0</v>
      </c>
      <c r="B2023">
        <f>'Male SR 30 Second Speed'!H64</f>
        <v>4</v>
      </c>
      <c r="C2023" t="str">
        <f>'Male SR 30 Second Speed'!I64</f>
        <v>MTSS</v>
      </c>
      <c r="D2023" t="str">
        <f>'Male SR 30 Second Speed'!J64</f>
        <v>19-22</v>
      </c>
      <c r="E2023">
        <f>'Male SR 30 Second Speed'!K64</f>
        <v>0</v>
      </c>
      <c r="I2023" t="str">
        <f t="shared" si="77"/>
        <v>MTSS-Male Thirty Second Speed</v>
      </c>
    </row>
    <row r="2024" spans="1:9" x14ac:dyDescent="0.25">
      <c r="A2024">
        <f>'Team Info'!$B$3</f>
        <v>0</v>
      </c>
      <c r="B2024">
        <f>'Male SR 30 Second Speed'!H65</f>
        <v>5</v>
      </c>
      <c r="C2024" t="str">
        <f>'Male SR 30 Second Speed'!I65</f>
        <v>MTSS</v>
      </c>
      <c r="D2024" t="str">
        <f>'Male SR 30 Second Speed'!J65</f>
        <v>19-22</v>
      </c>
      <c r="E2024">
        <f>'Male SR 30 Second Speed'!K65</f>
        <v>0</v>
      </c>
      <c r="I2024" t="str">
        <f t="shared" si="77"/>
        <v>MTSS-Male Thirty Second Speed</v>
      </c>
    </row>
    <row r="2025" spans="1:9" x14ac:dyDescent="0.25">
      <c r="A2025">
        <f>'Team Info'!$B$3</f>
        <v>0</v>
      </c>
      <c r="B2025">
        <f>'Male SR 30 Second Speed'!H66</f>
        <v>6</v>
      </c>
      <c r="C2025" t="str">
        <f>'Male SR 30 Second Speed'!I66</f>
        <v>MTSS</v>
      </c>
      <c r="D2025" t="str">
        <f>'Male SR 30 Second Speed'!J66</f>
        <v>19-22</v>
      </c>
      <c r="E2025">
        <f>'Male SR 30 Second Speed'!K66</f>
        <v>0</v>
      </c>
      <c r="I2025" t="str">
        <f t="shared" si="77"/>
        <v>MTSS-Male Thirty Second Speed</v>
      </c>
    </row>
    <row r="2026" spans="1:9" x14ac:dyDescent="0.25">
      <c r="A2026">
        <f>'Team Info'!$B$3</f>
        <v>0</v>
      </c>
      <c r="B2026">
        <f>'Male SR 30 Second Speed'!H67</f>
        <v>7</v>
      </c>
      <c r="C2026" t="str">
        <f>'Male SR 30 Second Speed'!I67</f>
        <v>MTSS</v>
      </c>
      <c r="D2026" t="str">
        <f>'Male SR 30 Second Speed'!J67</f>
        <v>19-22</v>
      </c>
      <c r="E2026">
        <f>'Male SR 30 Second Speed'!K67</f>
        <v>0</v>
      </c>
      <c r="I2026" t="str">
        <f t="shared" si="77"/>
        <v>MTSS-Male Thirty Second Speed</v>
      </c>
    </row>
    <row r="2027" spans="1:9" x14ac:dyDescent="0.25">
      <c r="A2027">
        <f>'Team Info'!$B$3</f>
        <v>0</v>
      </c>
      <c r="B2027">
        <f>'Male SR 30 Second Speed'!H68</f>
        <v>8</v>
      </c>
      <c r="C2027" t="str">
        <f>'Male SR 30 Second Speed'!I68</f>
        <v>MTSS</v>
      </c>
      <c r="D2027" t="str">
        <f>'Male SR 30 Second Speed'!J68</f>
        <v>19-22</v>
      </c>
      <c r="E2027">
        <f>'Male SR 30 Second Speed'!K68</f>
        <v>0</v>
      </c>
      <c r="I2027" t="str">
        <f t="shared" si="77"/>
        <v>MTSS-Male Thirty Second Speed</v>
      </c>
    </row>
    <row r="2028" spans="1:9" x14ac:dyDescent="0.25">
      <c r="A2028">
        <f>'Team Info'!$B$3</f>
        <v>0</v>
      </c>
      <c r="B2028">
        <f>'Male SR 30 Second Speed'!A71</f>
        <v>1</v>
      </c>
      <c r="C2028" t="str">
        <f>'Male SR 30 Second Speed'!B71</f>
        <v>MTSS</v>
      </c>
      <c r="D2028" t="str">
        <f>'Male SR 30 Second Speed'!C71</f>
        <v>23-29</v>
      </c>
      <c r="E2028">
        <f>'Male SR 30 Second Speed'!D71</f>
        <v>0</v>
      </c>
      <c r="I2028" t="str">
        <f t="shared" si="77"/>
        <v>MTSS-Male Thirty Second Speed</v>
      </c>
    </row>
    <row r="2029" spans="1:9" x14ac:dyDescent="0.25">
      <c r="A2029">
        <f>'Team Info'!$B$3</f>
        <v>0</v>
      </c>
      <c r="B2029">
        <f>'Male SR 30 Second Speed'!A72</f>
        <v>2</v>
      </c>
      <c r="C2029" t="str">
        <f>'Male SR 30 Second Speed'!B72</f>
        <v>MTSS</v>
      </c>
      <c r="D2029" t="str">
        <f>'Male SR 30 Second Speed'!C72</f>
        <v>23-29</v>
      </c>
      <c r="E2029">
        <f>'Male SR 30 Second Speed'!D72</f>
        <v>0</v>
      </c>
      <c r="I2029" t="str">
        <f t="shared" ref="I2029:I2095" si="78">VLOOKUP(C2029,EVENTS,2,FALSE)</f>
        <v>MTSS-Male Thirty Second Speed</v>
      </c>
    </row>
    <row r="2030" spans="1:9" x14ac:dyDescent="0.25">
      <c r="A2030">
        <f>'Team Info'!$B$3</f>
        <v>0</v>
      </c>
      <c r="B2030">
        <f>'Male SR 30 Second Speed'!A73</f>
        <v>3</v>
      </c>
      <c r="C2030" t="str">
        <f>'Male SR 30 Second Speed'!B73</f>
        <v>MTSS</v>
      </c>
      <c r="D2030" t="str">
        <f>'Male SR 30 Second Speed'!C73</f>
        <v>23-29</v>
      </c>
      <c r="E2030">
        <f>'Male SR 30 Second Speed'!D73</f>
        <v>0</v>
      </c>
      <c r="I2030" t="str">
        <f t="shared" si="78"/>
        <v>MTSS-Male Thirty Second Speed</v>
      </c>
    </row>
    <row r="2031" spans="1:9" x14ac:dyDescent="0.25">
      <c r="A2031">
        <f>'Team Info'!$B$3</f>
        <v>0</v>
      </c>
      <c r="B2031">
        <f>'Male SR 30 Second Speed'!A74</f>
        <v>4</v>
      </c>
      <c r="C2031" t="str">
        <f>'Male SR 30 Second Speed'!B74</f>
        <v>MTSS</v>
      </c>
      <c r="D2031" t="str">
        <f>'Male SR 30 Second Speed'!C74</f>
        <v>23-29</v>
      </c>
      <c r="E2031">
        <f>'Male SR 30 Second Speed'!D74</f>
        <v>0</v>
      </c>
      <c r="I2031" t="str">
        <f t="shared" si="78"/>
        <v>MTSS-Male Thirty Second Speed</v>
      </c>
    </row>
    <row r="2032" spans="1:9" x14ac:dyDescent="0.25">
      <c r="A2032">
        <f>'Team Info'!$B$3</f>
        <v>0</v>
      </c>
      <c r="B2032">
        <f>'Male SR 30 Second Speed'!A75</f>
        <v>5</v>
      </c>
      <c r="C2032" t="str">
        <f>'Male SR 30 Second Speed'!B75</f>
        <v>MTSS</v>
      </c>
      <c r="D2032" t="str">
        <f>'Male SR 30 Second Speed'!C75</f>
        <v>23-29</v>
      </c>
      <c r="E2032">
        <f>'Male SR 30 Second Speed'!D75</f>
        <v>0</v>
      </c>
      <c r="I2032" t="str">
        <f t="shared" si="78"/>
        <v>MTSS-Male Thirty Second Speed</v>
      </c>
    </row>
    <row r="2033" spans="1:9" x14ac:dyDescent="0.25">
      <c r="A2033">
        <f>'Team Info'!$B$3</f>
        <v>0</v>
      </c>
      <c r="B2033">
        <f>'Male SR 30 Second Speed'!H71</f>
        <v>1</v>
      </c>
      <c r="C2033" t="str">
        <f>'Male SR 30 Second Speed'!I71</f>
        <v>MTSS</v>
      </c>
      <c r="D2033" t="str">
        <f>'Male SR 30 Second Speed'!J71</f>
        <v>30-49</v>
      </c>
      <c r="E2033">
        <f>'Male SR 30 Second Speed'!K71</f>
        <v>0</v>
      </c>
      <c r="I2033" t="str">
        <f t="shared" si="78"/>
        <v>MTSS-Male Thirty Second Speed</v>
      </c>
    </row>
    <row r="2034" spans="1:9" x14ac:dyDescent="0.25">
      <c r="A2034">
        <f>'Team Info'!$B$3</f>
        <v>0</v>
      </c>
      <c r="B2034">
        <f>'Male SR 30 Second Speed'!H72</f>
        <v>2</v>
      </c>
      <c r="C2034" t="str">
        <f>'Male SR 30 Second Speed'!I72</f>
        <v>MTSS</v>
      </c>
      <c r="D2034" t="str">
        <f>'Male SR 30 Second Speed'!J72</f>
        <v>30-49</v>
      </c>
      <c r="E2034">
        <f>'Male SR 30 Second Speed'!K72</f>
        <v>0</v>
      </c>
      <c r="I2034" t="str">
        <f t="shared" si="78"/>
        <v>MTSS-Male Thirty Second Speed</v>
      </c>
    </row>
    <row r="2035" spans="1:9" x14ac:dyDescent="0.25">
      <c r="A2035">
        <f>'Team Info'!$B$3</f>
        <v>0</v>
      </c>
      <c r="B2035">
        <f>'Male SR 30 Second Speed'!H73</f>
        <v>3</v>
      </c>
      <c r="C2035" t="str">
        <f>'Male SR 30 Second Speed'!I73</f>
        <v>MTSS</v>
      </c>
      <c r="D2035" t="str">
        <f>'Male SR 30 Second Speed'!J73</f>
        <v>30-49</v>
      </c>
      <c r="E2035">
        <f>'Male SR 30 Second Speed'!K73</f>
        <v>0</v>
      </c>
      <c r="I2035" t="str">
        <f t="shared" si="78"/>
        <v>MTSS-Male Thirty Second Speed</v>
      </c>
    </row>
    <row r="2036" spans="1:9" x14ac:dyDescent="0.25">
      <c r="A2036">
        <f>'Team Info'!$B$3</f>
        <v>0</v>
      </c>
      <c r="B2036">
        <f>'Male SR 30 Second Speed'!H74</f>
        <v>4</v>
      </c>
      <c r="C2036" t="str">
        <f>'Male SR 30 Second Speed'!I74</f>
        <v>MTSS</v>
      </c>
      <c r="D2036" t="str">
        <f>'Male SR 30 Second Speed'!J74</f>
        <v>30-49</v>
      </c>
      <c r="E2036">
        <f>'Male SR 30 Second Speed'!K74</f>
        <v>0</v>
      </c>
      <c r="I2036" t="str">
        <f t="shared" si="78"/>
        <v>MTSS-Male Thirty Second Speed</v>
      </c>
    </row>
    <row r="2037" spans="1:9" x14ac:dyDescent="0.25">
      <c r="A2037">
        <f>'Team Info'!$B$3</f>
        <v>0</v>
      </c>
      <c r="B2037">
        <f>'Male SR 30 Second Speed'!H75</f>
        <v>5</v>
      </c>
      <c r="C2037" t="str">
        <f>'Male SR 30 Second Speed'!I75</f>
        <v>MTSS</v>
      </c>
      <c r="D2037" t="str">
        <f>'Male SR 30 Second Speed'!J75</f>
        <v>30-49</v>
      </c>
      <c r="E2037">
        <f>'Male SR 30 Second Speed'!K75</f>
        <v>0</v>
      </c>
      <c r="I2037" t="str">
        <f t="shared" si="78"/>
        <v>MTSS-Male Thirty Second Speed</v>
      </c>
    </row>
    <row r="2038" spans="1:9" x14ac:dyDescent="0.25">
      <c r="A2038">
        <f>'Team Info'!$B$3</f>
        <v>0</v>
      </c>
      <c r="B2038">
        <f>'Male SR 30 Second Speed'!A79</f>
        <v>1</v>
      </c>
      <c r="C2038" t="str">
        <f>'Male SR 30 Second Speed'!B79</f>
        <v>MTSS</v>
      </c>
      <c r="D2038" t="str">
        <f>'Male SR 30 Second Speed'!C79</f>
        <v>50-Over</v>
      </c>
      <c r="E2038">
        <f>'Male SR 30 Second Speed'!D79</f>
        <v>0</v>
      </c>
      <c r="I2038" t="str">
        <f t="shared" si="78"/>
        <v>MTSS-Male Thirty Second Speed</v>
      </c>
    </row>
    <row r="2039" spans="1:9" x14ac:dyDescent="0.25">
      <c r="A2039">
        <f>'Team Info'!$B$3</f>
        <v>0</v>
      </c>
      <c r="B2039">
        <f>'Male SR 30 Second Speed'!A80</f>
        <v>2</v>
      </c>
      <c r="C2039" t="str">
        <f>'Male SR 30 Second Speed'!B80</f>
        <v>MTSS</v>
      </c>
      <c r="D2039" t="str">
        <f>'Male SR 30 Second Speed'!C80</f>
        <v>50-Over</v>
      </c>
      <c r="E2039">
        <f>'Male SR 30 Second Speed'!D80</f>
        <v>0</v>
      </c>
      <c r="I2039" t="str">
        <f t="shared" ref="I2039:I2042" si="79">VLOOKUP(C2039,EVENTS,2,FALSE)</f>
        <v>MTSS-Male Thirty Second Speed</v>
      </c>
    </row>
    <row r="2040" spans="1:9" x14ac:dyDescent="0.25">
      <c r="A2040">
        <f>'Team Info'!$B$3</f>
        <v>0</v>
      </c>
      <c r="B2040">
        <f>'Male SR 30 Second Speed'!A81</f>
        <v>3</v>
      </c>
      <c r="C2040" t="str">
        <f>'Male SR 30 Second Speed'!B81</f>
        <v>MTSS</v>
      </c>
      <c r="D2040" t="str">
        <f>'Male SR 30 Second Speed'!C81</f>
        <v>50-Over</v>
      </c>
      <c r="E2040">
        <f>'Male SR 30 Second Speed'!D81</f>
        <v>0</v>
      </c>
      <c r="I2040" t="str">
        <f t="shared" si="79"/>
        <v>MTSS-Male Thirty Second Speed</v>
      </c>
    </row>
    <row r="2041" spans="1:9" x14ac:dyDescent="0.25">
      <c r="A2041">
        <f>'Team Info'!$B$3</f>
        <v>0</v>
      </c>
      <c r="B2041">
        <f>'Male SR 30 Second Speed'!A82</f>
        <v>4</v>
      </c>
      <c r="C2041" t="str">
        <f>'Male SR 30 Second Speed'!B82</f>
        <v>MTSS</v>
      </c>
      <c r="D2041" t="str">
        <f>'Male SR 30 Second Speed'!C82</f>
        <v>50-Over</v>
      </c>
      <c r="E2041">
        <f>'Male SR 30 Second Speed'!D82</f>
        <v>0</v>
      </c>
      <c r="I2041" t="str">
        <f t="shared" si="79"/>
        <v>MTSS-Male Thirty Second Speed</v>
      </c>
    </row>
    <row r="2042" spans="1:9" x14ac:dyDescent="0.25">
      <c r="A2042">
        <f>'Team Info'!$B$3</f>
        <v>0</v>
      </c>
      <c r="B2042">
        <f>'Male SR 30 Second Speed'!A83</f>
        <v>5</v>
      </c>
      <c r="C2042" t="str">
        <f>'Male SR 30 Second Speed'!B83</f>
        <v>MTSS</v>
      </c>
      <c r="D2042" t="str">
        <f>'Male SR 30 Second Speed'!C83</f>
        <v>50-Over</v>
      </c>
      <c r="E2042">
        <f>'Male SR 30 Second Speed'!D83</f>
        <v>0</v>
      </c>
      <c r="I2042" t="str">
        <f t="shared" si="79"/>
        <v>MTSS-Male Thirty Second Speed</v>
      </c>
    </row>
    <row r="2043" spans="1:9" x14ac:dyDescent="0.25">
      <c r="A2043">
        <f>'Team Info'!$B$3</f>
        <v>0</v>
      </c>
      <c r="B2043">
        <f>'Triple Unders'!A5</f>
        <v>1</v>
      </c>
      <c r="C2043" t="str">
        <f>'Triple Unders'!B5</f>
        <v>MTU</v>
      </c>
      <c r="D2043" t="str">
        <f>'Triple Unders'!C5</f>
        <v>15-18</v>
      </c>
      <c r="E2043">
        <f>'Triple Unders'!D5</f>
        <v>0</v>
      </c>
      <c r="I2043" t="str">
        <f t="shared" si="78"/>
        <v>MTU-Male Triple Unders</v>
      </c>
    </row>
    <row r="2044" spans="1:9" x14ac:dyDescent="0.25">
      <c r="A2044">
        <f>'Team Info'!$B$3</f>
        <v>0</v>
      </c>
      <c r="B2044">
        <f>'Triple Unders'!A6</f>
        <v>2</v>
      </c>
      <c r="C2044" t="str">
        <f>'Triple Unders'!B6</f>
        <v>MTU</v>
      </c>
      <c r="D2044" t="str">
        <f>'Triple Unders'!C6</f>
        <v>15-18</v>
      </c>
      <c r="E2044">
        <f>'Triple Unders'!D6</f>
        <v>0</v>
      </c>
      <c r="I2044" t="str">
        <f t="shared" si="78"/>
        <v>MTU-Male Triple Unders</v>
      </c>
    </row>
    <row r="2045" spans="1:9" x14ac:dyDescent="0.25">
      <c r="A2045">
        <f>'Team Info'!$B$3</f>
        <v>0</v>
      </c>
      <c r="B2045">
        <f>'Triple Unders'!A7</f>
        <v>3</v>
      </c>
      <c r="C2045" t="str">
        <f>'Triple Unders'!B7</f>
        <v>MTU</v>
      </c>
      <c r="D2045" t="str">
        <f>'Triple Unders'!C7</f>
        <v>15-18</v>
      </c>
      <c r="E2045">
        <f>'Triple Unders'!D7</f>
        <v>0</v>
      </c>
      <c r="I2045" t="str">
        <f t="shared" si="78"/>
        <v>MTU-Male Triple Unders</v>
      </c>
    </row>
    <row r="2046" spans="1:9" x14ac:dyDescent="0.25">
      <c r="A2046">
        <f>'Team Info'!$B$3</f>
        <v>0</v>
      </c>
      <c r="B2046">
        <f>'Triple Unders'!A8</f>
        <v>4</v>
      </c>
      <c r="C2046" t="str">
        <f>'Triple Unders'!B8</f>
        <v>MTU</v>
      </c>
      <c r="D2046" t="str">
        <f>'Triple Unders'!C8</f>
        <v>15-18</v>
      </c>
      <c r="E2046">
        <f>'Triple Unders'!D8</f>
        <v>0</v>
      </c>
      <c r="I2046" t="str">
        <f t="shared" si="78"/>
        <v>MTU-Male Triple Unders</v>
      </c>
    </row>
    <row r="2047" spans="1:9" x14ac:dyDescent="0.25">
      <c r="A2047">
        <f>'Team Info'!$B$3</f>
        <v>0</v>
      </c>
      <c r="B2047">
        <f>'Triple Unders'!A9</f>
        <v>5</v>
      </c>
      <c r="C2047" t="str">
        <f>'Triple Unders'!B9</f>
        <v>MTU</v>
      </c>
      <c r="D2047" t="str">
        <f>'Triple Unders'!C9</f>
        <v>15-18</v>
      </c>
      <c r="E2047">
        <f>'Triple Unders'!D9</f>
        <v>0</v>
      </c>
      <c r="I2047" t="str">
        <f t="shared" si="78"/>
        <v>MTU-Male Triple Unders</v>
      </c>
    </row>
    <row r="2048" spans="1:9" x14ac:dyDescent="0.25">
      <c r="A2048">
        <f>'Team Info'!$B$3</f>
        <v>0</v>
      </c>
      <c r="B2048">
        <f>'Triple Unders'!A10</f>
        <v>6</v>
      </c>
      <c r="C2048" t="str">
        <f>'Triple Unders'!B10</f>
        <v>MTU</v>
      </c>
      <c r="D2048" t="str">
        <f>'Triple Unders'!C10</f>
        <v>15-18</v>
      </c>
      <c r="E2048">
        <f>'Triple Unders'!D10</f>
        <v>0</v>
      </c>
      <c r="I2048" t="str">
        <f t="shared" si="78"/>
        <v>MTU-Male Triple Unders</v>
      </c>
    </row>
    <row r="2049" spans="1:9" x14ac:dyDescent="0.25">
      <c r="A2049">
        <f>'Team Info'!$B$3</f>
        <v>0</v>
      </c>
      <c r="B2049">
        <f>'Triple Unders'!A11</f>
        <v>7</v>
      </c>
      <c r="C2049" t="str">
        <f>'Triple Unders'!B11</f>
        <v>MTU</v>
      </c>
      <c r="D2049" t="str">
        <f>'Triple Unders'!C11</f>
        <v>15-18</v>
      </c>
      <c r="E2049">
        <f>'Triple Unders'!D11</f>
        <v>0</v>
      </c>
      <c r="I2049" t="str">
        <f t="shared" si="78"/>
        <v>MTU-Male Triple Unders</v>
      </c>
    </row>
    <row r="2050" spans="1:9" x14ac:dyDescent="0.25">
      <c r="A2050">
        <f>'Team Info'!$B$3</f>
        <v>0</v>
      </c>
      <c r="B2050">
        <f>'Triple Unders'!A12</f>
        <v>8</v>
      </c>
      <c r="C2050" t="str">
        <f>'Triple Unders'!B12</f>
        <v>MTU</v>
      </c>
      <c r="D2050" t="str">
        <f>'Triple Unders'!C12</f>
        <v>15-18</v>
      </c>
      <c r="E2050">
        <f>'Triple Unders'!D12</f>
        <v>0</v>
      </c>
      <c r="I2050" t="str">
        <f t="shared" si="78"/>
        <v>MTU-Male Triple Unders</v>
      </c>
    </row>
    <row r="2051" spans="1:9" x14ac:dyDescent="0.25">
      <c r="A2051">
        <f>'Team Info'!$B$3</f>
        <v>0</v>
      </c>
      <c r="B2051">
        <f>'Triple Unders'!A13</f>
        <v>9</v>
      </c>
      <c r="C2051" t="str">
        <f>'Triple Unders'!B13</f>
        <v>MTU</v>
      </c>
      <c r="D2051" t="str">
        <f>'Triple Unders'!C13</f>
        <v>15-18</v>
      </c>
      <c r="E2051">
        <f>'Triple Unders'!D13</f>
        <v>0</v>
      </c>
      <c r="I2051" t="str">
        <f t="shared" si="78"/>
        <v>MTU-Male Triple Unders</v>
      </c>
    </row>
    <row r="2052" spans="1:9" x14ac:dyDescent="0.25">
      <c r="A2052">
        <f>'Team Info'!$B$3</f>
        <v>0</v>
      </c>
      <c r="B2052">
        <f>'Triple Unders'!A14</f>
        <v>10</v>
      </c>
      <c r="C2052" t="str">
        <f>'Triple Unders'!B14</f>
        <v>MTU</v>
      </c>
      <c r="D2052" t="str">
        <f>'Triple Unders'!C14</f>
        <v>15-18</v>
      </c>
      <c r="E2052">
        <f>'Triple Unders'!D14</f>
        <v>0</v>
      </c>
      <c r="I2052" t="str">
        <f t="shared" si="78"/>
        <v>MTU-Male Triple Unders</v>
      </c>
    </row>
    <row r="2053" spans="1:9" x14ac:dyDescent="0.25">
      <c r="A2053">
        <f>'Team Info'!$B$3</f>
        <v>0</v>
      </c>
      <c r="B2053">
        <f>'Triple Unders'!A15</f>
        <v>11</v>
      </c>
      <c r="C2053" t="str">
        <f>'Triple Unders'!B15</f>
        <v>MTU</v>
      </c>
      <c r="D2053" t="str">
        <f>'Triple Unders'!C15</f>
        <v>15-18</v>
      </c>
      <c r="E2053">
        <f>'Triple Unders'!D15</f>
        <v>0</v>
      </c>
      <c r="I2053" t="str">
        <f t="shared" si="78"/>
        <v>MTU-Male Triple Unders</v>
      </c>
    </row>
    <row r="2054" spans="1:9" x14ac:dyDescent="0.25">
      <c r="A2054">
        <f>'Team Info'!$B$3</f>
        <v>0</v>
      </c>
      <c r="B2054">
        <f>'Triple Unders'!A16</f>
        <v>12</v>
      </c>
      <c r="C2054" t="str">
        <f>'Triple Unders'!B16</f>
        <v>MTU</v>
      </c>
      <c r="D2054" t="str">
        <f>'Triple Unders'!C16</f>
        <v>15-18</v>
      </c>
      <c r="E2054">
        <f>'Triple Unders'!D16</f>
        <v>0</v>
      </c>
      <c r="I2054" t="str">
        <f t="shared" si="78"/>
        <v>MTU-Male Triple Unders</v>
      </c>
    </row>
    <row r="2055" spans="1:9" x14ac:dyDescent="0.25">
      <c r="A2055">
        <f>'Team Info'!$B$3</f>
        <v>0</v>
      </c>
      <c r="B2055">
        <f>'Triple Unders'!A17</f>
        <v>13</v>
      </c>
      <c r="C2055" t="str">
        <f>'Triple Unders'!B17</f>
        <v>MTU</v>
      </c>
      <c r="D2055" t="str">
        <f>'Triple Unders'!C17</f>
        <v>15-18</v>
      </c>
      <c r="E2055">
        <f>'Triple Unders'!D17</f>
        <v>0</v>
      </c>
      <c r="I2055" t="str">
        <f t="shared" si="78"/>
        <v>MTU-Male Triple Unders</v>
      </c>
    </row>
    <row r="2056" spans="1:9" x14ac:dyDescent="0.25">
      <c r="A2056">
        <f>'Team Info'!$B$3</f>
        <v>0</v>
      </c>
      <c r="B2056">
        <f>'Triple Unders'!A18</f>
        <v>14</v>
      </c>
      <c r="C2056" t="str">
        <f>'Triple Unders'!B18</f>
        <v>MTU</v>
      </c>
      <c r="D2056" t="str">
        <f>'Triple Unders'!C18</f>
        <v>15-18</v>
      </c>
      <c r="E2056">
        <f>'Triple Unders'!D18</f>
        <v>0</v>
      </c>
      <c r="I2056" t="str">
        <f t="shared" si="78"/>
        <v>MTU-Male Triple Unders</v>
      </c>
    </row>
    <row r="2057" spans="1:9" x14ac:dyDescent="0.25">
      <c r="A2057">
        <f>'Team Info'!$B$3</f>
        <v>0</v>
      </c>
      <c r="B2057">
        <f>'Triple Unders'!A19</f>
        <v>15</v>
      </c>
      <c r="C2057" t="str">
        <f>'Triple Unders'!B19</f>
        <v>MTU</v>
      </c>
      <c r="D2057" t="str">
        <f>'Triple Unders'!C19</f>
        <v>15-18</v>
      </c>
      <c r="E2057">
        <f>'Triple Unders'!D19</f>
        <v>0</v>
      </c>
      <c r="I2057" t="str">
        <f t="shared" si="78"/>
        <v>MTU-Male Triple Unders</v>
      </c>
    </row>
    <row r="2058" spans="1:9" x14ac:dyDescent="0.25">
      <c r="A2058">
        <f>'Team Info'!$B$3</f>
        <v>0</v>
      </c>
      <c r="B2058">
        <f>'Triple Unders'!A20</f>
        <v>16</v>
      </c>
      <c r="C2058" t="str">
        <f>'Triple Unders'!B20</f>
        <v>MTU</v>
      </c>
      <c r="D2058" t="str">
        <f>'Triple Unders'!C20</f>
        <v>15-18</v>
      </c>
      <c r="E2058">
        <f>'Triple Unders'!D20</f>
        <v>0</v>
      </c>
      <c r="I2058" t="str">
        <f t="shared" si="78"/>
        <v>MTU-Male Triple Unders</v>
      </c>
    </row>
    <row r="2059" spans="1:9" x14ac:dyDescent="0.25">
      <c r="A2059">
        <f>'Team Info'!$B$3</f>
        <v>0</v>
      </c>
      <c r="B2059">
        <f>'Triple Unders'!A21</f>
        <v>17</v>
      </c>
      <c r="C2059" t="str">
        <f>'Triple Unders'!B21</f>
        <v>MTU</v>
      </c>
      <c r="D2059" t="str">
        <f>'Triple Unders'!C21</f>
        <v>15-18</v>
      </c>
      <c r="E2059">
        <f>'Triple Unders'!D21</f>
        <v>0</v>
      </c>
      <c r="I2059" t="str">
        <f t="shared" ref="I2059:I2062" si="80">VLOOKUP(C2059,EVENTS,2,FALSE)</f>
        <v>MTU-Male Triple Unders</v>
      </c>
    </row>
    <row r="2060" spans="1:9" x14ac:dyDescent="0.25">
      <c r="A2060">
        <f>'Team Info'!$B$3</f>
        <v>0</v>
      </c>
      <c r="B2060">
        <f>'Triple Unders'!A22</f>
        <v>18</v>
      </c>
      <c r="C2060" t="str">
        <f>'Triple Unders'!B22</f>
        <v>MTU</v>
      </c>
      <c r="D2060" t="str">
        <f>'Triple Unders'!C22</f>
        <v>15-18</v>
      </c>
      <c r="E2060">
        <f>'Triple Unders'!D22</f>
        <v>0</v>
      </c>
      <c r="I2060" t="str">
        <f t="shared" si="80"/>
        <v>MTU-Male Triple Unders</v>
      </c>
    </row>
    <row r="2061" spans="1:9" x14ac:dyDescent="0.25">
      <c r="A2061">
        <f>'Team Info'!$B$3</f>
        <v>0</v>
      </c>
      <c r="B2061">
        <f>'Triple Unders'!A23</f>
        <v>19</v>
      </c>
      <c r="C2061" t="str">
        <f>'Triple Unders'!B23</f>
        <v>MTU</v>
      </c>
      <c r="D2061" t="str">
        <f>'Triple Unders'!C23</f>
        <v>15-18</v>
      </c>
      <c r="E2061">
        <f>'Triple Unders'!D23</f>
        <v>0</v>
      </c>
      <c r="I2061" t="str">
        <f t="shared" si="80"/>
        <v>MTU-Male Triple Unders</v>
      </c>
    </row>
    <row r="2062" spans="1:9" x14ac:dyDescent="0.25">
      <c r="A2062">
        <f>'Team Info'!$B$3</f>
        <v>0</v>
      </c>
      <c r="B2062">
        <f>'Triple Unders'!A24</f>
        <v>20</v>
      </c>
      <c r="C2062" t="str">
        <f>'Triple Unders'!B24</f>
        <v>MTU</v>
      </c>
      <c r="D2062" t="str">
        <f>'Triple Unders'!C24</f>
        <v>15-18</v>
      </c>
      <c r="E2062">
        <f>'Triple Unders'!D24</f>
        <v>0</v>
      </c>
      <c r="I2062" t="str">
        <f t="shared" si="80"/>
        <v>MTU-Male Triple Unders</v>
      </c>
    </row>
    <row r="2063" spans="1:9" x14ac:dyDescent="0.25">
      <c r="A2063">
        <f>'Team Info'!$B$3</f>
        <v>0</v>
      </c>
      <c r="B2063">
        <f>'Triple Unders'!H5</f>
        <v>1</v>
      </c>
      <c r="C2063" t="str">
        <f>'Triple Unders'!I5</f>
        <v>MTU</v>
      </c>
      <c r="D2063" t="str">
        <f>'Triple Unders'!J5</f>
        <v>19-over</v>
      </c>
      <c r="E2063">
        <f>'Triple Unders'!K5</f>
        <v>0</v>
      </c>
      <c r="I2063" t="str">
        <f t="shared" si="78"/>
        <v>MTU-Male Triple Unders</v>
      </c>
    </row>
    <row r="2064" spans="1:9" x14ac:dyDescent="0.25">
      <c r="A2064">
        <f>'Team Info'!$B$3</f>
        <v>0</v>
      </c>
      <c r="B2064">
        <f>'Triple Unders'!H6</f>
        <v>2</v>
      </c>
      <c r="C2064" t="str">
        <f>'Triple Unders'!I6</f>
        <v>MTU</v>
      </c>
      <c r="D2064" t="str">
        <f>'Triple Unders'!J6</f>
        <v>19-over</v>
      </c>
      <c r="E2064">
        <f>'Triple Unders'!K6</f>
        <v>0</v>
      </c>
      <c r="I2064" t="str">
        <f t="shared" si="78"/>
        <v>MTU-Male Triple Unders</v>
      </c>
    </row>
    <row r="2065" spans="1:9" x14ac:dyDescent="0.25">
      <c r="A2065">
        <f>'Team Info'!$B$3</f>
        <v>0</v>
      </c>
      <c r="B2065">
        <f>'Triple Unders'!H7</f>
        <v>3</v>
      </c>
      <c r="C2065" t="str">
        <f>'Triple Unders'!I7</f>
        <v>MTU</v>
      </c>
      <c r="D2065" t="str">
        <f>'Triple Unders'!J7</f>
        <v>19-over</v>
      </c>
      <c r="E2065">
        <f>'Triple Unders'!K7</f>
        <v>0</v>
      </c>
      <c r="I2065" t="str">
        <f t="shared" si="78"/>
        <v>MTU-Male Triple Unders</v>
      </c>
    </row>
    <row r="2066" spans="1:9" x14ac:dyDescent="0.25">
      <c r="A2066">
        <f>'Team Info'!$B$3</f>
        <v>0</v>
      </c>
      <c r="B2066">
        <f>'Triple Unders'!H8</f>
        <v>4</v>
      </c>
      <c r="C2066" t="str">
        <f>'Triple Unders'!I8</f>
        <v>MTU</v>
      </c>
      <c r="D2066" t="str">
        <f>'Triple Unders'!J8</f>
        <v>19-over</v>
      </c>
      <c r="E2066">
        <f>'Triple Unders'!K8</f>
        <v>0</v>
      </c>
      <c r="I2066" t="str">
        <f t="shared" si="78"/>
        <v>MTU-Male Triple Unders</v>
      </c>
    </row>
    <row r="2067" spans="1:9" x14ac:dyDescent="0.25">
      <c r="A2067">
        <f>'Team Info'!$B$3</f>
        <v>0</v>
      </c>
      <c r="B2067">
        <f>'Triple Unders'!H9</f>
        <v>5</v>
      </c>
      <c r="C2067" t="str">
        <f>'Triple Unders'!I9</f>
        <v>MTU</v>
      </c>
      <c r="D2067" t="str">
        <f>'Triple Unders'!J9</f>
        <v>19-over</v>
      </c>
      <c r="E2067">
        <f>'Triple Unders'!K9</f>
        <v>0</v>
      </c>
      <c r="I2067" t="str">
        <f t="shared" si="78"/>
        <v>MTU-Male Triple Unders</v>
      </c>
    </row>
    <row r="2068" spans="1:9" x14ac:dyDescent="0.25">
      <c r="A2068">
        <f>'Team Info'!$B$3</f>
        <v>0</v>
      </c>
      <c r="B2068">
        <f>'Triple Unders'!H10</f>
        <v>6</v>
      </c>
      <c r="C2068" t="str">
        <f>'Triple Unders'!I10</f>
        <v>MTU</v>
      </c>
      <c r="D2068" t="str">
        <f>'Triple Unders'!J10</f>
        <v>19-over</v>
      </c>
      <c r="E2068">
        <f>'Triple Unders'!K10</f>
        <v>0</v>
      </c>
      <c r="I2068" t="str">
        <f t="shared" si="78"/>
        <v>MTU-Male Triple Unders</v>
      </c>
    </row>
    <row r="2069" spans="1:9" x14ac:dyDescent="0.25">
      <c r="A2069">
        <f>'Team Info'!$B$3</f>
        <v>0</v>
      </c>
      <c r="B2069">
        <f>'Triple Unders'!H11</f>
        <v>7</v>
      </c>
      <c r="C2069" t="str">
        <f>'Triple Unders'!I11</f>
        <v>MTU</v>
      </c>
      <c r="D2069" t="str">
        <f>'Triple Unders'!J11</f>
        <v>19-over</v>
      </c>
      <c r="E2069">
        <f>'Triple Unders'!K11</f>
        <v>0</v>
      </c>
      <c r="I2069" t="str">
        <f t="shared" si="78"/>
        <v>MTU-Male Triple Unders</v>
      </c>
    </row>
    <row r="2070" spans="1:9" x14ac:dyDescent="0.25">
      <c r="A2070">
        <f>'Team Info'!$B$3</f>
        <v>0</v>
      </c>
      <c r="B2070">
        <f>'Triple Unders'!H12</f>
        <v>8</v>
      </c>
      <c r="C2070" t="str">
        <f>'Triple Unders'!I12</f>
        <v>MTU</v>
      </c>
      <c r="D2070" t="str">
        <f>'Triple Unders'!J12</f>
        <v>19-over</v>
      </c>
      <c r="E2070">
        <f>'Triple Unders'!K12</f>
        <v>0</v>
      </c>
      <c r="I2070" t="str">
        <f t="shared" si="78"/>
        <v>MTU-Male Triple Unders</v>
      </c>
    </row>
    <row r="2071" spans="1:9" x14ac:dyDescent="0.25">
      <c r="A2071">
        <f>'Team Info'!$B$3</f>
        <v>0</v>
      </c>
      <c r="B2071">
        <f>'Triple Unders'!H13</f>
        <v>9</v>
      </c>
      <c r="C2071" t="str">
        <f>'Triple Unders'!I13</f>
        <v>MTU</v>
      </c>
      <c r="D2071" t="str">
        <f>'Triple Unders'!J13</f>
        <v>19-over</v>
      </c>
      <c r="E2071">
        <f>'Triple Unders'!K13</f>
        <v>0</v>
      </c>
      <c r="I2071" t="str">
        <f t="shared" si="78"/>
        <v>MTU-Male Triple Unders</v>
      </c>
    </row>
    <row r="2072" spans="1:9" x14ac:dyDescent="0.25">
      <c r="A2072">
        <f>'Team Info'!$B$3</f>
        <v>0</v>
      </c>
      <c r="B2072">
        <f>'Triple Unders'!H14</f>
        <v>10</v>
      </c>
      <c r="C2072" t="str">
        <f>'Triple Unders'!I14</f>
        <v>MTU</v>
      </c>
      <c r="D2072" t="str">
        <f>'Triple Unders'!J14</f>
        <v>19-over</v>
      </c>
      <c r="E2072">
        <f>'Triple Unders'!K14</f>
        <v>0</v>
      </c>
      <c r="I2072" t="str">
        <f t="shared" si="78"/>
        <v>MTU-Male Triple Unders</v>
      </c>
    </row>
    <row r="2073" spans="1:9" x14ac:dyDescent="0.25">
      <c r="A2073">
        <f>'Team Info'!$B$3</f>
        <v>0</v>
      </c>
      <c r="B2073">
        <f>'Triple Unders'!H15</f>
        <v>11</v>
      </c>
      <c r="C2073" t="str">
        <f>'Triple Unders'!I15</f>
        <v>MTU</v>
      </c>
      <c r="D2073" t="str">
        <f>'Triple Unders'!J15</f>
        <v>19-over</v>
      </c>
      <c r="E2073">
        <f>'Triple Unders'!K15</f>
        <v>0</v>
      </c>
      <c r="I2073" t="str">
        <f t="shared" si="78"/>
        <v>MTU-Male Triple Unders</v>
      </c>
    </row>
    <row r="2074" spans="1:9" x14ac:dyDescent="0.25">
      <c r="A2074">
        <f>'Team Info'!$B$3</f>
        <v>0</v>
      </c>
      <c r="B2074">
        <f>'Triple Unders'!H16</f>
        <v>12</v>
      </c>
      <c r="C2074" t="str">
        <f>'Triple Unders'!I16</f>
        <v>MTU</v>
      </c>
      <c r="D2074" t="str">
        <f>'Triple Unders'!J16</f>
        <v>19-over</v>
      </c>
      <c r="E2074">
        <f>'Triple Unders'!K16</f>
        <v>0</v>
      </c>
      <c r="I2074" t="str">
        <f t="shared" si="78"/>
        <v>MTU-Male Triple Unders</v>
      </c>
    </row>
    <row r="2075" spans="1:9" x14ac:dyDescent="0.25">
      <c r="A2075">
        <f>'Team Info'!$B$3</f>
        <v>0</v>
      </c>
      <c r="B2075">
        <f>'Triple Unders'!H17</f>
        <v>13</v>
      </c>
      <c r="C2075" t="str">
        <f>'Triple Unders'!I17</f>
        <v>MTU</v>
      </c>
      <c r="D2075" t="str">
        <f>'Triple Unders'!J17</f>
        <v>19-over</v>
      </c>
      <c r="E2075">
        <f>'Triple Unders'!K17</f>
        <v>0</v>
      </c>
      <c r="I2075" t="str">
        <f t="shared" si="78"/>
        <v>MTU-Male Triple Unders</v>
      </c>
    </row>
    <row r="2076" spans="1:9" x14ac:dyDescent="0.25">
      <c r="A2076">
        <f>'Team Info'!$B$3</f>
        <v>0</v>
      </c>
      <c r="B2076">
        <f>'Triple Unders'!H18</f>
        <v>14</v>
      </c>
      <c r="C2076" t="str">
        <f>'Triple Unders'!I18</f>
        <v>MTU</v>
      </c>
      <c r="D2076" t="str">
        <f>'Triple Unders'!J18</f>
        <v>19-over</v>
      </c>
      <c r="E2076">
        <f>'Triple Unders'!K18</f>
        <v>0</v>
      </c>
      <c r="I2076" t="str">
        <f t="shared" si="78"/>
        <v>MTU-Male Triple Unders</v>
      </c>
    </row>
    <row r="2077" spans="1:9" x14ac:dyDescent="0.25">
      <c r="A2077">
        <f>'Team Info'!$B$3</f>
        <v>0</v>
      </c>
      <c r="B2077">
        <f>'Triple Unders'!H19</f>
        <v>15</v>
      </c>
      <c r="C2077" t="str">
        <f>'Triple Unders'!I19</f>
        <v>MTU</v>
      </c>
      <c r="D2077" t="str">
        <f>'Triple Unders'!J19</f>
        <v>19-over</v>
      </c>
      <c r="E2077">
        <f>'Triple Unders'!K19</f>
        <v>0</v>
      </c>
      <c r="I2077" t="str">
        <f t="shared" si="78"/>
        <v>MTU-Male Triple Unders</v>
      </c>
    </row>
    <row r="2078" spans="1:9" x14ac:dyDescent="0.25">
      <c r="A2078">
        <f>'Team Info'!$B$3</f>
        <v>0</v>
      </c>
      <c r="B2078">
        <f>'Triple Unders'!H20</f>
        <v>16</v>
      </c>
      <c r="C2078" t="str">
        <f>'Triple Unders'!I20</f>
        <v>MTU</v>
      </c>
      <c r="D2078" t="str">
        <f>'Triple Unders'!J20</f>
        <v>19-over</v>
      </c>
      <c r="E2078">
        <f>'Triple Unders'!K20</f>
        <v>0</v>
      </c>
      <c r="I2078" t="str">
        <f t="shared" si="78"/>
        <v>MTU-Male Triple Unders</v>
      </c>
    </row>
    <row r="2079" spans="1:9" x14ac:dyDescent="0.25">
      <c r="A2079">
        <f>'Team Info'!$B$3</f>
        <v>0</v>
      </c>
      <c r="B2079">
        <f>'Triple Unders'!H21</f>
        <v>17</v>
      </c>
      <c r="C2079" t="str">
        <f>'Triple Unders'!I21</f>
        <v>MTU</v>
      </c>
      <c r="D2079" t="str">
        <f>'Triple Unders'!J21</f>
        <v>19-over</v>
      </c>
      <c r="E2079">
        <f>'Triple Unders'!K21</f>
        <v>0</v>
      </c>
      <c r="I2079" t="str">
        <f t="shared" ref="I2079:I2082" si="81">VLOOKUP(C2079,EVENTS,2,FALSE)</f>
        <v>MTU-Male Triple Unders</v>
      </c>
    </row>
    <row r="2080" spans="1:9" x14ac:dyDescent="0.25">
      <c r="A2080">
        <f>'Team Info'!$B$3</f>
        <v>0</v>
      </c>
      <c r="B2080">
        <f>'Triple Unders'!H22</f>
        <v>16</v>
      </c>
      <c r="C2080" t="str">
        <f>'Triple Unders'!I22</f>
        <v>MTU</v>
      </c>
      <c r="D2080" t="str">
        <f>'Triple Unders'!J22</f>
        <v>19-over</v>
      </c>
      <c r="E2080">
        <f>'Triple Unders'!K22</f>
        <v>0</v>
      </c>
      <c r="I2080" t="str">
        <f t="shared" si="81"/>
        <v>MTU-Male Triple Unders</v>
      </c>
    </row>
    <row r="2081" spans="1:9" x14ac:dyDescent="0.25">
      <c r="A2081">
        <f>'Team Info'!$B$3</f>
        <v>0</v>
      </c>
      <c r="B2081">
        <f>'Triple Unders'!H23</f>
        <v>19</v>
      </c>
      <c r="C2081" t="str">
        <f>'Triple Unders'!I23</f>
        <v>MTU</v>
      </c>
      <c r="D2081" t="str">
        <f>'Triple Unders'!J23</f>
        <v>19-over</v>
      </c>
      <c r="E2081">
        <f>'Triple Unders'!K23</f>
        <v>0</v>
      </c>
      <c r="I2081" t="str">
        <f t="shared" si="81"/>
        <v>MTU-Male Triple Unders</v>
      </c>
    </row>
    <row r="2082" spans="1:9" x14ac:dyDescent="0.25">
      <c r="A2082">
        <f>'Team Info'!$B$3</f>
        <v>0</v>
      </c>
      <c r="B2082">
        <f>'Triple Unders'!H24</f>
        <v>20</v>
      </c>
      <c r="C2082" t="str">
        <f>'Triple Unders'!I24</f>
        <v>MTU</v>
      </c>
      <c r="D2082" t="str">
        <f>'Triple Unders'!J24</f>
        <v>19-over</v>
      </c>
      <c r="E2082">
        <f>'Triple Unders'!K24</f>
        <v>0</v>
      </c>
      <c r="I2082" t="str">
        <f t="shared" si="81"/>
        <v>MTU-Male Triple Unders</v>
      </c>
    </row>
    <row r="2083" spans="1:9" x14ac:dyDescent="0.25">
      <c r="A2083">
        <f>'Team Info'!$B$3</f>
        <v>0</v>
      </c>
      <c r="B2083">
        <f>'Single Rope Pairs Freestyle'!A6</f>
        <v>1</v>
      </c>
      <c r="C2083" t="str">
        <f>'Single Rope Pairs Freestyle'!B6</f>
        <v>SRPF</v>
      </c>
      <c r="D2083" t="str">
        <f>'Single Rope Pairs Freestyle'!C6</f>
        <v>10-under</v>
      </c>
      <c r="E2083">
        <f>'Single Rope Pairs Freestyle'!D6</f>
        <v>0</v>
      </c>
      <c r="F2083">
        <f>'Single Rope Pairs Freestyle'!F6</f>
        <v>0</v>
      </c>
      <c r="G2083" s="34"/>
      <c r="H2083" s="34"/>
      <c r="I2083" t="str">
        <f t="shared" si="78"/>
        <v>SRPF-Single Rope Pairs Freestyle</v>
      </c>
    </row>
    <row r="2084" spans="1:9" x14ac:dyDescent="0.25">
      <c r="A2084">
        <f>'Team Info'!$B$3</f>
        <v>0</v>
      </c>
      <c r="B2084">
        <f>'Single Rope Pairs Freestyle'!A7</f>
        <v>2</v>
      </c>
      <c r="C2084" t="str">
        <f>'Single Rope Pairs Freestyle'!B7</f>
        <v>SRPF</v>
      </c>
      <c r="D2084" t="str">
        <f>'Single Rope Pairs Freestyle'!C7</f>
        <v>10-under</v>
      </c>
      <c r="E2084">
        <f>'Single Rope Pairs Freestyle'!D7</f>
        <v>0</v>
      </c>
      <c r="F2084">
        <f>'Single Rope Pairs Freestyle'!F7</f>
        <v>0</v>
      </c>
      <c r="G2084" s="34"/>
      <c r="H2084" s="34"/>
      <c r="I2084" t="str">
        <f t="shared" si="78"/>
        <v>SRPF-Single Rope Pairs Freestyle</v>
      </c>
    </row>
    <row r="2085" spans="1:9" x14ac:dyDescent="0.25">
      <c r="A2085">
        <f>'Team Info'!$B$3</f>
        <v>0</v>
      </c>
      <c r="B2085">
        <f>'Single Rope Pairs Freestyle'!A8</f>
        <v>3</v>
      </c>
      <c r="C2085" t="str">
        <f>'Single Rope Pairs Freestyle'!B8</f>
        <v>SRPF</v>
      </c>
      <c r="D2085" t="str">
        <f>'Single Rope Pairs Freestyle'!C8</f>
        <v>10-under</v>
      </c>
      <c r="E2085">
        <f>'Single Rope Pairs Freestyle'!D8</f>
        <v>0</v>
      </c>
      <c r="F2085">
        <f>'Single Rope Pairs Freestyle'!F8</f>
        <v>0</v>
      </c>
      <c r="G2085" s="34"/>
      <c r="H2085" s="34"/>
      <c r="I2085" t="str">
        <f t="shared" si="78"/>
        <v>SRPF-Single Rope Pairs Freestyle</v>
      </c>
    </row>
    <row r="2086" spans="1:9" x14ac:dyDescent="0.25">
      <c r="A2086">
        <f>'Team Info'!$B$3</f>
        <v>0</v>
      </c>
      <c r="B2086">
        <f>'Single Rope Pairs Freestyle'!A9</f>
        <v>4</v>
      </c>
      <c r="C2086" t="str">
        <f>'Single Rope Pairs Freestyle'!B9</f>
        <v>SRPF</v>
      </c>
      <c r="D2086" t="str">
        <f>'Single Rope Pairs Freestyle'!C9</f>
        <v>10-under</v>
      </c>
      <c r="E2086">
        <f>'Single Rope Pairs Freestyle'!D9</f>
        <v>0</v>
      </c>
      <c r="F2086">
        <f>'Single Rope Pairs Freestyle'!F9</f>
        <v>0</v>
      </c>
      <c r="G2086" s="34"/>
      <c r="H2086" s="34"/>
      <c r="I2086" t="str">
        <f t="shared" si="78"/>
        <v>SRPF-Single Rope Pairs Freestyle</v>
      </c>
    </row>
    <row r="2087" spans="1:9" x14ac:dyDescent="0.25">
      <c r="A2087">
        <f>'Team Info'!$B$3</f>
        <v>0</v>
      </c>
      <c r="B2087">
        <f>'Single Rope Pairs Freestyle'!A10</f>
        <v>5</v>
      </c>
      <c r="C2087" t="str">
        <f>'Single Rope Pairs Freestyle'!B10</f>
        <v>SRPF</v>
      </c>
      <c r="D2087" t="str">
        <f>'Single Rope Pairs Freestyle'!C10</f>
        <v>10-under</v>
      </c>
      <c r="E2087">
        <f>'Single Rope Pairs Freestyle'!D10</f>
        <v>0</v>
      </c>
      <c r="F2087">
        <f>'Single Rope Pairs Freestyle'!F10</f>
        <v>0</v>
      </c>
      <c r="G2087" s="34"/>
      <c r="H2087" s="34"/>
      <c r="I2087" t="str">
        <f t="shared" si="78"/>
        <v>SRPF-Single Rope Pairs Freestyle</v>
      </c>
    </row>
    <row r="2088" spans="1:9" x14ac:dyDescent="0.25">
      <c r="A2088">
        <f>'Team Info'!$B$3</f>
        <v>0</v>
      </c>
      <c r="B2088">
        <f>'Single Rope Pairs Freestyle'!A11</f>
        <v>6</v>
      </c>
      <c r="C2088" t="str">
        <f>'Single Rope Pairs Freestyle'!B11</f>
        <v>SRPF</v>
      </c>
      <c r="D2088" t="str">
        <f>'Single Rope Pairs Freestyle'!C11</f>
        <v>10-under</v>
      </c>
      <c r="E2088">
        <f>'Single Rope Pairs Freestyle'!D11</f>
        <v>0</v>
      </c>
      <c r="F2088">
        <f>'Single Rope Pairs Freestyle'!F11</f>
        <v>0</v>
      </c>
      <c r="G2088" s="34"/>
      <c r="H2088" s="34"/>
      <c r="I2088" t="str">
        <f t="shared" si="78"/>
        <v>SRPF-Single Rope Pairs Freestyle</v>
      </c>
    </row>
    <row r="2089" spans="1:9" x14ac:dyDescent="0.25">
      <c r="A2089">
        <f>'Team Info'!$B$3</f>
        <v>0</v>
      </c>
      <c r="B2089">
        <f>'Single Rope Pairs Freestyle'!A12</f>
        <v>7</v>
      </c>
      <c r="C2089" t="str">
        <f>'Single Rope Pairs Freestyle'!B12</f>
        <v>SRPF</v>
      </c>
      <c r="D2089" t="str">
        <f>'Single Rope Pairs Freestyle'!C12</f>
        <v>10-under</v>
      </c>
      <c r="E2089">
        <f>'Single Rope Pairs Freestyle'!D12</f>
        <v>0</v>
      </c>
      <c r="F2089">
        <f>'Single Rope Pairs Freestyle'!F12</f>
        <v>0</v>
      </c>
      <c r="G2089" s="34"/>
      <c r="H2089" s="34"/>
      <c r="I2089" t="str">
        <f t="shared" si="78"/>
        <v>SRPF-Single Rope Pairs Freestyle</v>
      </c>
    </row>
    <row r="2090" spans="1:9" x14ac:dyDescent="0.25">
      <c r="A2090">
        <f>'Team Info'!$B$3</f>
        <v>0</v>
      </c>
      <c r="B2090">
        <f>'Single Rope Pairs Freestyle'!A13</f>
        <v>8</v>
      </c>
      <c r="C2090" t="str">
        <f>'Single Rope Pairs Freestyle'!B13</f>
        <v>SRPF</v>
      </c>
      <c r="D2090" t="str">
        <f>'Single Rope Pairs Freestyle'!C13</f>
        <v>10-under</v>
      </c>
      <c r="E2090">
        <f>'Single Rope Pairs Freestyle'!D13</f>
        <v>0</v>
      </c>
      <c r="F2090">
        <f>'Single Rope Pairs Freestyle'!F13</f>
        <v>0</v>
      </c>
      <c r="G2090" s="34"/>
      <c r="H2090" s="34"/>
      <c r="I2090" t="str">
        <f t="shared" si="78"/>
        <v>SRPF-Single Rope Pairs Freestyle</v>
      </c>
    </row>
    <row r="2091" spans="1:9" x14ac:dyDescent="0.25">
      <c r="A2091">
        <f>'Team Info'!$B$3</f>
        <v>0</v>
      </c>
      <c r="B2091">
        <f>'Single Rope Pairs Freestyle'!A14</f>
        <v>9</v>
      </c>
      <c r="C2091" t="str">
        <f>'Single Rope Pairs Freestyle'!B14</f>
        <v>SRPF</v>
      </c>
      <c r="D2091" t="str">
        <f>'Single Rope Pairs Freestyle'!C14</f>
        <v>10-under</v>
      </c>
      <c r="E2091">
        <f>'Single Rope Pairs Freestyle'!D14</f>
        <v>0</v>
      </c>
      <c r="F2091">
        <f>'Single Rope Pairs Freestyle'!F14</f>
        <v>0</v>
      </c>
      <c r="G2091" s="34"/>
      <c r="H2091" s="34"/>
      <c r="I2091" t="str">
        <f t="shared" si="78"/>
        <v>SRPF-Single Rope Pairs Freestyle</v>
      </c>
    </row>
    <row r="2092" spans="1:9" x14ac:dyDescent="0.25">
      <c r="A2092">
        <f>'Team Info'!$B$3</f>
        <v>0</v>
      </c>
      <c r="B2092">
        <f>'Single Rope Pairs Freestyle'!A15</f>
        <v>10</v>
      </c>
      <c r="C2092" t="str">
        <f>'Single Rope Pairs Freestyle'!B15</f>
        <v>SRPF</v>
      </c>
      <c r="D2092" t="str">
        <f>'Single Rope Pairs Freestyle'!C15</f>
        <v>10-under</v>
      </c>
      <c r="E2092">
        <f>'Single Rope Pairs Freestyle'!D15</f>
        <v>0</v>
      </c>
      <c r="F2092">
        <f>'Single Rope Pairs Freestyle'!F15</f>
        <v>0</v>
      </c>
      <c r="G2092" s="34"/>
      <c r="H2092" s="34"/>
      <c r="I2092" t="str">
        <f t="shared" si="78"/>
        <v>SRPF-Single Rope Pairs Freestyle</v>
      </c>
    </row>
    <row r="2093" spans="1:9" x14ac:dyDescent="0.25">
      <c r="A2093">
        <f>'Team Info'!$B$3</f>
        <v>0</v>
      </c>
      <c r="B2093">
        <f>'Single Rope Pairs Freestyle'!A16</f>
        <v>11</v>
      </c>
      <c r="C2093" t="str">
        <f>'Single Rope Pairs Freestyle'!B16</f>
        <v>SRPF</v>
      </c>
      <c r="D2093" t="str">
        <f>'Single Rope Pairs Freestyle'!C16</f>
        <v>10-under</v>
      </c>
      <c r="E2093">
        <f>'Single Rope Pairs Freestyle'!D16</f>
        <v>0</v>
      </c>
      <c r="F2093">
        <f>'Single Rope Pairs Freestyle'!F16</f>
        <v>0</v>
      </c>
      <c r="G2093" s="34"/>
      <c r="H2093" s="34"/>
      <c r="I2093" t="str">
        <f t="shared" si="78"/>
        <v>SRPF-Single Rope Pairs Freestyle</v>
      </c>
    </row>
    <row r="2094" spans="1:9" x14ac:dyDescent="0.25">
      <c r="A2094">
        <f>'Team Info'!$B$3</f>
        <v>0</v>
      </c>
      <c r="B2094">
        <f>'Single Rope Pairs Freestyle'!A17</f>
        <v>12</v>
      </c>
      <c r="C2094" t="str">
        <f>'Single Rope Pairs Freestyle'!B17</f>
        <v>SRPF</v>
      </c>
      <c r="D2094" t="str">
        <f>'Single Rope Pairs Freestyle'!C17</f>
        <v>10-under</v>
      </c>
      <c r="E2094">
        <f>'Single Rope Pairs Freestyle'!D17</f>
        <v>0</v>
      </c>
      <c r="F2094">
        <f>'Single Rope Pairs Freestyle'!F17</f>
        <v>0</v>
      </c>
      <c r="G2094" s="34"/>
      <c r="H2094" s="34"/>
      <c r="I2094" t="str">
        <f t="shared" si="78"/>
        <v>SRPF-Single Rope Pairs Freestyle</v>
      </c>
    </row>
    <row r="2095" spans="1:9" x14ac:dyDescent="0.25">
      <c r="A2095">
        <f>'Team Info'!$B$3</f>
        <v>0</v>
      </c>
      <c r="B2095">
        <f>'Single Rope Pairs Freestyle'!A18</f>
        <v>13</v>
      </c>
      <c r="C2095" t="str">
        <f>'Single Rope Pairs Freestyle'!B18</f>
        <v>SRPF</v>
      </c>
      <c r="D2095" t="str">
        <f>'Single Rope Pairs Freestyle'!C18</f>
        <v>10-under</v>
      </c>
      <c r="E2095">
        <f>'Single Rope Pairs Freestyle'!D18</f>
        <v>0</v>
      </c>
      <c r="F2095">
        <f>'Single Rope Pairs Freestyle'!F18</f>
        <v>0</v>
      </c>
      <c r="G2095" s="34"/>
      <c r="H2095" s="34"/>
      <c r="I2095" t="str">
        <f t="shared" si="78"/>
        <v>SRPF-Single Rope Pairs Freestyle</v>
      </c>
    </row>
    <row r="2096" spans="1:9" x14ac:dyDescent="0.25">
      <c r="A2096">
        <f>'Team Info'!$B$3</f>
        <v>0</v>
      </c>
      <c r="B2096">
        <f>'Single Rope Pairs Freestyle'!A19</f>
        <v>14</v>
      </c>
      <c r="C2096" t="str">
        <f>'Single Rope Pairs Freestyle'!B19</f>
        <v>SRPF</v>
      </c>
      <c r="D2096" t="str">
        <f>'Single Rope Pairs Freestyle'!C19</f>
        <v>10-under</v>
      </c>
      <c r="E2096">
        <f>'Single Rope Pairs Freestyle'!D19</f>
        <v>0</v>
      </c>
      <c r="F2096">
        <f>'Single Rope Pairs Freestyle'!F19</f>
        <v>0</v>
      </c>
      <c r="G2096" s="34"/>
      <c r="H2096" s="34"/>
      <c r="I2096" t="str">
        <f t="shared" ref="I2096:I2185" si="82">VLOOKUP(C2096,EVENTS,2,FALSE)</f>
        <v>SRPF-Single Rope Pairs Freestyle</v>
      </c>
    </row>
    <row r="2097" spans="1:9" x14ac:dyDescent="0.25">
      <c r="A2097">
        <f>'Team Info'!$B$3</f>
        <v>0</v>
      </c>
      <c r="B2097">
        <f>'Single Rope Pairs Freestyle'!A20</f>
        <v>15</v>
      </c>
      <c r="C2097" t="str">
        <f>'Single Rope Pairs Freestyle'!B20</f>
        <v>SRPF</v>
      </c>
      <c r="D2097" t="str">
        <f>'Single Rope Pairs Freestyle'!C20</f>
        <v>10-under</v>
      </c>
      <c r="E2097">
        <f>'Single Rope Pairs Freestyle'!D20</f>
        <v>0</v>
      </c>
      <c r="F2097">
        <f>'Single Rope Pairs Freestyle'!F20</f>
        <v>0</v>
      </c>
      <c r="G2097" s="34"/>
      <c r="H2097" s="34"/>
      <c r="I2097" t="str">
        <f t="shared" si="82"/>
        <v>SRPF-Single Rope Pairs Freestyle</v>
      </c>
    </row>
    <row r="2098" spans="1:9" x14ac:dyDescent="0.25">
      <c r="A2098">
        <f>'Team Info'!$B$3</f>
        <v>0</v>
      </c>
      <c r="B2098">
        <f>'Single Rope Pairs Freestyle'!A21</f>
        <v>16</v>
      </c>
      <c r="C2098" t="str">
        <f>'Single Rope Pairs Freestyle'!B21</f>
        <v>SRPF</v>
      </c>
      <c r="D2098" t="str">
        <f>'Single Rope Pairs Freestyle'!C21</f>
        <v>10-under</v>
      </c>
      <c r="E2098">
        <f>'Single Rope Pairs Freestyle'!D21</f>
        <v>0</v>
      </c>
      <c r="F2098">
        <f>'Single Rope Pairs Freestyle'!F21</f>
        <v>0</v>
      </c>
      <c r="G2098" s="34"/>
      <c r="H2098" s="34"/>
      <c r="I2098" t="str">
        <f t="shared" si="82"/>
        <v>SRPF-Single Rope Pairs Freestyle</v>
      </c>
    </row>
    <row r="2099" spans="1:9" x14ac:dyDescent="0.25">
      <c r="A2099">
        <f>'Team Info'!$B$3</f>
        <v>0</v>
      </c>
      <c r="B2099">
        <f>'Single Rope Pairs Freestyle'!A22</f>
        <v>17</v>
      </c>
      <c r="C2099" t="str">
        <f>'Single Rope Pairs Freestyle'!B22</f>
        <v>SRPF</v>
      </c>
      <c r="D2099" t="str">
        <f>'Single Rope Pairs Freestyle'!C22</f>
        <v>10-under</v>
      </c>
      <c r="E2099">
        <f>'Single Rope Pairs Freestyle'!D22</f>
        <v>0</v>
      </c>
      <c r="F2099">
        <f>'Single Rope Pairs Freestyle'!F22</f>
        <v>0</v>
      </c>
      <c r="G2099" s="34"/>
      <c r="H2099" s="34"/>
      <c r="I2099" t="str">
        <f t="shared" ref="I2099:I2102" si="83">VLOOKUP(C2099,EVENTS,2,FALSE)</f>
        <v>SRPF-Single Rope Pairs Freestyle</v>
      </c>
    </row>
    <row r="2100" spans="1:9" x14ac:dyDescent="0.25">
      <c r="A2100">
        <f>'Team Info'!$B$3</f>
        <v>0</v>
      </c>
      <c r="B2100">
        <f>'Single Rope Pairs Freestyle'!A23</f>
        <v>18</v>
      </c>
      <c r="C2100" t="str">
        <f>'Single Rope Pairs Freestyle'!B23</f>
        <v>SRPF</v>
      </c>
      <c r="D2100" t="str">
        <f>'Single Rope Pairs Freestyle'!C23</f>
        <v>10-under</v>
      </c>
      <c r="E2100">
        <f>'Single Rope Pairs Freestyle'!D23</f>
        <v>0</v>
      </c>
      <c r="F2100">
        <f>'Single Rope Pairs Freestyle'!F23</f>
        <v>0</v>
      </c>
      <c r="G2100" s="34"/>
      <c r="H2100" s="34"/>
      <c r="I2100" t="str">
        <f t="shared" si="83"/>
        <v>SRPF-Single Rope Pairs Freestyle</v>
      </c>
    </row>
    <row r="2101" spans="1:9" x14ac:dyDescent="0.25">
      <c r="A2101">
        <f>'Team Info'!$B$3</f>
        <v>0</v>
      </c>
      <c r="B2101">
        <f>'Single Rope Pairs Freestyle'!A24</f>
        <v>19</v>
      </c>
      <c r="C2101" t="str">
        <f>'Single Rope Pairs Freestyle'!B24</f>
        <v>SRPF</v>
      </c>
      <c r="D2101" t="str">
        <f>'Single Rope Pairs Freestyle'!C24</f>
        <v>10-under</v>
      </c>
      <c r="E2101">
        <f>'Single Rope Pairs Freestyle'!D24</f>
        <v>0</v>
      </c>
      <c r="F2101">
        <f>'Single Rope Pairs Freestyle'!F24</f>
        <v>0</v>
      </c>
      <c r="G2101" s="34"/>
      <c r="H2101" s="34"/>
      <c r="I2101" t="str">
        <f t="shared" si="83"/>
        <v>SRPF-Single Rope Pairs Freestyle</v>
      </c>
    </row>
    <row r="2102" spans="1:9" x14ac:dyDescent="0.25">
      <c r="A2102">
        <f>'Team Info'!$B$3</f>
        <v>0</v>
      </c>
      <c r="B2102">
        <f>'Single Rope Pairs Freestyle'!A25</f>
        <v>20</v>
      </c>
      <c r="C2102" t="str">
        <f>'Single Rope Pairs Freestyle'!B25</f>
        <v>SRPF</v>
      </c>
      <c r="D2102" t="str">
        <f>'Single Rope Pairs Freestyle'!C25</f>
        <v>10-under</v>
      </c>
      <c r="E2102">
        <f>'Single Rope Pairs Freestyle'!D25</f>
        <v>0</v>
      </c>
      <c r="F2102">
        <f>'Single Rope Pairs Freestyle'!F25</f>
        <v>0</v>
      </c>
      <c r="G2102" s="34"/>
      <c r="H2102" s="34"/>
      <c r="I2102" t="str">
        <f t="shared" si="83"/>
        <v>SRPF-Single Rope Pairs Freestyle</v>
      </c>
    </row>
    <row r="2103" spans="1:9" x14ac:dyDescent="0.25">
      <c r="A2103">
        <f>'Team Info'!$B$3</f>
        <v>0</v>
      </c>
      <c r="B2103">
        <f>'Single Rope Pairs Freestyle'!A29</f>
        <v>1</v>
      </c>
      <c r="C2103" t="str">
        <f>'Single Rope Pairs Freestyle'!B29</f>
        <v>SRPF</v>
      </c>
      <c r="D2103" t="str">
        <f>'Single Rope Pairs Freestyle'!C29</f>
        <v>11-12</v>
      </c>
      <c r="E2103">
        <f>'Single Rope Pairs Freestyle'!D29</f>
        <v>0</v>
      </c>
      <c r="F2103">
        <f>'Single Rope Pairs Freestyle'!F29</f>
        <v>0</v>
      </c>
      <c r="G2103" s="34"/>
      <c r="H2103" s="34"/>
      <c r="I2103" t="str">
        <f t="shared" si="82"/>
        <v>SRPF-Single Rope Pairs Freestyle</v>
      </c>
    </row>
    <row r="2104" spans="1:9" x14ac:dyDescent="0.25">
      <c r="A2104">
        <f>'Team Info'!$B$3</f>
        <v>0</v>
      </c>
      <c r="B2104">
        <f>'Single Rope Pairs Freestyle'!A30</f>
        <v>2</v>
      </c>
      <c r="C2104" t="str">
        <f>'Single Rope Pairs Freestyle'!B30</f>
        <v>SRPF</v>
      </c>
      <c r="D2104" t="str">
        <f>'Single Rope Pairs Freestyle'!C30</f>
        <v>11-12</v>
      </c>
      <c r="E2104">
        <f>'Single Rope Pairs Freestyle'!D30</f>
        <v>0</v>
      </c>
      <c r="F2104">
        <f>'Single Rope Pairs Freestyle'!F30</f>
        <v>0</v>
      </c>
      <c r="G2104" s="34"/>
      <c r="H2104" s="34"/>
      <c r="I2104" t="str">
        <f t="shared" si="82"/>
        <v>SRPF-Single Rope Pairs Freestyle</v>
      </c>
    </row>
    <row r="2105" spans="1:9" x14ac:dyDescent="0.25">
      <c r="A2105">
        <f>'Team Info'!$B$3</f>
        <v>0</v>
      </c>
      <c r="B2105">
        <f>'Single Rope Pairs Freestyle'!A31</f>
        <v>3</v>
      </c>
      <c r="C2105" t="str">
        <f>'Single Rope Pairs Freestyle'!B31</f>
        <v>SRPF</v>
      </c>
      <c r="D2105" t="str">
        <f>'Single Rope Pairs Freestyle'!C31</f>
        <v>11-12</v>
      </c>
      <c r="E2105">
        <f>'Single Rope Pairs Freestyle'!D31</f>
        <v>0</v>
      </c>
      <c r="F2105">
        <f>'Single Rope Pairs Freestyle'!F31</f>
        <v>0</v>
      </c>
      <c r="G2105" s="34"/>
      <c r="H2105" s="34"/>
      <c r="I2105" t="str">
        <f t="shared" si="82"/>
        <v>SRPF-Single Rope Pairs Freestyle</v>
      </c>
    </row>
    <row r="2106" spans="1:9" x14ac:dyDescent="0.25">
      <c r="A2106">
        <f>'Team Info'!$B$3</f>
        <v>0</v>
      </c>
      <c r="B2106">
        <f>'Single Rope Pairs Freestyle'!A32</f>
        <v>4</v>
      </c>
      <c r="C2106" t="str">
        <f>'Single Rope Pairs Freestyle'!B32</f>
        <v>SRPF</v>
      </c>
      <c r="D2106" t="str">
        <f>'Single Rope Pairs Freestyle'!C32</f>
        <v>11-12</v>
      </c>
      <c r="E2106">
        <f>'Single Rope Pairs Freestyle'!D32</f>
        <v>0</v>
      </c>
      <c r="F2106">
        <f>'Single Rope Pairs Freestyle'!F32</f>
        <v>0</v>
      </c>
      <c r="G2106" s="34"/>
      <c r="H2106" s="34"/>
      <c r="I2106" t="str">
        <f t="shared" si="82"/>
        <v>SRPF-Single Rope Pairs Freestyle</v>
      </c>
    </row>
    <row r="2107" spans="1:9" x14ac:dyDescent="0.25">
      <c r="A2107">
        <f>'Team Info'!$B$3</f>
        <v>0</v>
      </c>
      <c r="B2107">
        <f>'Single Rope Pairs Freestyle'!A33</f>
        <v>5</v>
      </c>
      <c r="C2107" t="str">
        <f>'Single Rope Pairs Freestyle'!B33</f>
        <v>SRPF</v>
      </c>
      <c r="D2107" t="str">
        <f>'Single Rope Pairs Freestyle'!C33</f>
        <v>11-12</v>
      </c>
      <c r="E2107">
        <f>'Single Rope Pairs Freestyle'!D33</f>
        <v>0</v>
      </c>
      <c r="F2107">
        <f>'Single Rope Pairs Freestyle'!F33</f>
        <v>0</v>
      </c>
      <c r="G2107" s="34"/>
      <c r="H2107" s="34"/>
      <c r="I2107" t="str">
        <f t="shared" si="82"/>
        <v>SRPF-Single Rope Pairs Freestyle</v>
      </c>
    </row>
    <row r="2108" spans="1:9" x14ac:dyDescent="0.25">
      <c r="A2108">
        <f>'Team Info'!$B$3</f>
        <v>0</v>
      </c>
      <c r="B2108">
        <f>'Single Rope Pairs Freestyle'!A34</f>
        <v>6</v>
      </c>
      <c r="C2108" t="str">
        <f>'Single Rope Pairs Freestyle'!B34</f>
        <v>SRPF</v>
      </c>
      <c r="D2108" t="str">
        <f>'Single Rope Pairs Freestyle'!C34</f>
        <v>11-12</v>
      </c>
      <c r="E2108">
        <f>'Single Rope Pairs Freestyle'!D34</f>
        <v>0</v>
      </c>
      <c r="F2108">
        <f>'Single Rope Pairs Freestyle'!F34</f>
        <v>0</v>
      </c>
      <c r="G2108" s="34"/>
      <c r="H2108" s="34"/>
      <c r="I2108" t="str">
        <f t="shared" si="82"/>
        <v>SRPF-Single Rope Pairs Freestyle</v>
      </c>
    </row>
    <row r="2109" spans="1:9" x14ac:dyDescent="0.25">
      <c r="A2109">
        <f>'Team Info'!$B$3</f>
        <v>0</v>
      </c>
      <c r="B2109">
        <f>'Single Rope Pairs Freestyle'!A35</f>
        <v>7</v>
      </c>
      <c r="C2109" t="str">
        <f>'Single Rope Pairs Freestyle'!B35</f>
        <v>SRPF</v>
      </c>
      <c r="D2109" t="str">
        <f>'Single Rope Pairs Freestyle'!C35</f>
        <v>11-12</v>
      </c>
      <c r="E2109">
        <f>'Single Rope Pairs Freestyle'!D35</f>
        <v>0</v>
      </c>
      <c r="F2109">
        <f>'Single Rope Pairs Freestyle'!F35</f>
        <v>0</v>
      </c>
      <c r="G2109" s="34"/>
      <c r="H2109" s="34"/>
      <c r="I2109" t="str">
        <f t="shared" si="82"/>
        <v>SRPF-Single Rope Pairs Freestyle</v>
      </c>
    </row>
    <row r="2110" spans="1:9" x14ac:dyDescent="0.25">
      <c r="A2110">
        <f>'Team Info'!$B$3</f>
        <v>0</v>
      </c>
      <c r="B2110">
        <f>'Single Rope Pairs Freestyle'!A36</f>
        <v>8</v>
      </c>
      <c r="C2110" t="str">
        <f>'Single Rope Pairs Freestyle'!B36</f>
        <v>SRPF</v>
      </c>
      <c r="D2110" t="str">
        <f>'Single Rope Pairs Freestyle'!C36</f>
        <v>11-12</v>
      </c>
      <c r="E2110">
        <f>'Single Rope Pairs Freestyle'!D36</f>
        <v>0</v>
      </c>
      <c r="F2110">
        <f>'Single Rope Pairs Freestyle'!F36</f>
        <v>0</v>
      </c>
      <c r="G2110" s="34"/>
      <c r="H2110" s="34"/>
      <c r="I2110" t="str">
        <f t="shared" si="82"/>
        <v>SRPF-Single Rope Pairs Freestyle</v>
      </c>
    </row>
    <row r="2111" spans="1:9" x14ac:dyDescent="0.25">
      <c r="A2111">
        <f>'Team Info'!$B$3</f>
        <v>0</v>
      </c>
      <c r="B2111">
        <f>'Single Rope Pairs Freestyle'!A37</f>
        <v>9</v>
      </c>
      <c r="C2111" t="str">
        <f>'Single Rope Pairs Freestyle'!B37</f>
        <v>SRPF</v>
      </c>
      <c r="D2111" t="str">
        <f>'Single Rope Pairs Freestyle'!C37</f>
        <v>11-12</v>
      </c>
      <c r="E2111">
        <f>'Single Rope Pairs Freestyle'!D37</f>
        <v>0</v>
      </c>
      <c r="F2111">
        <f>'Single Rope Pairs Freestyle'!F37</f>
        <v>0</v>
      </c>
      <c r="G2111" s="34"/>
      <c r="H2111" s="34"/>
      <c r="I2111" t="str">
        <f t="shared" si="82"/>
        <v>SRPF-Single Rope Pairs Freestyle</v>
      </c>
    </row>
    <row r="2112" spans="1:9" x14ac:dyDescent="0.25">
      <c r="A2112">
        <f>'Team Info'!$B$3</f>
        <v>0</v>
      </c>
      <c r="B2112">
        <f>'Single Rope Pairs Freestyle'!A38</f>
        <v>10</v>
      </c>
      <c r="C2112" t="str">
        <f>'Single Rope Pairs Freestyle'!B38</f>
        <v>SRPF</v>
      </c>
      <c r="D2112" t="str">
        <f>'Single Rope Pairs Freestyle'!C38</f>
        <v>11-12</v>
      </c>
      <c r="E2112">
        <f>'Single Rope Pairs Freestyle'!D38</f>
        <v>0</v>
      </c>
      <c r="F2112">
        <f>'Single Rope Pairs Freestyle'!F38</f>
        <v>0</v>
      </c>
      <c r="G2112" s="34"/>
      <c r="H2112" s="34"/>
      <c r="I2112" t="str">
        <f t="shared" si="82"/>
        <v>SRPF-Single Rope Pairs Freestyle</v>
      </c>
    </row>
    <row r="2113" spans="1:9" x14ac:dyDescent="0.25">
      <c r="A2113">
        <f>'Team Info'!$B$3</f>
        <v>0</v>
      </c>
      <c r="B2113">
        <f>'Single Rope Pairs Freestyle'!A39</f>
        <v>11</v>
      </c>
      <c r="C2113" t="str">
        <f>'Single Rope Pairs Freestyle'!B39</f>
        <v>SRPF</v>
      </c>
      <c r="D2113" t="str">
        <f>'Single Rope Pairs Freestyle'!C39</f>
        <v>11-12</v>
      </c>
      <c r="E2113">
        <f>'Single Rope Pairs Freestyle'!D39</f>
        <v>0</v>
      </c>
      <c r="F2113">
        <f>'Single Rope Pairs Freestyle'!F39</f>
        <v>0</v>
      </c>
      <c r="G2113" s="34"/>
      <c r="H2113" s="34"/>
      <c r="I2113" t="str">
        <f t="shared" si="82"/>
        <v>SRPF-Single Rope Pairs Freestyle</v>
      </c>
    </row>
    <row r="2114" spans="1:9" x14ac:dyDescent="0.25">
      <c r="A2114">
        <f>'Team Info'!$B$3</f>
        <v>0</v>
      </c>
      <c r="B2114">
        <f>'Single Rope Pairs Freestyle'!A40</f>
        <v>12</v>
      </c>
      <c r="C2114" t="str">
        <f>'Single Rope Pairs Freestyle'!B40</f>
        <v>SRPF</v>
      </c>
      <c r="D2114" t="str">
        <f>'Single Rope Pairs Freestyle'!C40</f>
        <v>11-12</v>
      </c>
      <c r="E2114">
        <f>'Single Rope Pairs Freestyle'!D40</f>
        <v>0</v>
      </c>
      <c r="F2114">
        <f>'Single Rope Pairs Freestyle'!F40</f>
        <v>0</v>
      </c>
      <c r="G2114" s="34"/>
      <c r="H2114" s="34"/>
      <c r="I2114" t="str">
        <f t="shared" si="82"/>
        <v>SRPF-Single Rope Pairs Freestyle</v>
      </c>
    </row>
    <row r="2115" spans="1:9" x14ac:dyDescent="0.25">
      <c r="A2115">
        <f>'Team Info'!$B$3</f>
        <v>0</v>
      </c>
      <c r="B2115">
        <f>'Single Rope Pairs Freestyle'!A41</f>
        <v>13</v>
      </c>
      <c r="C2115" t="str">
        <f>'Single Rope Pairs Freestyle'!B41</f>
        <v>SRPF</v>
      </c>
      <c r="D2115" t="str">
        <f>'Single Rope Pairs Freestyle'!C41</f>
        <v>11-12</v>
      </c>
      <c r="E2115">
        <f>'Single Rope Pairs Freestyle'!D41</f>
        <v>0</v>
      </c>
      <c r="F2115">
        <f>'Single Rope Pairs Freestyle'!F41</f>
        <v>0</v>
      </c>
      <c r="G2115" s="34"/>
      <c r="H2115" s="34"/>
      <c r="I2115" t="str">
        <f t="shared" si="82"/>
        <v>SRPF-Single Rope Pairs Freestyle</v>
      </c>
    </row>
    <row r="2116" spans="1:9" x14ac:dyDescent="0.25">
      <c r="A2116">
        <f>'Team Info'!$B$3</f>
        <v>0</v>
      </c>
      <c r="B2116">
        <f>'Single Rope Pairs Freestyle'!A42</f>
        <v>14</v>
      </c>
      <c r="C2116" t="str">
        <f>'Single Rope Pairs Freestyle'!B42</f>
        <v>SRPF</v>
      </c>
      <c r="D2116" t="str">
        <f>'Single Rope Pairs Freestyle'!C42</f>
        <v>11-12</v>
      </c>
      <c r="E2116">
        <f>'Single Rope Pairs Freestyle'!D42</f>
        <v>0</v>
      </c>
      <c r="F2116">
        <f>'Single Rope Pairs Freestyle'!F42</f>
        <v>0</v>
      </c>
      <c r="G2116" s="34"/>
      <c r="H2116" s="34"/>
      <c r="I2116" t="str">
        <f t="shared" si="82"/>
        <v>SRPF-Single Rope Pairs Freestyle</v>
      </c>
    </row>
    <row r="2117" spans="1:9" x14ac:dyDescent="0.25">
      <c r="A2117">
        <f>'Team Info'!$B$3</f>
        <v>0</v>
      </c>
      <c r="B2117">
        <f>'Single Rope Pairs Freestyle'!A43</f>
        <v>15</v>
      </c>
      <c r="C2117" t="str">
        <f>'Single Rope Pairs Freestyle'!B43</f>
        <v>SRPF</v>
      </c>
      <c r="D2117" t="str">
        <f>'Single Rope Pairs Freestyle'!C43</f>
        <v>11-12</v>
      </c>
      <c r="E2117">
        <f>'Single Rope Pairs Freestyle'!D43</f>
        <v>0</v>
      </c>
      <c r="F2117">
        <f>'Single Rope Pairs Freestyle'!F43</f>
        <v>0</v>
      </c>
      <c r="G2117" s="34"/>
      <c r="H2117" s="34"/>
      <c r="I2117" t="str">
        <f t="shared" si="82"/>
        <v>SRPF-Single Rope Pairs Freestyle</v>
      </c>
    </row>
    <row r="2118" spans="1:9" x14ac:dyDescent="0.25">
      <c r="A2118">
        <f>'Team Info'!$B$3</f>
        <v>0</v>
      </c>
      <c r="B2118">
        <f>'Single Rope Pairs Freestyle'!A44</f>
        <v>16</v>
      </c>
      <c r="C2118" t="str">
        <f>'Single Rope Pairs Freestyle'!B44</f>
        <v>SRPF</v>
      </c>
      <c r="D2118" t="str">
        <f>'Single Rope Pairs Freestyle'!C44</f>
        <v>11-12</v>
      </c>
      <c r="E2118">
        <f>'Single Rope Pairs Freestyle'!D44</f>
        <v>0</v>
      </c>
      <c r="F2118">
        <f>'Single Rope Pairs Freestyle'!F44</f>
        <v>0</v>
      </c>
      <c r="G2118" s="34"/>
      <c r="H2118" s="34"/>
      <c r="I2118" t="str">
        <f t="shared" si="82"/>
        <v>SRPF-Single Rope Pairs Freestyle</v>
      </c>
    </row>
    <row r="2119" spans="1:9" x14ac:dyDescent="0.25">
      <c r="A2119">
        <f>'Team Info'!$B$3</f>
        <v>0</v>
      </c>
      <c r="B2119">
        <f>'Single Rope Pairs Freestyle'!A45</f>
        <v>17</v>
      </c>
      <c r="C2119" t="str">
        <f>'Single Rope Pairs Freestyle'!B45</f>
        <v>SRPF</v>
      </c>
      <c r="D2119" t="str">
        <f>'Single Rope Pairs Freestyle'!C45</f>
        <v>11-12</v>
      </c>
      <c r="E2119">
        <f>'Single Rope Pairs Freestyle'!D45</f>
        <v>0</v>
      </c>
      <c r="F2119">
        <f>'Single Rope Pairs Freestyle'!F45</f>
        <v>0</v>
      </c>
      <c r="G2119" s="34"/>
      <c r="H2119" s="34"/>
      <c r="I2119" t="str">
        <f t="shared" ref="I2119:I2122" si="84">VLOOKUP(C2119,EVENTS,2,FALSE)</f>
        <v>SRPF-Single Rope Pairs Freestyle</v>
      </c>
    </row>
    <row r="2120" spans="1:9" x14ac:dyDescent="0.25">
      <c r="A2120">
        <f>'Team Info'!$B$3</f>
        <v>0</v>
      </c>
      <c r="B2120">
        <f>'Single Rope Pairs Freestyle'!A46</f>
        <v>18</v>
      </c>
      <c r="C2120" t="str">
        <f>'Single Rope Pairs Freestyle'!B46</f>
        <v>SRPF</v>
      </c>
      <c r="D2120" t="str">
        <f>'Single Rope Pairs Freestyle'!C46</f>
        <v>11-12</v>
      </c>
      <c r="E2120">
        <f>'Single Rope Pairs Freestyle'!D46</f>
        <v>0</v>
      </c>
      <c r="F2120">
        <f>'Single Rope Pairs Freestyle'!F46</f>
        <v>0</v>
      </c>
      <c r="G2120" s="34"/>
      <c r="H2120" s="34"/>
      <c r="I2120" t="str">
        <f t="shared" si="84"/>
        <v>SRPF-Single Rope Pairs Freestyle</v>
      </c>
    </row>
    <row r="2121" spans="1:9" x14ac:dyDescent="0.25">
      <c r="A2121">
        <f>'Team Info'!$B$3</f>
        <v>0</v>
      </c>
      <c r="B2121">
        <f>'Single Rope Pairs Freestyle'!A47</f>
        <v>19</v>
      </c>
      <c r="C2121" t="str">
        <f>'Single Rope Pairs Freestyle'!B47</f>
        <v>SRPF</v>
      </c>
      <c r="D2121" t="str">
        <f>'Single Rope Pairs Freestyle'!C47</f>
        <v>11-12</v>
      </c>
      <c r="E2121">
        <f>'Single Rope Pairs Freestyle'!D47</f>
        <v>0</v>
      </c>
      <c r="F2121">
        <f>'Single Rope Pairs Freestyle'!F47</f>
        <v>0</v>
      </c>
      <c r="G2121" s="34"/>
      <c r="H2121" s="34"/>
      <c r="I2121" t="str">
        <f t="shared" si="84"/>
        <v>SRPF-Single Rope Pairs Freestyle</v>
      </c>
    </row>
    <row r="2122" spans="1:9" x14ac:dyDescent="0.25">
      <c r="A2122">
        <f>'Team Info'!$B$3</f>
        <v>0</v>
      </c>
      <c r="B2122">
        <f>'Single Rope Pairs Freestyle'!A48</f>
        <v>20</v>
      </c>
      <c r="C2122" t="str">
        <f>'Single Rope Pairs Freestyle'!B48</f>
        <v>SRPF</v>
      </c>
      <c r="D2122" t="str">
        <f>'Single Rope Pairs Freestyle'!C48</f>
        <v>11-12</v>
      </c>
      <c r="E2122">
        <f>'Single Rope Pairs Freestyle'!D48</f>
        <v>0</v>
      </c>
      <c r="F2122">
        <f>'Single Rope Pairs Freestyle'!F48</f>
        <v>0</v>
      </c>
      <c r="G2122" s="34"/>
      <c r="H2122" s="34"/>
      <c r="I2122" t="str">
        <f t="shared" si="84"/>
        <v>SRPF-Single Rope Pairs Freestyle</v>
      </c>
    </row>
    <row r="2123" spans="1:9" x14ac:dyDescent="0.25">
      <c r="A2123">
        <f>'Team Info'!$B$3</f>
        <v>0</v>
      </c>
      <c r="B2123">
        <f>'Single Rope Pairs Freestyle'!A52</f>
        <v>1</v>
      </c>
      <c r="C2123" t="str">
        <f>'Single Rope Pairs Freestyle'!B52</f>
        <v>SRPF</v>
      </c>
      <c r="D2123" t="str">
        <f>'Single Rope Pairs Freestyle'!C52</f>
        <v>13-14</v>
      </c>
      <c r="E2123">
        <f>'Single Rope Pairs Freestyle'!D52</f>
        <v>0</v>
      </c>
      <c r="F2123">
        <f>'Single Rope Pairs Freestyle'!F52</f>
        <v>0</v>
      </c>
      <c r="I2123" t="str">
        <f t="shared" si="82"/>
        <v>SRPF-Single Rope Pairs Freestyle</v>
      </c>
    </row>
    <row r="2124" spans="1:9" x14ac:dyDescent="0.25">
      <c r="A2124">
        <f>'Team Info'!$B$3</f>
        <v>0</v>
      </c>
      <c r="B2124">
        <f>'Single Rope Pairs Freestyle'!A53</f>
        <v>2</v>
      </c>
      <c r="C2124" t="str">
        <f>'Single Rope Pairs Freestyle'!B53</f>
        <v>SRPF</v>
      </c>
      <c r="D2124" t="str">
        <f>'Single Rope Pairs Freestyle'!C53</f>
        <v>13-14</v>
      </c>
      <c r="E2124">
        <f>'Single Rope Pairs Freestyle'!D53</f>
        <v>0</v>
      </c>
      <c r="F2124">
        <f>'Single Rope Pairs Freestyle'!F53</f>
        <v>0</v>
      </c>
      <c r="I2124" t="str">
        <f t="shared" si="82"/>
        <v>SRPF-Single Rope Pairs Freestyle</v>
      </c>
    </row>
    <row r="2125" spans="1:9" x14ac:dyDescent="0.25">
      <c r="A2125">
        <f>'Team Info'!$B$3</f>
        <v>0</v>
      </c>
      <c r="B2125">
        <f>'Single Rope Pairs Freestyle'!A54</f>
        <v>3</v>
      </c>
      <c r="C2125" t="str">
        <f>'Single Rope Pairs Freestyle'!B54</f>
        <v>SRPF</v>
      </c>
      <c r="D2125" t="str">
        <f>'Single Rope Pairs Freestyle'!C54</f>
        <v>13-14</v>
      </c>
      <c r="E2125">
        <f>'Single Rope Pairs Freestyle'!D54</f>
        <v>0</v>
      </c>
      <c r="F2125">
        <f>'Single Rope Pairs Freestyle'!F54</f>
        <v>0</v>
      </c>
      <c r="I2125" t="str">
        <f t="shared" si="82"/>
        <v>SRPF-Single Rope Pairs Freestyle</v>
      </c>
    </row>
    <row r="2126" spans="1:9" x14ac:dyDescent="0.25">
      <c r="A2126">
        <f>'Team Info'!$B$3</f>
        <v>0</v>
      </c>
      <c r="B2126">
        <f>'Single Rope Pairs Freestyle'!A55</f>
        <v>4</v>
      </c>
      <c r="C2126" t="str">
        <f>'Single Rope Pairs Freestyle'!B55</f>
        <v>SRPF</v>
      </c>
      <c r="D2126" t="str">
        <f>'Single Rope Pairs Freestyle'!C55</f>
        <v>13-14</v>
      </c>
      <c r="E2126">
        <f>'Single Rope Pairs Freestyle'!D55</f>
        <v>0</v>
      </c>
      <c r="F2126">
        <f>'Single Rope Pairs Freestyle'!F55</f>
        <v>0</v>
      </c>
      <c r="I2126" t="str">
        <f t="shared" si="82"/>
        <v>SRPF-Single Rope Pairs Freestyle</v>
      </c>
    </row>
    <row r="2127" spans="1:9" x14ac:dyDescent="0.25">
      <c r="A2127">
        <f>'Team Info'!$B$3</f>
        <v>0</v>
      </c>
      <c r="B2127">
        <f>'Single Rope Pairs Freestyle'!A56</f>
        <v>5</v>
      </c>
      <c r="C2127" t="str">
        <f>'Single Rope Pairs Freestyle'!B56</f>
        <v>SRPF</v>
      </c>
      <c r="D2127" t="str">
        <f>'Single Rope Pairs Freestyle'!C56</f>
        <v>13-14</v>
      </c>
      <c r="E2127">
        <f>'Single Rope Pairs Freestyle'!D56</f>
        <v>0</v>
      </c>
      <c r="F2127">
        <f>'Single Rope Pairs Freestyle'!F56</f>
        <v>0</v>
      </c>
      <c r="I2127" t="str">
        <f t="shared" si="82"/>
        <v>SRPF-Single Rope Pairs Freestyle</v>
      </c>
    </row>
    <row r="2128" spans="1:9" x14ac:dyDescent="0.25">
      <c r="A2128">
        <f>'Team Info'!$B$3</f>
        <v>0</v>
      </c>
      <c r="B2128">
        <f>'Single Rope Pairs Freestyle'!A57</f>
        <v>6</v>
      </c>
      <c r="C2128" t="str">
        <f>'Single Rope Pairs Freestyle'!B57</f>
        <v>SRPF</v>
      </c>
      <c r="D2128" t="str">
        <f>'Single Rope Pairs Freestyle'!C57</f>
        <v>13-14</v>
      </c>
      <c r="E2128">
        <f>'Single Rope Pairs Freestyle'!D57</f>
        <v>0</v>
      </c>
      <c r="F2128">
        <f>'Single Rope Pairs Freestyle'!F57</f>
        <v>0</v>
      </c>
      <c r="I2128" t="str">
        <f t="shared" si="82"/>
        <v>SRPF-Single Rope Pairs Freestyle</v>
      </c>
    </row>
    <row r="2129" spans="1:9" x14ac:dyDescent="0.25">
      <c r="A2129">
        <f>'Team Info'!$B$3</f>
        <v>0</v>
      </c>
      <c r="B2129">
        <f>'Single Rope Pairs Freestyle'!A58</f>
        <v>7</v>
      </c>
      <c r="C2129" t="str">
        <f>'Single Rope Pairs Freestyle'!B58</f>
        <v>SRPF</v>
      </c>
      <c r="D2129" t="str">
        <f>'Single Rope Pairs Freestyle'!C58</f>
        <v>13-14</v>
      </c>
      <c r="E2129">
        <f>'Single Rope Pairs Freestyle'!D58</f>
        <v>0</v>
      </c>
      <c r="F2129">
        <f>'Single Rope Pairs Freestyle'!F58</f>
        <v>0</v>
      </c>
      <c r="I2129" t="str">
        <f t="shared" si="82"/>
        <v>SRPF-Single Rope Pairs Freestyle</v>
      </c>
    </row>
    <row r="2130" spans="1:9" x14ac:dyDescent="0.25">
      <c r="A2130">
        <f>'Team Info'!$B$3</f>
        <v>0</v>
      </c>
      <c r="B2130">
        <f>'Single Rope Pairs Freestyle'!A59</f>
        <v>8</v>
      </c>
      <c r="C2130" t="str">
        <f>'Single Rope Pairs Freestyle'!B59</f>
        <v>SRPF</v>
      </c>
      <c r="D2130" t="str">
        <f>'Single Rope Pairs Freestyle'!C59</f>
        <v>13-14</v>
      </c>
      <c r="E2130">
        <f>'Single Rope Pairs Freestyle'!D59</f>
        <v>0</v>
      </c>
      <c r="F2130">
        <f>'Single Rope Pairs Freestyle'!F59</f>
        <v>0</v>
      </c>
      <c r="I2130" t="str">
        <f t="shared" si="82"/>
        <v>SRPF-Single Rope Pairs Freestyle</v>
      </c>
    </row>
    <row r="2131" spans="1:9" x14ac:dyDescent="0.25">
      <c r="A2131">
        <f>'Team Info'!$B$3</f>
        <v>0</v>
      </c>
      <c r="B2131">
        <f>'Single Rope Pairs Freestyle'!A60</f>
        <v>9</v>
      </c>
      <c r="C2131" t="str">
        <f>'Single Rope Pairs Freestyle'!B60</f>
        <v>SRPF</v>
      </c>
      <c r="D2131" t="str">
        <f>'Single Rope Pairs Freestyle'!C60</f>
        <v>13-14</v>
      </c>
      <c r="E2131">
        <f>'Single Rope Pairs Freestyle'!D60</f>
        <v>0</v>
      </c>
      <c r="F2131">
        <f>'Single Rope Pairs Freestyle'!F60</f>
        <v>0</v>
      </c>
      <c r="I2131" t="str">
        <f t="shared" ref="I2131:I2142" si="85">VLOOKUP(C2131,EVENTS,2,FALSE)</f>
        <v>SRPF-Single Rope Pairs Freestyle</v>
      </c>
    </row>
    <row r="2132" spans="1:9" x14ac:dyDescent="0.25">
      <c r="A2132">
        <f>'Team Info'!$B$3</f>
        <v>0</v>
      </c>
      <c r="B2132">
        <f>'Single Rope Pairs Freestyle'!A61</f>
        <v>10</v>
      </c>
      <c r="C2132" t="str">
        <f>'Single Rope Pairs Freestyle'!B61</f>
        <v>SRPF</v>
      </c>
      <c r="D2132" t="str">
        <f>'Single Rope Pairs Freestyle'!C61</f>
        <v>13-14</v>
      </c>
      <c r="E2132">
        <f>'Single Rope Pairs Freestyle'!D61</f>
        <v>0</v>
      </c>
      <c r="F2132">
        <f>'Single Rope Pairs Freestyle'!F61</f>
        <v>0</v>
      </c>
      <c r="I2132" t="str">
        <f t="shared" si="85"/>
        <v>SRPF-Single Rope Pairs Freestyle</v>
      </c>
    </row>
    <row r="2133" spans="1:9" x14ac:dyDescent="0.25">
      <c r="A2133">
        <f>'Team Info'!$B$3</f>
        <v>0</v>
      </c>
      <c r="B2133">
        <f>'Single Rope Pairs Freestyle'!A62</f>
        <v>11</v>
      </c>
      <c r="C2133" t="str">
        <f>'Single Rope Pairs Freestyle'!B62</f>
        <v>SRPF</v>
      </c>
      <c r="D2133" t="str">
        <f>'Single Rope Pairs Freestyle'!C62</f>
        <v>13-14</v>
      </c>
      <c r="E2133">
        <f>'Single Rope Pairs Freestyle'!D62</f>
        <v>0</v>
      </c>
      <c r="F2133">
        <f>'Single Rope Pairs Freestyle'!F62</f>
        <v>0</v>
      </c>
      <c r="I2133" t="str">
        <f t="shared" si="85"/>
        <v>SRPF-Single Rope Pairs Freestyle</v>
      </c>
    </row>
    <row r="2134" spans="1:9" x14ac:dyDescent="0.25">
      <c r="A2134">
        <f>'Team Info'!$B$3</f>
        <v>0</v>
      </c>
      <c r="B2134">
        <f>'Single Rope Pairs Freestyle'!A63</f>
        <v>12</v>
      </c>
      <c r="C2134" t="str">
        <f>'Single Rope Pairs Freestyle'!B63</f>
        <v>SRPF</v>
      </c>
      <c r="D2134" t="str">
        <f>'Single Rope Pairs Freestyle'!C63</f>
        <v>13-14</v>
      </c>
      <c r="E2134">
        <f>'Single Rope Pairs Freestyle'!D63</f>
        <v>0</v>
      </c>
      <c r="F2134">
        <f>'Single Rope Pairs Freestyle'!F63</f>
        <v>0</v>
      </c>
      <c r="I2134" t="str">
        <f t="shared" si="85"/>
        <v>SRPF-Single Rope Pairs Freestyle</v>
      </c>
    </row>
    <row r="2135" spans="1:9" x14ac:dyDescent="0.25">
      <c r="A2135">
        <f>'Team Info'!$B$3</f>
        <v>0</v>
      </c>
      <c r="B2135">
        <f>'Single Rope Pairs Freestyle'!A64</f>
        <v>13</v>
      </c>
      <c r="C2135" t="str">
        <f>'Single Rope Pairs Freestyle'!B64</f>
        <v>SRPF</v>
      </c>
      <c r="D2135" t="str">
        <f>'Single Rope Pairs Freestyle'!C64</f>
        <v>13-14</v>
      </c>
      <c r="E2135">
        <f>'Single Rope Pairs Freestyle'!D64</f>
        <v>0</v>
      </c>
      <c r="F2135">
        <f>'Single Rope Pairs Freestyle'!F64</f>
        <v>0</v>
      </c>
      <c r="I2135" t="str">
        <f t="shared" si="85"/>
        <v>SRPF-Single Rope Pairs Freestyle</v>
      </c>
    </row>
    <row r="2136" spans="1:9" x14ac:dyDescent="0.25">
      <c r="A2136">
        <f>'Team Info'!$B$3</f>
        <v>0</v>
      </c>
      <c r="B2136">
        <f>'Single Rope Pairs Freestyle'!A65</f>
        <v>14</v>
      </c>
      <c r="C2136" t="str">
        <f>'Single Rope Pairs Freestyle'!B65</f>
        <v>SRPF</v>
      </c>
      <c r="D2136" t="str">
        <f>'Single Rope Pairs Freestyle'!C65</f>
        <v>13-14</v>
      </c>
      <c r="E2136">
        <f>'Single Rope Pairs Freestyle'!D65</f>
        <v>0</v>
      </c>
      <c r="F2136">
        <f>'Single Rope Pairs Freestyle'!F65</f>
        <v>0</v>
      </c>
      <c r="I2136" t="str">
        <f t="shared" si="85"/>
        <v>SRPF-Single Rope Pairs Freestyle</v>
      </c>
    </row>
    <row r="2137" spans="1:9" x14ac:dyDescent="0.25">
      <c r="A2137">
        <f>'Team Info'!$B$3</f>
        <v>0</v>
      </c>
      <c r="B2137">
        <f>'Single Rope Pairs Freestyle'!A66</f>
        <v>15</v>
      </c>
      <c r="C2137" t="str">
        <f>'Single Rope Pairs Freestyle'!B66</f>
        <v>SRPF</v>
      </c>
      <c r="D2137" t="str">
        <f>'Single Rope Pairs Freestyle'!C66</f>
        <v>13-14</v>
      </c>
      <c r="E2137">
        <f>'Single Rope Pairs Freestyle'!D66</f>
        <v>0</v>
      </c>
      <c r="F2137">
        <f>'Single Rope Pairs Freestyle'!F66</f>
        <v>0</v>
      </c>
      <c r="I2137" t="str">
        <f t="shared" si="85"/>
        <v>SRPF-Single Rope Pairs Freestyle</v>
      </c>
    </row>
    <row r="2138" spans="1:9" x14ac:dyDescent="0.25">
      <c r="A2138">
        <f>'Team Info'!$B$3</f>
        <v>0</v>
      </c>
      <c r="B2138">
        <f>'Single Rope Pairs Freestyle'!A67</f>
        <v>16</v>
      </c>
      <c r="C2138" t="str">
        <f>'Single Rope Pairs Freestyle'!B67</f>
        <v>SRPF</v>
      </c>
      <c r="D2138" t="str">
        <f>'Single Rope Pairs Freestyle'!C67</f>
        <v>13-14</v>
      </c>
      <c r="E2138">
        <f>'Single Rope Pairs Freestyle'!D67</f>
        <v>0</v>
      </c>
      <c r="F2138">
        <f>'Single Rope Pairs Freestyle'!F67</f>
        <v>0</v>
      </c>
      <c r="I2138" t="str">
        <f t="shared" si="85"/>
        <v>SRPF-Single Rope Pairs Freestyle</v>
      </c>
    </row>
    <row r="2139" spans="1:9" x14ac:dyDescent="0.25">
      <c r="A2139">
        <f>'Team Info'!$B$3</f>
        <v>0</v>
      </c>
      <c r="B2139">
        <f>'Single Rope Pairs Freestyle'!A68</f>
        <v>17</v>
      </c>
      <c r="C2139" t="str">
        <f>'Single Rope Pairs Freestyle'!B68</f>
        <v>SRPF</v>
      </c>
      <c r="D2139" t="str">
        <f>'Single Rope Pairs Freestyle'!C68</f>
        <v>13-14</v>
      </c>
      <c r="E2139">
        <f>'Single Rope Pairs Freestyle'!D68</f>
        <v>0</v>
      </c>
      <c r="F2139">
        <f>'Single Rope Pairs Freestyle'!F68</f>
        <v>0</v>
      </c>
      <c r="I2139" t="str">
        <f t="shared" si="85"/>
        <v>SRPF-Single Rope Pairs Freestyle</v>
      </c>
    </row>
    <row r="2140" spans="1:9" x14ac:dyDescent="0.25">
      <c r="A2140">
        <f>'Team Info'!$B$3</f>
        <v>0</v>
      </c>
      <c r="B2140">
        <f>'Single Rope Pairs Freestyle'!A69</f>
        <v>18</v>
      </c>
      <c r="C2140" t="str">
        <f>'Single Rope Pairs Freestyle'!B69</f>
        <v>SRPF</v>
      </c>
      <c r="D2140" t="str">
        <f>'Single Rope Pairs Freestyle'!C69</f>
        <v>13-14</v>
      </c>
      <c r="E2140">
        <f>'Single Rope Pairs Freestyle'!D69</f>
        <v>0</v>
      </c>
      <c r="F2140">
        <f>'Single Rope Pairs Freestyle'!F69</f>
        <v>0</v>
      </c>
      <c r="I2140" t="str">
        <f t="shared" si="85"/>
        <v>SRPF-Single Rope Pairs Freestyle</v>
      </c>
    </row>
    <row r="2141" spans="1:9" x14ac:dyDescent="0.25">
      <c r="A2141">
        <f>'Team Info'!$B$3</f>
        <v>0</v>
      </c>
      <c r="B2141">
        <f>'Single Rope Pairs Freestyle'!A70</f>
        <v>19</v>
      </c>
      <c r="C2141" t="str">
        <f>'Single Rope Pairs Freestyle'!B70</f>
        <v>SRPF</v>
      </c>
      <c r="D2141" t="str">
        <f>'Single Rope Pairs Freestyle'!C70</f>
        <v>13-14</v>
      </c>
      <c r="E2141">
        <f>'Single Rope Pairs Freestyle'!D70</f>
        <v>0</v>
      </c>
      <c r="F2141">
        <f>'Single Rope Pairs Freestyle'!F70</f>
        <v>0</v>
      </c>
      <c r="I2141" t="str">
        <f t="shared" si="85"/>
        <v>SRPF-Single Rope Pairs Freestyle</v>
      </c>
    </row>
    <row r="2142" spans="1:9" x14ac:dyDescent="0.25">
      <c r="A2142">
        <f>'Team Info'!$B$3</f>
        <v>0</v>
      </c>
      <c r="B2142">
        <f>'Single Rope Pairs Freestyle'!A71</f>
        <v>20</v>
      </c>
      <c r="C2142" t="str">
        <f>'Single Rope Pairs Freestyle'!B71</f>
        <v>SRPF</v>
      </c>
      <c r="D2142" t="str">
        <f>'Single Rope Pairs Freestyle'!C71</f>
        <v>13-14</v>
      </c>
      <c r="E2142">
        <f>'Single Rope Pairs Freestyle'!D71</f>
        <v>0</v>
      </c>
      <c r="F2142">
        <f>'Single Rope Pairs Freestyle'!F71</f>
        <v>0</v>
      </c>
      <c r="I2142" t="str">
        <f t="shared" si="85"/>
        <v>SRPF-Single Rope Pairs Freestyle</v>
      </c>
    </row>
    <row r="2143" spans="1:9" x14ac:dyDescent="0.25">
      <c r="A2143">
        <f>'Team Info'!$B$3</f>
        <v>0</v>
      </c>
      <c r="B2143">
        <f>'Single Rope Pairs Freestyle'!A130</f>
        <v>1</v>
      </c>
      <c r="C2143" t="str">
        <f>'Single Rope Pairs Freestyle'!B130</f>
        <v>SRPF</v>
      </c>
      <c r="D2143" t="str">
        <f>'Single Rope Pairs Freestyle'!C130</f>
        <v>15-17</v>
      </c>
      <c r="E2143">
        <f>'Single Rope Pairs Freestyle'!D130</f>
        <v>0</v>
      </c>
      <c r="F2143">
        <f>'Single Rope Pairs Freestyle'!F130</f>
        <v>0</v>
      </c>
      <c r="I2143" t="str">
        <f t="shared" si="82"/>
        <v>SRPF-Single Rope Pairs Freestyle</v>
      </c>
    </row>
    <row r="2144" spans="1:9" x14ac:dyDescent="0.25">
      <c r="A2144">
        <f>'Team Info'!$B$3</f>
        <v>0</v>
      </c>
      <c r="B2144">
        <f>'Single Rope Pairs Freestyle'!A131</f>
        <v>2</v>
      </c>
      <c r="C2144" t="str">
        <f>'Single Rope Pairs Freestyle'!B131</f>
        <v>SRPF</v>
      </c>
      <c r="D2144" t="str">
        <f>'Single Rope Pairs Freestyle'!C131</f>
        <v>15-17</v>
      </c>
      <c r="E2144">
        <f>'Single Rope Pairs Freestyle'!D131</f>
        <v>0</v>
      </c>
      <c r="F2144">
        <f>'Single Rope Pairs Freestyle'!F131</f>
        <v>0</v>
      </c>
      <c r="I2144" t="str">
        <f t="shared" si="82"/>
        <v>SRPF-Single Rope Pairs Freestyle</v>
      </c>
    </row>
    <row r="2145" spans="1:9" x14ac:dyDescent="0.25">
      <c r="A2145">
        <f>'Team Info'!$B$3</f>
        <v>0</v>
      </c>
      <c r="B2145">
        <f>'Single Rope Pairs Freestyle'!A132</f>
        <v>3</v>
      </c>
      <c r="C2145" t="str">
        <f>'Single Rope Pairs Freestyle'!B132</f>
        <v>SRPF</v>
      </c>
      <c r="D2145" t="str">
        <f>'Single Rope Pairs Freestyle'!C132</f>
        <v>15-17</v>
      </c>
      <c r="E2145">
        <f>'Single Rope Pairs Freestyle'!D132</f>
        <v>0</v>
      </c>
      <c r="F2145">
        <f>'Single Rope Pairs Freestyle'!F132</f>
        <v>0</v>
      </c>
      <c r="I2145" t="str">
        <f t="shared" si="82"/>
        <v>SRPF-Single Rope Pairs Freestyle</v>
      </c>
    </row>
    <row r="2146" spans="1:9" x14ac:dyDescent="0.25">
      <c r="A2146">
        <f>'Team Info'!$B$3</f>
        <v>0</v>
      </c>
      <c r="B2146">
        <f>'Single Rope Pairs Freestyle'!A133</f>
        <v>4</v>
      </c>
      <c r="C2146" t="str">
        <f>'Single Rope Pairs Freestyle'!B133</f>
        <v>SRPF</v>
      </c>
      <c r="D2146" t="str">
        <f>'Single Rope Pairs Freestyle'!C133</f>
        <v>15-17</v>
      </c>
      <c r="E2146">
        <f>'Single Rope Pairs Freestyle'!D133</f>
        <v>0</v>
      </c>
      <c r="F2146">
        <f>'Single Rope Pairs Freestyle'!F133</f>
        <v>0</v>
      </c>
      <c r="I2146" t="str">
        <f t="shared" si="82"/>
        <v>SRPF-Single Rope Pairs Freestyle</v>
      </c>
    </row>
    <row r="2147" spans="1:9" x14ac:dyDescent="0.25">
      <c r="A2147">
        <f>'Team Info'!$B$3</f>
        <v>0</v>
      </c>
      <c r="B2147">
        <f>'Single Rope Pairs Freestyle'!A134</f>
        <v>5</v>
      </c>
      <c r="C2147" t="str">
        <f>'Single Rope Pairs Freestyle'!B134</f>
        <v>SRPF</v>
      </c>
      <c r="D2147" t="str">
        <f>'Single Rope Pairs Freestyle'!C134</f>
        <v>15-17</v>
      </c>
      <c r="E2147">
        <f>'Single Rope Pairs Freestyle'!D134</f>
        <v>0</v>
      </c>
      <c r="F2147">
        <f>'Single Rope Pairs Freestyle'!F134</f>
        <v>0</v>
      </c>
      <c r="I2147" t="str">
        <f t="shared" si="82"/>
        <v>SRPF-Single Rope Pairs Freestyle</v>
      </c>
    </row>
    <row r="2148" spans="1:9" x14ac:dyDescent="0.25">
      <c r="A2148">
        <f>'Team Info'!$B$3</f>
        <v>0</v>
      </c>
      <c r="B2148">
        <f>'Single Rope Pairs Freestyle'!A135</f>
        <v>6</v>
      </c>
      <c r="C2148" t="str">
        <f>'Single Rope Pairs Freestyle'!B135</f>
        <v>SRPF</v>
      </c>
      <c r="D2148" t="str">
        <f>'Single Rope Pairs Freestyle'!C135</f>
        <v>15-17</v>
      </c>
      <c r="E2148">
        <f>'Single Rope Pairs Freestyle'!D135</f>
        <v>0</v>
      </c>
      <c r="F2148">
        <f>'Single Rope Pairs Freestyle'!F135</f>
        <v>0</v>
      </c>
      <c r="I2148" t="str">
        <f t="shared" si="82"/>
        <v>SRPF-Single Rope Pairs Freestyle</v>
      </c>
    </row>
    <row r="2149" spans="1:9" x14ac:dyDescent="0.25">
      <c r="A2149">
        <f>'Team Info'!$B$3</f>
        <v>0</v>
      </c>
      <c r="B2149">
        <f>'Single Rope Pairs Freestyle'!A136</f>
        <v>7</v>
      </c>
      <c r="C2149" t="str">
        <f>'Single Rope Pairs Freestyle'!B136</f>
        <v>SRPF</v>
      </c>
      <c r="D2149" t="str">
        <f>'Single Rope Pairs Freestyle'!C136</f>
        <v>15-17</v>
      </c>
      <c r="E2149">
        <f>'Single Rope Pairs Freestyle'!D136</f>
        <v>0</v>
      </c>
      <c r="F2149">
        <f>'Single Rope Pairs Freestyle'!F136</f>
        <v>0</v>
      </c>
      <c r="I2149" t="str">
        <f t="shared" si="82"/>
        <v>SRPF-Single Rope Pairs Freestyle</v>
      </c>
    </row>
    <row r="2150" spans="1:9" x14ac:dyDescent="0.25">
      <c r="A2150">
        <f>'Team Info'!$B$3</f>
        <v>0</v>
      </c>
      <c r="B2150">
        <f>'Single Rope Pairs Freestyle'!A137</f>
        <v>8</v>
      </c>
      <c r="C2150" t="str">
        <f>'Single Rope Pairs Freestyle'!B137</f>
        <v>SRPF</v>
      </c>
      <c r="D2150" t="str">
        <f>'Single Rope Pairs Freestyle'!C137</f>
        <v>15-17</v>
      </c>
      <c r="E2150">
        <f>'Single Rope Pairs Freestyle'!D137</f>
        <v>0</v>
      </c>
      <c r="F2150">
        <f>'Single Rope Pairs Freestyle'!F137</f>
        <v>0</v>
      </c>
      <c r="I2150" t="str">
        <f t="shared" si="82"/>
        <v>SRPF-Single Rope Pairs Freestyle</v>
      </c>
    </row>
    <row r="2151" spans="1:9" x14ac:dyDescent="0.25">
      <c r="A2151">
        <f>'Team Info'!$B$3</f>
        <v>0</v>
      </c>
      <c r="B2151">
        <f>'Single Rope Pairs Freestyle'!A138</f>
        <v>9</v>
      </c>
      <c r="C2151" t="str">
        <f>'Single Rope Pairs Freestyle'!B138</f>
        <v>SRPF</v>
      </c>
      <c r="D2151" t="str">
        <f>'Single Rope Pairs Freestyle'!C138</f>
        <v>15-17</v>
      </c>
      <c r="E2151">
        <f>'Single Rope Pairs Freestyle'!D138</f>
        <v>0</v>
      </c>
      <c r="F2151">
        <f>'Single Rope Pairs Freestyle'!F138</f>
        <v>0</v>
      </c>
      <c r="I2151" t="str">
        <f t="shared" ref="I2151:I2162" si="86">VLOOKUP(C2151,EVENTS,2,FALSE)</f>
        <v>SRPF-Single Rope Pairs Freestyle</v>
      </c>
    </row>
    <row r="2152" spans="1:9" x14ac:dyDescent="0.25">
      <c r="A2152">
        <f>'Team Info'!$B$3</f>
        <v>0</v>
      </c>
      <c r="B2152">
        <f>'Single Rope Pairs Freestyle'!A139</f>
        <v>10</v>
      </c>
      <c r="C2152" t="str">
        <f>'Single Rope Pairs Freestyle'!B139</f>
        <v>SRPF</v>
      </c>
      <c r="D2152" t="str">
        <f>'Single Rope Pairs Freestyle'!C139</f>
        <v>15-17</v>
      </c>
      <c r="E2152">
        <f>'Single Rope Pairs Freestyle'!D139</f>
        <v>0</v>
      </c>
      <c r="F2152">
        <f>'Single Rope Pairs Freestyle'!F139</f>
        <v>0</v>
      </c>
      <c r="I2152" t="str">
        <f t="shared" si="86"/>
        <v>SRPF-Single Rope Pairs Freestyle</v>
      </c>
    </row>
    <row r="2153" spans="1:9" x14ac:dyDescent="0.25">
      <c r="A2153">
        <f>'Team Info'!$B$3</f>
        <v>0</v>
      </c>
      <c r="B2153">
        <f>'Single Rope Pairs Freestyle'!A140</f>
        <v>11</v>
      </c>
      <c r="C2153" t="str">
        <f>'Single Rope Pairs Freestyle'!B140</f>
        <v>SRPF</v>
      </c>
      <c r="D2153" t="str">
        <f>'Single Rope Pairs Freestyle'!C140</f>
        <v>15-17</v>
      </c>
      <c r="E2153">
        <f>'Single Rope Pairs Freestyle'!D140</f>
        <v>0</v>
      </c>
      <c r="F2153">
        <f>'Single Rope Pairs Freestyle'!F140</f>
        <v>0</v>
      </c>
      <c r="I2153" t="str">
        <f t="shared" si="86"/>
        <v>SRPF-Single Rope Pairs Freestyle</v>
      </c>
    </row>
    <row r="2154" spans="1:9" x14ac:dyDescent="0.25">
      <c r="A2154">
        <f>'Team Info'!$B$3</f>
        <v>0</v>
      </c>
      <c r="B2154">
        <f>'Single Rope Pairs Freestyle'!A141</f>
        <v>12</v>
      </c>
      <c r="C2154" t="str">
        <f>'Single Rope Pairs Freestyle'!B141</f>
        <v>SRPF</v>
      </c>
      <c r="D2154" t="str">
        <f>'Single Rope Pairs Freestyle'!C141</f>
        <v>15-17</v>
      </c>
      <c r="E2154">
        <f>'Single Rope Pairs Freestyle'!D141</f>
        <v>0</v>
      </c>
      <c r="F2154">
        <f>'Single Rope Pairs Freestyle'!F141</f>
        <v>0</v>
      </c>
      <c r="I2154" t="str">
        <f t="shared" si="86"/>
        <v>SRPF-Single Rope Pairs Freestyle</v>
      </c>
    </row>
    <row r="2155" spans="1:9" x14ac:dyDescent="0.25">
      <c r="A2155">
        <f>'Team Info'!$B$3</f>
        <v>0</v>
      </c>
      <c r="B2155">
        <f>'Single Rope Pairs Freestyle'!A142</f>
        <v>13</v>
      </c>
      <c r="C2155" t="str">
        <f>'Single Rope Pairs Freestyle'!B142</f>
        <v>SRPF</v>
      </c>
      <c r="D2155" t="str">
        <f>'Single Rope Pairs Freestyle'!C142</f>
        <v>15-17</v>
      </c>
      <c r="E2155">
        <f>'Single Rope Pairs Freestyle'!D142</f>
        <v>0</v>
      </c>
      <c r="F2155">
        <f>'Single Rope Pairs Freestyle'!F142</f>
        <v>0</v>
      </c>
      <c r="I2155" t="str">
        <f t="shared" si="86"/>
        <v>SRPF-Single Rope Pairs Freestyle</v>
      </c>
    </row>
    <row r="2156" spans="1:9" x14ac:dyDescent="0.25">
      <c r="A2156">
        <f>'Team Info'!$B$3</f>
        <v>0</v>
      </c>
      <c r="B2156">
        <f>'Single Rope Pairs Freestyle'!A143</f>
        <v>14</v>
      </c>
      <c r="C2156" t="str">
        <f>'Single Rope Pairs Freestyle'!B143</f>
        <v>SRPF</v>
      </c>
      <c r="D2156" t="str">
        <f>'Single Rope Pairs Freestyle'!C143</f>
        <v>15-17</v>
      </c>
      <c r="E2156">
        <f>'Single Rope Pairs Freestyle'!D143</f>
        <v>0</v>
      </c>
      <c r="F2156">
        <f>'Single Rope Pairs Freestyle'!F143</f>
        <v>0</v>
      </c>
      <c r="I2156" t="str">
        <f t="shared" si="86"/>
        <v>SRPF-Single Rope Pairs Freestyle</v>
      </c>
    </row>
    <row r="2157" spans="1:9" x14ac:dyDescent="0.25">
      <c r="A2157">
        <f>'Team Info'!$B$3</f>
        <v>0</v>
      </c>
      <c r="B2157">
        <f>'Single Rope Pairs Freestyle'!A144</f>
        <v>15</v>
      </c>
      <c r="C2157" t="str">
        <f>'Single Rope Pairs Freestyle'!B144</f>
        <v>SRPF</v>
      </c>
      <c r="D2157" t="str">
        <f>'Single Rope Pairs Freestyle'!C144</f>
        <v>15-17</v>
      </c>
      <c r="E2157">
        <f>'Single Rope Pairs Freestyle'!D144</f>
        <v>0</v>
      </c>
      <c r="F2157">
        <f>'Single Rope Pairs Freestyle'!F144</f>
        <v>0</v>
      </c>
      <c r="I2157" t="str">
        <f t="shared" si="86"/>
        <v>SRPF-Single Rope Pairs Freestyle</v>
      </c>
    </row>
    <row r="2158" spans="1:9" x14ac:dyDescent="0.25">
      <c r="A2158">
        <f>'Team Info'!$B$3</f>
        <v>0</v>
      </c>
      <c r="B2158">
        <f>'Single Rope Pairs Freestyle'!A145</f>
        <v>16</v>
      </c>
      <c r="C2158" t="str">
        <f>'Single Rope Pairs Freestyle'!B145</f>
        <v>SRPF</v>
      </c>
      <c r="D2158" t="str">
        <f>'Single Rope Pairs Freestyle'!C145</f>
        <v>15-17</v>
      </c>
      <c r="E2158">
        <f>'Single Rope Pairs Freestyle'!D145</f>
        <v>0</v>
      </c>
      <c r="F2158">
        <f>'Single Rope Pairs Freestyle'!F145</f>
        <v>0</v>
      </c>
      <c r="I2158" t="str">
        <f t="shared" si="86"/>
        <v>SRPF-Single Rope Pairs Freestyle</v>
      </c>
    </row>
    <row r="2159" spans="1:9" x14ac:dyDescent="0.25">
      <c r="A2159">
        <f>'Team Info'!$B$3</f>
        <v>0</v>
      </c>
      <c r="B2159">
        <f>'Single Rope Pairs Freestyle'!A146</f>
        <v>17</v>
      </c>
      <c r="C2159" t="str">
        <f>'Single Rope Pairs Freestyle'!B146</f>
        <v>SRPF</v>
      </c>
      <c r="D2159" t="str">
        <f>'Single Rope Pairs Freestyle'!C146</f>
        <v>15-17</v>
      </c>
      <c r="E2159">
        <f>'Single Rope Pairs Freestyle'!D146</f>
        <v>0</v>
      </c>
      <c r="F2159">
        <f>'Single Rope Pairs Freestyle'!F146</f>
        <v>0</v>
      </c>
      <c r="I2159" t="str">
        <f t="shared" si="86"/>
        <v>SRPF-Single Rope Pairs Freestyle</v>
      </c>
    </row>
    <row r="2160" spans="1:9" x14ac:dyDescent="0.25">
      <c r="A2160">
        <f>'Team Info'!$B$3</f>
        <v>0</v>
      </c>
      <c r="B2160">
        <f>'Single Rope Pairs Freestyle'!A147</f>
        <v>18</v>
      </c>
      <c r="C2160" t="str">
        <f>'Single Rope Pairs Freestyle'!B147</f>
        <v>SRPF</v>
      </c>
      <c r="D2160" t="str">
        <f>'Single Rope Pairs Freestyle'!C147</f>
        <v>15-17</v>
      </c>
      <c r="E2160">
        <f>'Single Rope Pairs Freestyle'!D147</f>
        <v>0</v>
      </c>
      <c r="F2160">
        <f>'Single Rope Pairs Freestyle'!F147</f>
        <v>0</v>
      </c>
      <c r="I2160" t="str">
        <f t="shared" si="86"/>
        <v>SRPF-Single Rope Pairs Freestyle</v>
      </c>
    </row>
    <row r="2161" spans="1:9" x14ac:dyDescent="0.25">
      <c r="A2161">
        <f>'Team Info'!$B$3</f>
        <v>0</v>
      </c>
      <c r="B2161">
        <f>'Single Rope Pairs Freestyle'!A148</f>
        <v>19</v>
      </c>
      <c r="C2161" t="str">
        <f>'Single Rope Pairs Freestyle'!B148</f>
        <v>SRPF</v>
      </c>
      <c r="D2161" t="str">
        <f>'Single Rope Pairs Freestyle'!C148</f>
        <v>15-17</v>
      </c>
      <c r="E2161">
        <f>'Single Rope Pairs Freestyle'!D148</f>
        <v>0</v>
      </c>
      <c r="F2161">
        <f>'Single Rope Pairs Freestyle'!F148</f>
        <v>0</v>
      </c>
      <c r="I2161" t="str">
        <f t="shared" si="86"/>
        <v>SRPF-Single Rope Pairs Freestyle</v>
      </c>
    </row>
    <row r="2162" spans="1:9" x14ac:dyDescent="0.25">
      <c r="A2162">
        <f>'Team Info'!$B$3</f>
        <v>0</v>
      </c>
      <c r="B2162">
        <f>'Single Rope Pairs Freestyle'!A149</f>
        <v>20</v>
      </c>
      <c r="C2162" t="str">
        <f>'Single Rope Pairs Freestyle'!B149</f>
        <v>SRPF</v>
      </c>
      <c r="D2162" t="str">
        <f>'Single Rope Pairs Freestyle'!C149</f>
        <v>15-17</v>
      </c>
      <c r="E2162">
        <f>'Single Rope Pairs Freestyle'!D149</f>
        <v>0</v>
      </c>
      <c r="F2162">
        <f>'Single Rope Pairs Freestyle'!F149</f>
        <v>0</v>
      </c>
      <c r="I2162" t="str">
        <f t="shared" si="86"/>
        <v>SRPF-Single Rope Pairs Freestyle</v>
      </c>
    </row>
    <row r="2163" spans="1:9" x14ac:dyDescent="0.25">
      <c r="A2163">
        <f>'Team Info'!$B$3</f>
        <v>0</v>
      </c>
      <c r="B2163">
        <f>'Single Rope Pairs Freestyle'!A153</f>
        <v>1</v>
      </c>
      <c r="C2163" t="str">
        <f>'Single Rope Pairs Freestyle'!B153</f>
        <v>SRPF</v>
      </c>
      <c r="D2163" t="str">
        <f>'Single Rope Pairs Freestyle'!C153</f>
        <v>18-over</v>
      </c>
      <c r="E2163">
        <f>'Single Rope Pairs Freestyle'!D153</f>
        <v>0</v>
      </c>
      <c r="F2163">
        <f>'Single Rope Pairs Freestyle'!F153</f>
        <v>0</v>
      </c>
      <c r="I2163" t="str">
        <f t="shared" si="82"/>
        <v>SRPF-Single Rope Pairs Freestyle</v>
      </c>
    </row>
    <row r="2164" spans="1:9" x14ac:dyDescent="0.25">
      <c r="A2164">
        <f>'Team Info'!$B$3</f>
        <v>0</v>
      </c>
      <c r="B2164">
        <f>'Single Rope Pairs Freestyle'!A154</f>
        <v>2</v>
      </c>
      <c r="C2164" t="str">
        <f>'Single Rope Pairs Freestyle'!B154</f>
        <v>SRPF</v>
      </c>
      <c r="D2164" t="str">
        <f>'Single Rope Pairs Freestyle'!C154</f>
        <v>18-over</v>
      </c>
      <c r="E2164">
        <f>'Single Rope Pairs Freestyle'!D154</f>
        <v>0</v>
      </c>
      <c r="F2164">
        <f>'Single Rope Pairs Freestyle'!F154</f>
        <v>0</v>
      </c>
      <c r="I2164" t="str">
        <f t="shared" si="82"/>
        <v>SRPF-Single Rope Pairs Freestyle</v>
      </c>
    </row>
    <row r="2165" spans="1:9" x14ac:dyDescent="0.25">
      <c r="A2165">
        <f>'Team Info'!$B$3</f>
        <v>0</v>
      </c>
      <c r="B2165">
        <f>'Single Rope Pairs Freestyle'!A155</f>
        <v>3</v>
      </c>
      <c r="C2165" t="str">
        <f>'Single Rope Pairs Freestyle'!B155</f>
        <v>SRPF</v>
      </c>
      <c r="D2165" t="str">
        <f>'Single Rope Pairs Freestyle'!C155</f>
        <v>18-over</v>
      </c>
      <c r="E2165">
        <f>'Single Rope Pairs Freestyle'!D155</f>
        <v>0</v>
      </c>
      <c r="F2165">
        <f>'Single Rope Pairs Freestyle'!F155</f>
        <v>0</v>
      </c>
      <c r="I2165" t="str">
        <f t="shared" si="82"/>
        <v>SRPF-Single Rope Pairs Freestyle</v>
      </c>
    </row>
    <row r="2166" spans="1:9" x14ac:dyDescent="0.25">
      <c r="A2166">
        <f>'Team Info'!$B$3</f>
        <v>0</v>
      </c>
      <c r="B2166">
        <f>'Single Rope Pairs Freestyle'!A156</f>
        <v>4</v>
      </c>
      <c r="C2166" t="str">
        <f>'Single Rope Pairs Freestyle'!B156</f>
        <v>SRPF</v>
      </c>
      <c r="D2166" t="str">
        <f>'Single Rope Pairs Freestyle'!C156</f>
        <v>18-over</v>
      </c>
      <c r="E2166">
        <f>'Single Rope Pairs Freestyle'!D156</f>
        <v>0</v>
      </c>
      <c r="F2166">
        <f>'Single Rope Pairs Freestyle'!F156</f>
        <v>0</v>
      </c>
      <c r="I2166" t="str">
        <f t="shared" si="82"/>
        <v>SRPF-Single Rope Pairs Freestyle</v>
      </c>
    </row>
    <row r="2167" spans="1:9" x14ac:dyDescent="0.25">
      <c r="A2167">
        <f>'Team Info'!$B$3</f>
        <v>0</v>
      </c>
      <c r="B2167">
        <f>'Single Rope Pairs Freestyle'!A157</f>
        <v>5</v>
      </c>
      <c r="C2167" t="str">
        <f>'Single Rope Pairs Freestyle'!B157</f>
        <v>SRPF</v>
      </c>
      <c r="D2167" t="str">
        <f>'Single Rope Pairs Freestyle'!C157</f>
        <v>18-over</v>
      </c>
      <c r="E2167">
        <f>'Single Rope Pairs Freestyle'!D157</f>
        <v>0</v>
      </c>
      <c r="F2167">
        <f>'Single Rope Pairs Freestyle'!F157</f>
        <v>0</v>
      </c>
      <c r="I2167" t="str">
        <f t="shared" si="82"/>
        <v>SRPF-Single Rope Pairs Freestyle</v>
      </c>
    </row>
    <row r="2168" spans="1:9" x14ac:dyDescent="0.25">
      <c r="A2168">
        <f>'Team Info'!$B$3</f>
        <v>0</v>
      </c>
      <c r="B2168">
        <f>'Single Rope Pairs Freestyle'!A158</f>
        <v>6</v>
      </c>
      <c r="C2168" t="str">
        <f>'Single Rope Pairs Freestyle'!B158</f>
        <v>SRPF</v>
      </c>
      <c r="D2168" t="str">
        <f>'Single Rope Pairs Freestyle'!C158</f>
        <v>18-over</v>
      </c>
      <c r="E2168">
        <f>'Single Rope Pairs Freestyle'!D158</f>
        <v>0</v>
      </c>
      <c r="F2168">
        <f>'Single Rope Pairs Freestyle'!F158</f>
        <v>0</v>
      </c>
      <c r="I2168" t="str">
        <f t="shared" si="82"/>
        <v>SRPF-Single Rope Pairs Freestyle</v>
      </c>
    </row>
    <row r="2169" spans="1:9" x14ac:dyDescent="0.25">
      <c r="A2169">
        <f>'Team Info'!$B$3</f>
        <v>0</v>
      </c>
      <c r="B2169">
        <f>'Single Rope Pairs Freestyle'!A159</f>
        <v>7</v>
      </c>
      <c r="C2169" t="str">
        <f>'Single Rope Pairs Freestyle'!B159</f>
        <v>SRPF</v>
      </c>
      <c r="D2169" t="str">
        <f>'Single Rope Pairs Freestyle'!C159</f>
        <v>18-over</v>
      </c>
      <c r="E2169">
        <f>'Single Rope Pairs Freestyle'!D159</f>
        <v>0</v>
      </c>
      <c r="F2169">
        <f>'Single Rope Pairs Freestyle'!F159</f>
        <v>0</v>
      </c>
      <c r="I2169" t="str">
        <f t="shared" si="82"/>
        <v>SRPF-Single Rope Pairs Freestyle</v>
      </c>
    </row>
    <row r="2170" spans="1:9" x14ac:dyDescent="0.25">
      <c r="A2170">
        <f>'Team Info'!$B$3</f>
        <v>0</v>
      </c>
      <c r="B2170">
        <f>'Single Rope Pairs Freestyle'!A160</f>
        <v>8</v>
      </c>
      <c r="C2170" t="str">
        <f>'Single Rope Pairs Freestyle'!B160</f>
        <v>SRPF</v>
      </c>
      <c r="D2170" t="str">
        <f>'Single Rope Pairs Freestyle'!C160</f>
        <v>18-over</v>
      </c>
      <c r="E2170">
        <f>'Single Rope Pairs Freestyle'!D160</f>
        <v>0</v>
      </c>
      <c r="F2170">
        <f>'Single Rope Pairs Freestyle'!F160</f>
        <v>0</v>
      </c>
      <c r="I2170" t="str">
        <f t="shared" si="82"/>
        <v>SRPF-Single Rope Pairs Freestyle</v>
      </c>
    </row>
    <row r="2171" spans="1:9" x14ac:dyDescent="0.25">
      <c r="A2171">
        <f>'Team Info'!$B$3</f>
        <v>0</v>
      </c>
      <c r="B2171">
        <f>'Single Rope Pairs Freestyle'!A161</f>
        <v>9</v>
      </c>
      <c r="C2171" t="str">
        <f>'Single Rope Pairs Freestyle'!B161</f>
        <v>SRPF</v>
      </c>
      <c r="D2171" t="str">
        <f>'Single Rope Pairs Freestyle'!C161</f>
        <v>18-over</v>
      </c>
      <c r="E2171">
        <f>'Single Rope Pairs Freestyle'!D161</f>
        <v>0</v>
      </c>
      <c r="F2171">
        <f>'Single Rope Pairs Freestyle'!F161</f>
        <v>0</v>
      </c>
      <c r="I2171" t="str">
        <f t="shared" ref="I2171:I2182" si="87">VLOOKUP(C2171,EVENTS,2,FALSE)</f>
        <v>SRPF-Single Rope Pairs Freestyle</v>
      </c>
    </row>
    <row r="2172" spans="1:9" x14ac:dyDescent="0.25">
      <c r="A2172">
        <f>'Team Info'!$B$3</f>
        <v>0</v>
      </c>
      <c r="B2172">
        <f>'Single Rope Pairs Freestyle'!A162</f>
        <v>10</v>
      </c>
      <c r="C2172" t="str">
        <f>'Single Rope Pairs Freestyle'!B162</f>
        <v>SRPF</v>
      </c>
      <c r="D2172" t="str">
        <f>'Single Rope Pairs Freestyle'!C162</f>
        <v>18-over</v>
      </c>
      <c r="E2172">
        <f>'Single Rope Pairs Freestyle'!D162</f>
        <v>0</v>
      </c>
      <c r="F2172">
        <f>'Single Rope Pairs Freestyle'!F162</f>
        <v>0</v>
      </c>
      <c r="I2172" t="str">
        <f t="shared" si="87"/>
        <v>SRPF-Single Rope Pairs Freestyle</v>
      </c>
    </row>
    <row r="2173" spans="1:9" x14ac:dyDescent="0.25">
      <c r="A2173">
        <f>'Team Info'!$B$3</f>
        <v>0</v>
      </c>
      <c r="B2173">
        <f>'Single Rope Pairs Freestyle'!A163</f>
        <v>11</v>
      </c>
      <c r="C2173" t="str">
        <f>'Single Rope Pairs Freestyle'!B163</f>
        <v>SRPF</v>
      </c>
      <c r="D2173" t="str">
        <f>'Single Rope Pairs Freestyle'!C163</f>
        <v>18-over</v>
      </c>
      <c r="E2173">
        <f>'Single Rope Pairs Freestyle'!D163</f>
        <v>0</v>
      </c>
      <c r="F2173">
        <f>'Single Rope Pairs Freestyle'!F163</f>
        <v>0</v>
      </c>
      <c r="I2173" t="str">
        <f t="shared" si="87"/>
        <v>SRPF-Single Rope Pairs Freestyle</v>
      </c>
    </row>
    <row r="2174" spans="1:9" x14ac:dyDescent="0.25">
      <c r="A2174">
        <f>'Team Info'!$B$3</f>
        <v>0</v>
      </c>
      <c r="B2174">
        <f>'Single Rope Pairs Freestyle'!A164</f>
        <v>12</v>
      </c>
      <c r="C2174" t="str">
        <f>'Single Rope Pairs Freestyle'!B164</f>
        <v>SRPF</v>
      </c>
      <c r="D2174" t="str">
        <f>'Single Rope Pairs Freestyle'!C164</f>
        <v>18-over</v>
      </c>
      <c r="E2174">
        <f>'Single Rope Pairs Freestyle'!D164</f>
        <v>0</v>
      </c>
      <c r="F2174">
        <f>'Single Rope Pairs Freestyle'!F164</f>
        <v>0</v>
      </c>
      <c r="I2174" t="str">
        <f t="shared" si="87"/>
        <v>SRPF-Single Rope Pairs Freestyle</v>
      </c>
    </row>
    <row r="2175" spans="1:9" x14ac:dyDescent="0.25">
      <c r="A2175">
        <f>'Team Info'!$B$3</f>
        <v>0</v>
      </c>
      <c r="B2175">
        <f>'Single Rope Pairs Freestyle'!A165</f>
        <v>13</v>
      </c>
      <c r="C2175" t="str">
        <f>'Single Rope Pairs Freestyle'!B165</f>
        <v>SRPF</v>
      </c>
      <c r="D2175" t="str">
        <f>'Single Rope Pairs Freestyle'!C165</f>
        <v>18-over</v>
      </c>
      <c r="E2175">
        <f>'Single Rope Pairs Freestyle'!D165</f>
        <v>0</v>
      </c>
      <c r="F2175">
        <f>'Single Rope Pairs Freestyle'!F165</f>
        <v>0</v>
      </c>
      <c r="I2175" t="str">
        <f t="shared" si="87"/>
        <v>SRPF-Single Rope Pairs Freestyle</v>
      </c>
    </row>
    <row r="2176" spans="1:9" x14ac:dyDescent="0.25">
      <c r="A2176">
        <f>'Team Info'!$B$3</f>
        <v>0</v>
      </c>
      <c r="B2176">
        <f>'Single Rope Pairs Freestyle'!A166</f>
        <v>14</v>
      </c>
      <c r="C2176" t="str">
        <f>'Single Rope Pairs Freestyle'!B166</f>
        <v>SRPF</v>
      </c>
      <c r="D2176" t="str">
        <f>'Single Rope Pairs Freestyle'!C166</f>
        <v>18-over</v>
      </c>
      <c r="E2176">
        <f>'Single Rope Pairs Freestyle'!D166</f>
        <v>0</v>
      </c>
      <c r="F2176">
        <f>'Single Rope Pairs Freestyle'!F166</f>
        <v>0</v>
      </c>
      <c r="I2176" t="str">
        <f t="shared" si="87"/>
        <v>SRPF-Single Rope Pairs Freestyle</v>
      </c>
    </row>
    <row r="2177" spans="1:9" x14ac:dyDescent="0.25">
      <c r="A2177">
        <f>'Team Info'!$B$3</f>
        <v>0</v>
      </c>
      <c r="B2177">
        <f>'Single Rope Pairs Freestyle'!A167</f>
        <v>15</v>
      </c>
      <c r="C2177" t="str">
        <f>'Single Rope Pairs Freestyle'!B167</f>
        <v>SRPF</v>
      </c>
      <c r="D2177" t="str">
        <f>'Single Rope Pairs Freestyle'!C167</f>
        <v>18-over</v>
      </c>
      <c r="E2177">
        <f>'Single Rope Pairs Freestyle'!D167</f>
        <v>0</v>
      </c>
      <c r="F2177">
        <f>'Single Rope Pairs Freestyle'!F167</f>
        <v>0</v>
      </c>
      <c r="I2177" t="str">
        <f t="shared" si="87"/>
        <v>SRPF-Single Rope Pairs Freestyle</v>
      </c>
    </row>
    <row r="2178" spans="1:9" x14ac:dyDescent="0.25">
      <c r="A2178">
        <f>'Team Info'!$B$3</f>
        <v>0</v>
      </c>
      <c r="B2178">
        <f>'Single Rope Pairs Freestyle'!A168</f>
        <v>16</v>
      </c>
      <c r="C2178" t="str">
        <f>'Single Rope Pairs Freestyle'!B168</f>
        <v>SRPF</v>
      </c>
      <c r="D2178" t="str">
        <f>'Single Rope Pairs Freestyle'!C168</f>
        <v>18-over</v>
      </c>
      <c r="E2178">
        <f>'Single Rope Pairs Freestyle'!D168</f>
        <v>0</v>
      </c>
      <c r="F2178">
        <f>'Single Rope Pairs Freestyle'!F168</f>
        <v>0</v>
      </c>
      <c r="I2178" t="str">
        <f t="shared" si="87"/>
        <v>SRPF-Single Rope Pairs Freestyle</v>
      </c>
    </row>
    <row r="2179" spans="1:9" x14ac:dyDescent="0.25">
      <c r="A2179">
        <f>'Team Info'!$B$3</f>
        <v>0</v>
      </c>
      <c r="B2179">
        <f>'Single Rope Pairs Freestyle'!A169</f>
        <v>17</v>
      </c>
      <c r="C2179" t="str">
        <f>'Single Rope Pairs Freestyle'!B169</f>
        <v>SRPF</v>
      </c>
      <c r="D2179" t="str">
        <f>'Single Rope Pairs Freestyle'!C169</f>
        <v>18-over</v>
      </c>
      <c r="E2179">
        <f>'Single Rope Pairs Freestyle'!D169</f>
        <v>0</v>
      </c>
      <c r="F2179">
        <f>'Single Rope Pairs Freestyle'!F169</f>
        <v>0</v>
      </c>
      <c r="I2179" t="str">
        <f t="shared" si="87"/>
        <v>SRPF-Single Rope Pairs Freestyle</v>
      </c>
    </row>
    <row r="2180" spans="1:9" x14ac:dyDescent="0.25">
      <c r="A2180">
        <f>'Team Info'!$B$3</f>
        <v>0</v>
      </c>
      <c r="B2180">
        <f>'Single Rope Pairs Freestyle'!A170</f>
        <v>18</v>
      </c>
      <c r="C2180" t="str">
        <f>'Single Rope Pairs Freestyle'!B170</f>
        <v>SRPF</v>
      </c>
      <c r="D2180" t="str">
        <f>'Single Rope Pairs Freestyle'!C170</f>
        <v>18-over</v>
      </c>
      <c r="E2180">
        <f>'Single Rope Pairs Freestyle'!D170</f>
        <v>0</v>
      </c>
      <c r="F2180">
        <f>'Single Rope Pairs Freestyle'!F170</f>
        <v>0</v>
      </c>
      <c r="I2180" t="str">
        <f t="shared" si="87"/>
        <v>SRPF-Single Rope Pairs Freestyle</v>
      </c>
    </row>
    <row r="2181" spans="1:9" x14ac:dyDescent="0.25">
      <c r="A2181">
        <f>'Team Info'!$B$3</f>
        <v>0</v>
      </c>
      <c r="B2181">
        <f>'Single Rope Pairs Freestyle'!A171</f>
        <v>19</v>
      </c>
      <c r="C2181" t="str">
        <f>'Single Rope Pairs Freestyle'!B171</f>
        <v>SRPF</v>
      </c>
      <c r="D2181" t="str">
        <f>'Single Rope Pairs Freestyle'!C171</f>
        <v>18-over</v>
      </c>
      <c r="E2181">
        <f>'Single Rope Pairs Freestyle'!D171</f>
        <v>0</v>
      </c>
      <c r="F2181">
        <f>'Single Rope Pairs Freestyle'!F171</f>
        <v>0</v>
      </c>
      <c r="I2181" t="str">
        <f t="shared" si="87"/>
        <v>SRPF-Single Rope Pairs Freestyle</v>
      </c>
    </row>
    <row r="2182" spans="1:9" x14ac:dyDescent="0.25">
      <c r="A2182">
        <f>'Team Info'!$B$3</f>
        <v>0</v>
      </c>
      <c r="B2182">
        <f>'Single Rope Pairs Freestyle'!A172</f>
        <v>20</v>
      </c>
      <c r="C2182" t="str">
        <f>'Single Rope Pairs Freestyle'!B172</f>
        <v>SRPF</v>
      </c>
      <c r="D2182" t="str">
        <f>'Single Rope Pairs Freestyle'!C172</f>
        <v>18-over</v>
      </c>
      <c r="E2182">
        <f>'Single Rope Pairs Freestyle'!D172</f>
        <v>0</v>
      </c>
      <c r="F2182">
        <f>'Single Rope Pairs Freestyle'!F172</f>
        <v>0</v>
      </c>
      <c r="I2182" t="str">
        <f t="shared" si="87"/>
        <v>SRPF-Single Rope Pairs Freestyle</v>
      </c>
    </row>
    <row r="2183" spans="1:9" x14ac:dyDescent="0.25">
      <c r="A2183">
        <f>'Team Info'!$B$3</f>
        <v>0</v>
      </c>
      <c r="B2183">
        <f>'Single Rope Pairs Freestyle'!A75</f>
        <v>1</v>
      </c>
      <c r="C2183" t="str">
        <f>'Single Rope Pairs Freestyle'!B75</f>
        <v>SRPF</v>
      </c>
      <c r="D2183" t="str">
        <f>'Single Rope Pairs Freestyle'!C75</f>
        <v>30-over</v>
      </c>
      <c r="E2183">
        <f>'Single Rope Pairs Freestyle'!D75</f>
        <v>0</v>
      </c>
      <c r="F2183">
        <f>'Single Rope Pairs Freestyle'!F75</f>
        <v>0</v>
      </c>
      <c r="I2183" t="str">
        <f t="shared" si="82"/>
        <v>SRPF-Single Rope Pairs Freestyle</v>
      </c>
    </row>
    <row r="2184" spans="1:9" x14ac:dyDescent="0.25">
      <c r="A2184">
        <f>'Team Info'!$B$3</f>
        <v>0</v>
      </c>
      <c r="B2184">
        <f>'Single Rope Pairs Freestyle'!A76</f>
        <v>2</v>
      </c>
      <c r="C2184" t="str">
        <f>'Single Rope Pairs Freestyle'!B76</f>
        <v>SRPF</v>
      </c>
      <c r="D2184" t="str">
        <f>'Single Rope Pairs Freestyle'!C76</f>
        <v>30-over</v>
      </c>
      <c r="E2184">
        <f>'Single Rope Pairs Freestyle'!D76</f>
        <v>0</v>
      </c>
      <c r="F2184">
        <f>'Single Rope Pairs Freestyle'!F76</f>
        <v>0</v>
      </c>
      <c r="I2184" t="str">
        <f t="shared" si="82"/>
        <v>SRPF-Single Rope Pairs Freestyle</v>
      </c>
    </row>
    <row r="2185" spans="1:9" x14ac:dyDescent="0.25">
      <c r="A2185">
        <f>'Team Info'!$B$3</f>
        <v>0</v>
      </c>
      <c r="B2185">
        <f>'Single Rope Pairs Freestyle'!A77</f>
        <v>3</v>
      </c>
      <c r="C2185" t="str">
        <f>'Single Rope Pairs Freestyle'!B77</f>
        <v>SRPF</v>
      </c>
      <c r="D2185" t="str">
        <f>'Single Rope Pairs Freestyle'!C77</f>
        <v>30-over</v>
      </c>
      <c r="E2185">
        <f>'Single Rope Pairs Freestyle'!D77</f>
        <v>0</v>
      </c>
      <c r="F2185">
        <f>'Single Rope Pairs Freestyle'!F77</f>
        <v>0</v>
      </c>
      <c r="I2185" t="str">
        <f t="shared" si="82"/>
        <v>SRPF-Single Rope Pairs Freestyle</v>
      </c>
    </row>
    <row r="2186" spans="1:9" x14ac:dyDescent="0.25">
      <c r="A2186">
        <f>'Team Info'!$B$3</f>
        <v>0</v>
      </c>
      <c r="B2186">
        <f>'SR Speed Relay'!A5</f>
        <v>1</v>
      </c>
      <c r="C2186" t="str">
        <f>'SR Speed Relay'!B5</f>
        <v>SRSR</v>
      </c>
      <c r="D2186" t="str">
        <f>'SR Speed Relay'!C5</f>
        <v>10-under</v>
      </c>
      <c r="E2186">
        <f>'SR Speed Relay'!D5</f>
        <v>0</v>
      </c>
      <c r="F2186">
        <f>'SR Speed Relay'!F5</f>
        <v>0</v>
      </c>
      <c r="G2186">
        <f>'SR Speed Relay'!H5</f>
        <v>0</v>
      </c>
      <c r="H2186">
        <f>'SR Speed Relay'!J5</f>
        <v>0</v>
      </c>
      <c r="I2186" t="str">
        <f t="shared" ref="I2186:I2209" si="88">VLOOKUP(C2186,EVENTS,2,FALSE)</f>
        <v>SRSR-Single Rope Speed Relay</v>
      </c>
    </row>
    <row r="2187" spans="1:9" x14ac:dyDescent="0.25">
      <c r="A2187">
        <f>'Team Info'!$B$3</f>
        <v>0</v>
      </c>
      <c r="B2187">
        <f>'SR Speed Relay'!A6</f>
        <v>2</v>
      </c>
      <c r="C2187" t="str">
        <f>'SR Speed Relay'!B6</f>
        <v>SRSR</v>
      </c>
      <c r="D2187" t="str">
        <f>'SR Speed Relay'!C6</f>
        <v>10-under</v>
      </c>
      <c r="E2187">
        <f>'SR Speed Relay'!D6</f>
        <v>0</v>
      </c>
      <c r="F2187">
        <f>'SR Speed Relay'!F6</f>
        <v>0</v>
      </c>
      <c r="G2187">
        <f>'SR Speed Relay'!H6</f>
        <v>0</v>
      </c>
      <c r="H2187">
        <f>'SR Speed Relay'!J6</f>
        <v>0</v>
      </c>
      <c r="I2187" t="str">
        <f t="shared" si="88"/>
        <v>SRSR-Single Rope Speed Relay</v>
      </c>
    </row>
    <row r="2188" spans="1:9" x14ac:dyDescent="0.25">
      <c r="A2188">
        <f>'Team Info'!$B$3</f>
        <v>0</v>
      </c>
      <c r="B2188">
        <f>'SR Speed Relay'!A7</f>
        <v>3</v>
      </c>
      <c r="C2188" t="str">
        <f>'SR Speed Relay'!B7</f>
        <v>SRSR</v>
      </c>
      <c r="D2188" t="str">
        <f>'SR Speed Relay'!C7</f>
        <v>10-under</v>
      </c>
      <c r="E2188">
        <f>'SR Speed Relay'!D7</f>
        <v>0</v>
      </c>
      <c r="F2188">
        <f>'SR Speed Relay'!F7</f>
        <v>0</v>
      </c>
      <c r="G2188">
        <f>'SR Speed Relay'!H7</f>
        <v>0</v>
      </c>
      <c r="H2188">
        <f>'SR Speed Relay'!J7</f>
        <v>0</v>
      </c>
      <c r="I2188" t="str">
        <f t="shared" si="88"/>
        <v>SRSR-Single Rope Speed Relay</v>
      </c>
    </row>
    <row r="2189" spans="1:9" x14ac:dyDescent="0.25">
      <c r="A2189">
        <f>'Team Info'!$B$3</f>
        <v>0</v>
      </c>
      <c r="B2189">
        <f>'SR Speed Relay'!A8</f>
        <v>4</v>
      </c>
      <c r="C2189" t="str">
        <f>'SR Speed Relay'!B8</f>
        <v>SRSR</v>
      </c>
      <c r="D2189" t="str">
        <f>'SR Speed Relay'!C8</f>
        <v>10-under</v>
      </c>
      <c r="E2189">
        <f>'SR Speed Relay'!D8</f>
        <v>0</v>
      </c>
      <c r="F2189">
        <f>'SR Speed Relay'!F8</f>
        <v>0</v>
      </c>
      <c r="G2189">
        <f>'SR Speed Relay'!H8</f>
        <v>0</v>
      </c>
      <c r="H2189">
        <f>'SR Speed Relay'!J8</f>
        <v>0</v>
      </c>
      <c r="I2189" t="str">
        <f t="shared" si="88"/>
        <v>SRSR-Single Rope Speed Relay</v>
      </c>
    </row>
    <row r="2190" spans="1:9" x14ac:dyDescent="0.25">
      <c r="A2190">
        <f>'Team Info'!$B$3</f>
        <v>0</v>
      </c>
      <c r="B2190">
        <f>'SR Speed Relay'!A9</f>
        <v>5</v>
      </c>
      <c r="C2190" t="str">
        <f>'SR Speed Relay'!B9</f>
        <v>SRSR</v>
      </c>
      <c r="D2190" t="str">
        <f>'SR Speed Relay'!C9</f>
        <v>10-under</v>
      </c>
      <c r="E2190">
        <f>'SR Speed Relay'!D9</f>
        <v>0</v>
      </c>
      <c r="F2190">
        <f>'SR Speed Relay'!F9</f>
        <v>0</v>
      </c>
      <c r="G2190">
        <f>'SR Speed Relay'!H9</f>
        <v>0</v>
      </c>
      <c r="H2190">
        <f>'SR Speed Relay'!J9</f>
        <v>0</v>
      </c>
      <c r="I2190" t="str">
        <f t="shared" si="88"/>
        <v>SRSR-Single Rope Speed Relay</v>
      </c>
    </row>
    <row r="2191" spans="1:9" x14ac:dyDescent="0.25">
      <c r="A2191">
        <f>'Team Info'!$B$3</f>
        <v>0</v>
      </c>
      <c r="B2191">
        <f>'SR Speed Relay'!A10</f>
        <v>6</v>
      </c>
      <c r="C2191" t="str">
        <f>'SR Speed Relay'!B10</f>
        <v>SRSR</v>
      </c>
      <c r="D2191" t="str">
        <f>'SR Speed Relay'!C10</f>
        <v>10-under</v>
      </c>
      <c r="E2191">
        <f>'SR Speed Relay'!D10</f>
        <v>0</v>
      </c>
      <c r="F2191">
        <f>'SR Speed Relay'!F10</f>
        <v>0</v>
      </c>
      <c r="G2191">
        <f>'SR Speed Relay'!H10</f>
        <v>0</v>
      </c>
      <c r="H2191">
        <f>'SR Speed Relay'!J10</f>
        <v>0</v>
      </c>
      <c r="I2191" t="str">
        <f t="shared" si="88"/>
        <v>SRSR-Single Rope Speed Relay</v>
      </c>
    </row>
    <row r="2192" spans="1:9" x14ac:dyDescent="0.25">
      <c r="A2192">
        <f>'Team Info'!$B$3</f>
        <v>0</v>
      </c>
      <c r="B2192">
        <f>'SR Speed Relay'!A11</f>
        <v>7</v>
      </c>
      <c r="C2192" t="str">
        <f>'SR Speed Relay'!B11</f>
        <v>SRSR</v>
      </c>
      <c r="D2192" t="str">
        <f>'SR Speed Relay'!C11</f>
        <v>10-under</v>
      </c>
      <c r="E2192">
        <f>'SR Speed Relay'!D11</f>
        <v>0</v>
      </c>
      <c r="F2192">
        <f>'SR Speed Relay'!F11</f>
        <v>0</v>
      </c>
      <c r="G2192">
        <f>'SR Speed Relay'!H11</f>
        <v>0</v>
      </c>
      <c r="H2192">
        <f>'SR Speed Relay'!J11</f>
        <v>0</v>
      </c>
      <c r="I2192" t="str">
        <f t="shared" si="88"/>
        <v>SRSR-Single Rope Speed Relay</v>
      </c>
    </row>
    <row r="2193" spans="1:9" x14ac:dyDescent="0.25">
      <c r="A2193">
        <f>'Team Info'!$B$3</f>
        <v>0</v>
      </c>
      <c r="B2193">
        <f>'SR Speed Relay'!A12</f>
        <v>8</v>
      </c>
      <c r="C2193" t="str">
        <f>'SR Speed Relay'!B12</f>
        <v>SRSR</v>
      </c>
      <c r="D2193" t="str">
        <f>'SR Speed Relay'!C12</f>
        <v>10-under</v>
      </c>
      <c r="E2193">
        <f>'SR Speed Relay'!D12</f>
        <v>0</v>
      </c>
      <c r="F2193">
        <f>'SR Speed Relay'!F12</f>
        <v>0</v>
      </c>
      <c r="G2193">
        <f>'SR Speed Relay'!H12</f>
        <v>0</v>
      </c>
      <c r="H2193">
        <f>'SR Speed Relay'!J12</f>
        <v>0</v>
      </c>
      <c r="I2193" t="str">
        <f t="shared" si="88"/>
        <v>SRSR-Single Rope Speed Relay</v>
      </c>
    </row>
    <row r="2194" spans="1:9" x14ac:dyDescent="0.25">
      <c r="A2194">
        <f>'Team Info'!$B$3</f>
        <v>0</v>
      </c>
      <c r="B2194">
        <f>'SR Speed Relay'!A13</f>
        <v>9</v>
      </c>
      <c r="C2194" t="str">
        <f>'SR Speed Relay'!B13</f>
        <v>SRSR</v>
      </c>
      <c r="D2194" t="str">
        <f>'SR Speed Relay'!C13</f>
        <v>10-under</v>
      </c>
      <c r="E2194">
        <f>'SR Speed Relay'!D13</f>
        <v>0</v>
      </c>
      <c r="F2194">
        <f>'SR Speed Relay'!F13</f>
        <v>0</v>
      </c>
      <c r="G2194">
        <f>'SR Speed Relay'!H13</f>
        <v>0</v>
      </c>
      <c r="H2194">
        <f>'SR Speed Relay'!J13</f>
        <v>0</v>
      </c>
      <c r="I2194" t="str">
        <f t="shared" si="88"/>
        <v>SRSR-Single Rope Speed Relay</v>
      </c>
    </row>
    <row r="2195" spans="1:9" x14ac:dyDescent="0.25">
      <c r="A2195">
        <f>'Team Info'!$B$3</f>
        <v>0</v>
      </c>
      <c r="B2195">
        <f>'SR Speed Relay'!A14</f>
        <v>10</v>
      </c>
      <c r="C2195" t="str">
        <f>'SR Speed Relay'!B14</f>
        <v>SRSR</v>
      </c>
      <c r="D2195" t="str">
        <f>'SR Speed Relay'!C14</f>
        <v>10-under</v>
      </c>
      <c r="E2195">
        <f>'SR Speed Relay'!D14</f>
        <v>0</v>
      </c>
      <c r="F2195">
        <f>'SR Speed Relay'!F14</f>
        <v>0</v>
      </c>
      <c r="G2195">
        <f>'SR Speed Relay'!H14</f>
        <v>0</v>
      </c>
      <c r="H2195">
        <f>'SR Speed Relay'!J14</f>
        <v>0</v>
      </c>
      <c r="I2195" t="str">
        <f t="shared" si="88"/>
        <v>SRSR-Single Rope Speed Relay</v>
      </c>
    </row>
    <row r="2196" spans="1:9" x14ac:dyDescent="0.25">
      <c r="A2196">
        <f>'Team Info'!$B$3</f>
        <v>0</v>
      </c>
      <c r="B2196">
        <f>'SR Speed Relay'!A15</f>
        <v>11</v>
      </c>
      <c r="C2196" t="str">
        <f>'SR Speed Relay'!B15</f>
        <v>SRSR</v>
      </c>
      <c r="D2196" t="str">
        <f>'SR Speed Relay'!C15</f>
        <v>10-under</v>
      </c>
      <c r="E2196">
        <f>'SR Speed Relay'!D15</f>
        <v>0</v>
      </c>
      <c r="F2196">
        <f>'SR Speed Relay'!F15</f>
        <v>0</v>
      </c>
      <c r="G2196">
        <f>'SR Speed Relay'!H15</f>
        <v>0</v>
      </c>
      <c r="H2196">
        <f>'SR Speed Relay'!J15</f>
        <v>0</v>
      </c>
      <c r="I2196" t="str">
        <f t="shared" si="88"/>
        <v>SRSR-Single Rope Speed Relay</v>
      </c>
    </row>
    <row r="2197" spans="1:9" x14ac:dyDescent="0.25">
      <c r="A2197">
        <f>'Team Info'!$B$3</f>
        <v>0</v>
      </c>
      <c r="B2197">
        <f>'SR Speed Relay'!A16</f>
        <v>12</v>
      </c>
      <c r="C2197" t="str">
        <f>'SR Speed Relay'!B16</f>
        <v>SRSR</v>
      </c>
      <c r="D2197" t="str">
        <f>'SR Speed Relay'!C16</f>
        <v>10-under</v>
      </c>
      <c r="E2197">
        <f>'SR Speed Relay'!D16</f>
        <v>0</v>
      </c>
      <c r="F2197">
        <f>'SR Speed Relay'!F16</f>
        <v>0</v>
      </c>
      <c r="G2197">
        <f>'SR Speed Relay'!H16</f>
        <v>0</v>
      </c>
      <c r="H2197">
        <f>'SR Speed Relay'!J16</f>
        <v>0</v>
      </c>
      <c r="I2197" t="str">
        <f t="shared" si="88"/>
        <v>SRSR-Single Rope Speed Relay</v>
      </c>
    </row>
    <row r="2198" spans="1:9" x14ac:dyDescent="0.25">
      <c r="A2198">
        <f>'Team Info'!$B$3</f>
        <v>0</v>
      </c>
      <c r="B2198">
        <f>'SR Speed Relay'!A19</f>
        <v>1</v>
      </c>
      <c r="C2198" t="str">
        <f>'SR Speed Relay'!B19</f>
        <v>SRSR</v>
      </c>
      <c r="D2198" t="str">
        <f>'SR Speed Relay'!C19</f>
        <v>11-12</v>
      </c>
      <c r="E2198">
        <f>'SR Speed Relay'!D19</f>
        <v>0</v>
      </c>
      <c r="F2198">
        <f>'SR Speed Relay'!F19</f>
        <v>0</v>
      </c>
      <c r="G2198">
        <f>'SR Speed Relay'!H19</f>
        <v>0</v>
      </c>
      <c r="H2198">
        <f>'SR Speed Relay'!J19</f>
        <v>0</v>
      </c>
      <c r="I2198" t="str">
        <f t="shared" si="88"/>
        <v>SRSR-Single Rope Speed Relay</v>
      </c>
    </row>
    <row r="2199" spans="1:9" x14ac:dyDescent="0.25">
      <c r="A2199">
        <f>'Team Info'!$B$3</f>
        <v>0</v>
      </c>
      <c r="B2199">
        <f>'SR Speed Relay'!A20</f>
        <v>2</v>
      </c>
      <c r="C2199" t="str">
        <f>'SR Speed Relay'!B20</f>
        <v>SRSR</v>
      </c>
      <c r="D2199" t="str">
        <f>'SR Speed Relay'!C20</f>
        <v>11-12</v>
      </c>
      <c r="E2199">
        <f>'SR Speed Relay'!D20</f>
        <v>0</v>
      </c>
      <c r="F2199">
        <f>'SR Speed Relay'!F20</f>
        <v>0</v>
      </c>
      <c r="G2199">
        <f>'SR Speed Relay'!H20</f>
        <v>0</v>
      </c>
      <c r="H2199">
        <f>'SR Speed Relay'!J20</f>
        <v>0</v>
      </c>
      <c r="I2199" t="str">
        <f t="shared" si="88"/>
        <v>SRSR-Single Rope Speed Relay</v>
      </c>
    </row>
    <row r="2200" spans="1:9" x14ac:dyDescent="0.25">
      <c r="A2200">
        <f>'Team Info'!$B$3</f>
        <v>0</v>
      </c>
      <c r="B2200">
        <f>'SR Speed Relay'!A21</f>
        <v>3</v>
      </c>
      <c r="C2200" t="str">
        <f>'SR Speed Relay'!B21</f>
        <v>SRSR</v>
      </c>
      <c r="D2200" t="str">
        <f>'SR Speed Relay'!C21</f>
        <v>11-12</v>
      </c>
      <c r="E2200">
        <f>'SR Speed Relay'!D21</f>
        <v>0</v>
      </c>
      <c r="F2200">
        <f>'SR Speed Relay'!F21</f>
        <v>0</v>
      </c>
      <c r="G2200">
        <f>'SR Speed Relay'!H21</f>
        <v>0</v>
      </c>
      <c r="H2200">
        <f>'SR Speed Relay'!J21</f>
        <v>0</v>
      </c>
      <c r="I2200" t="str">
        <f t="shared" si="88"/>
        <v>SRSR-Single Rope Speed Relay</v>
      </c>
    </row>
    <row r="2201" spans="1:9" x14ac:dyDescent="0.25">
      <c r="A2201">
        <f>'Team Info'!$B$3</f>
        <v>0</v>
      </c>
      <c r="B2201">
        <f>'SR Speed Relay'!A22</f>
        <v>4</v>
      </c>
      <c r="C2201" t="str">
        <f>'SR Speed Relay'!B22</f>
        <v>SRSR</v>
      </c>
      <c r="D2201" t="str">
        <f>'SR Speed Relay'!C22</f>
        <v>11-12</v>
      </c>
      <c r="E2201">
        <f>'SR Speed Relay'!D22</f>
        <v>0</v>
      </c>
      <c r="F2201">
        <f>'SR Speed Relay'!F22</f>
        <v>0</v>
      </c>
      <c r="G2201">
        <f>'SR Speed Relay'!H22</f>
        <v>0</v>
      </c>
      <c r="H2201">
        <f>'SR Speed Relay'!J22</f>
        <v>0</v>
      </c>
      <c r="I2201" t="str">
        <f t="shared" si="88"/>
        <v>SRSR-Single Rope Speed Relay</v>
      </c>
    </row>
    <row r="2202" spans="1:9" x14ac:dyDescent="0.25">
      <c r="A2202">
        <f>'Team Info'!$B$3</f>
        <v>0</v>
      </c>
      <c r="B2202">
        <f>'SR Speed Relay'!A23</f>
        <v>5</v>
      </c>
      <c r="C2202" t="str">
        <f>'SR Speed Relay'!B23</f>
        <v>SRSR</v>
      </c>
      <c r="D2202" t="str">
        <f>'SR Speed Relay'!C23</f>
        <v>11-12</v>
      </c>
      <c r="E2202">
        <f>'SR Speed Relay'!D23</f>
        <v>0</v>
      </c>
      <c r="F2202">
        <f>'SR Speed Relay'!F23</f>
        <v>0</v>
      </c>
      <c r="G2202">
        <f>'SR Speed Relay'!H23</f>
        <v>0</v>
      </c>
      <c r="H2202">
        <f>'SR Speed Relay'!J23</f>
        <v>0</v>
      </c>
      <c r="I2202" t="str">
        <f t="shared" si="88"/>
        <v>SRSR-Single Rope Speed Relay</v>
      </c>
    </row>
    <row r="2203" spans="1:9" x14ac:dyDescent="0.25">
      <c r="A2203">
        <f>'Team Info'!$B$3</f>
        <v>0</v>
      </c>
      <c r="B2203">
        <f>'SR Speed Relay'!A24</f>
        <v>6</v>
      </c>
      <c r="C2203" t="str">
        <f>'SR Speed Relay'!B24</f>
        <v>SRSR</v>
      </c>
      <c r="D2203" t="str">
        <f>'SR Speed Relay'!C24</f>
        <v>11-12</v>
      </c>
      <c r="E2203">
        <f>'SR Speed Relay'!D24</f>
        <v>0</v>
      </c>
      <c r="F2203">
        <f>'SR Speed Relay'!F24</f>
        <v>0</v>
      </c>
      <c r="G2203">
        <f>'SR Speed Relay'!H24</f>
        <v>0</v>
      </c>
      <c r="H2203">
        <f>'SR Speed Relay'!J24</f>
        <v>0</v>
      </c>
      <c r="I2203" t="str">
        <f t="shared" si="88"/>
        <v>SRSR-Single Rope Speed Relay</v>
      </c>
    </row>
    <row r="2204" spans="1:9" x14ac:dyDescent="0.25">
      <c r="A2204">
        <f>'Team Info'!$B$3</f>
        <v>0</v>
      </c>
      <c r="B2204">
        <f>'SR Speed Relay'!A25</f>
        <v>7</v>
      </c>
      <c r="C2204" t="str">
        <f>'SR Speed Relay'!B25</f>
        <v>SRSR</v>
      </c>
      <c r="D2204" t="str">
        <f>'SR Speed Relay'!C25</f>
        <v>11-12</v>
      </c>
      <c r="E2204">
        <f>'SR Speed Relay'!D25</f>
        <v>0</v>
      </c>
      <c r="F2204">
        <f>'SR Speed Relay'!F25</f>
        <v>0</v>
      </c>
      <c r="G2204">
        <f>'SR Speed Relay'!H25</f>
        <v>0</v>
      </c>
      <c r="H2204">
        <f>'SR Speed Relay'!J25</f>
        <v>0</v>
      </c>
      <c r="I2204" t="str">
        <f t="shared" si="88"/>
        <v>SRSR-Single Rope Speed Relay</v>
      </c>
    </row>
    <row r="2205" spans="1:9" x14ac:dyDescent="0.25">
      <c r="A2205">
        <f>'Team Info'!$B$3</f>
        <v>0</v>
      </c>
      <c r="B2205">
        <f>'SR Speed Relay'!A26</f>
        <v>8</v>
      </c>
      <c r="C2205" t="str">
        <f>'SR Speed Relay'!B26</f>
        <v>SRSR</v>
      </c>
      <c r="D2205" t="str">
        <f>'SR Speed Relay'!C26</f>
        <v>11-12</v>
      </c>
      <c r="E2205">
        <f>'SR Speed Relay'!D26</f>
        <v>0</v>
      </c>
      <c r="F2205">
        <f>'SR Speed Relay'!F26</f>
        <v>0</v>
      </c>
      <c r="G2205">
        <f>'SR Speed Relay'!H26</f>
        <v>0</v>
      </c>
      <c r="H2205">
        <f>'SR Speed Relay'!J26</f>
        <v>0</v>
      </c>
      <c r="I2205" t="str">
        <f t="shared" si="88"/>
        <v>SRSR-Single Rope Speed Relay</v>
      </c>
    </row>
    <row r="2206" spans="1:9" x14ac:dyDescent="0.25">
      <c r="A2206">
        <f>'Team Info'!$B$3</f>
        <v>0</v>
      </c>
      <c r="B2206">
        <f>'SR Speed Relay'!A27</f>
        <v>9</v>
      </c>
      <c r="C2206" t="str">
        <f>'SR Speed Relay'!B27</f>
        <v>SRSR</v>
      </c>
      <c r="D2206" t="str">
        <f>'SR Speed Relay'!C27</f>
        <v>11-12</v>
      </c>
      <c r="E2206">
        <f>'SR Speed Relay'!D27</f>
        <v>0</v>
      </c>
      <c r="F2206">
        <f>'SR Speed Relay'!F27</f>
        <v>0</v>
      </c>
      <c r="G2206">
        <f>'SR Speed Relay'!H27</f>
        <v>0</v>
      </c>
      <c r="H2206">
        <f>'SR Speed Relay'!J27</f>
        <v>0</v>
      </c>
      <c r="I2206" t="str">
        <f t="shared" si="88"/>
        <v>SRSR-Single Rope Speed Relay</v>
      </c>
    </row>
    <row r="2207" spans="1:9" x14ac:dyDescent="0.25">
      <c r="A2207">
        <f>'Team Info'!$B$3</f>
        <v>0</v>
      </c>
      <c r="B2207">
        <f>'SR Speed Relay'!A28</f>
        <v>10</v>
      </c>
      <c r="C2207" t="str">
        <f>'SR Speed Relay'!B28</f>
        <v>SRSR</v>
      </c>
      <c r="D2207" t="str">
        <f>'SR Speed Relay'!C28</f>
        <v>11-12</v>
      </c>
      <c r="E2207">
        <f>'SR Speed Relay'!D28</f>
        <v>0</v>
      </c>
      <c r="F2207">
        <f>'SR Speed Relay'!F28</f>
        <v>0</v>
      </c>
      <c r="G2207">
        <f>'SR Speed Relay'!H28</f>
        <v>0</v>
      </c>
      <c r="H2207">
        <f>'SR Speed Relay'!J28</f>
        <v>0</v>
      </c>
      <c r="I2207" t="str">
        <f t="shared" si="88"/>
        <v>SRSR-Single Rope Speed Relay</v>
      </c>
    </row>
    <row r="2208" spans="1:9" x14ac:dyDescent="0.25">
      <c r="A2208">
        <f>'Team Info'!$B$3</f>
        <v>0</v>
      </c>
      <c r="B2208">
        <f>'SR Speed Relay'!A29</f>
        <v>11</v>
      </c>
      <c r="C2208" t="str">
        <f>'SR Speed Relay'!B29</f>
        <v>SRSR</v>
      </c>
      <c r="D2208" t="str">
        <f>'SR Speed Relay'!C29</f>
        <v>11-12</v>
      </c>
      <c r="E2208">
        <f>'SR Speed Relay'!D29</f>
        <v>0</v>
      </c>
      <c r="F2208">
        <f>'SR Speed Relay'!F29</f>
        <v>0</v>
      </c>
      <c r="G2208">
        <f>'SR Speed Relay'!H29</f>
        <v>0</v>
      </c>
      <c r="H2208">
        <f>'SR Speed Relay'!J29</f>
        <v>0</v>
      </c>
      <c r="I2208" t="str">
        <f t="shared" si="88"/>
        <v>SRSR-Single Rope Speed Relay</v>
      </c>
    </row>
    <row r="2209" spans="1:9" x14ac:dyDescent="0.25">
      <c r="A2209">
        <f>'Team Info'!$B$3</f>
        <v>0</v>
      </c>
      <c r="B2209">
        <f>'SR Speed Relay'!A30</f>
        <v>12</v>
      </c>
      <c r="C2209" t="str">
        <f>'SR Speed Relay'!B30</f>
        <v>SRSR</v>
      </c>
      <c r="D2209" t="str">
        <f>'SR Speed Relay'!C30</f>
        <v>11-12</v>
      </c>
      <c r="E2209">
        <f>'SR Speed Relay'!D30</f>
        <v>0</v>
      </c>
      <c r="F2209">
        <f>'SR Speed Relay'!F30</f>
        <v>0</v>
      </c>
      <c r="G2209">
        <f>'SR Speed Relay'!H30</f>
        <v>0</v>
      </c>
      <c r="H2209">
        <f>'SR Speed Relay'!J30</f>
        <v>0</v>
      </c>
      <c r="I2209" t="str">
        <f t="shared" si="88"/>
        <v>SRSR-Single Rope Speed Relay</v>
      </c>
    </row>
    <row r="2210" spans="1:9" x14ac:dyDescent="0.25">
      <c r="A2210">
        <f>'Team Info'!$B$3</f>
        <v>0</v>
      </c>
      <c r="B2210">
        <f>'SR Speed Relay'!A33</f>
        <v>1</v>
      </c>
      <c r="C2210" t="str">
        <f>'SR Speed Relay'!B33</f>
        <v>SRSR</v>
      </c>
      <c r="D2210" t="str">
        <f>'SR Speed Relay'!C33</f>
        <v>13-14</v>
      </c>
      <c r="E2210">
        <f>'SR Speed Relay'!D33</f>
        <v>0</v>
      </c>
      <c r="F2210">
        <f>'SR Speed Relay'!F33</f>
        <v>0</v>
      </c>
      <c r="G2210">
        <f>'SR Speed Relay'!H33</f>
        <v>0</v>
      </c>
      <c r="H2210">
        <f>'SR Speed Relay'!J33</f>
        <v>0</v>
      </c>
      <c r="I2210" t="str">
        <f t="shared" ref="I2210:I2245" si="89">VLOOKUP(C2210,EVENTS,2,FALSE)</f>
        <v>SRSR-Single Rope Speed Relay</v>
      </c>
    </row>
    <row r="2211" spans="1:9" x14ac:dyDescent="0.25">
      <c r="A2211">
        <f>'Team Info'!$B$3</f>
        <v>0</v>
      </c>
      <c r="B2211">
        <f>'SR Speed Relay'!A34</f>
        <v>2</v>
      </c>
      <c r="C2211" t="str">
        <f>'SR Speed Relay'!B34</f>
        <v>SRSR</v>
      </c>
      <c r="D2211" t="str">
        <f>'SR Speed Relay'!C34</f>
        <v>13-14</v>
      </c>
      <c r="E2211">
        <f>'SR Speed Relay'!D34</f>
        <v>0</v>
      </c>
      <c r="F2211">
        <f>'SR Speed Relay'!F34</f>
        <v>0</v>
      </c>
      <c r="G2211">
        <f>'SR Speed Relay'!H34</f>
        <v>0</v>
      </c>
      <c r="H2211">
        <f>'SR Speed Relay'!J34</f>
        <v>0</v>
      </c>
      <c r="I2211" t="str">
        <f t="shared" si="89"/>
        <v>SRSR-Single Rope Speed Relay</v>
      </c>
    </row>
    <row r="2212" spans="1:9" x14ac:dyDescent="0.25">
      <c r="A2212">
        <f>'Team Info'!$B$3</f>
        <v>0</v>
      </c>
      <c r="B2212">
        <f>'SR Speed Relay'!A35</f>
        <v>3</v>
      </c>
      <c r="C2212" t="str">
        <f>'SR Speed Relay'!B35</f>
        <v>SRSR</v>
      </c>
      <c r="D2212" t="str">
        <f>'SR Speed Relay'!C35</f>
        <v>13-14</v>
      </c>
      <c r="E2212">
        <f>'SR Speed Relay'!D35</f>
        <v>0</v>
      </c>
      <c r="F2212">
        <f>'SR Speed Relay'!F35</f>
        <v>0</v>
      </c>
      <c r="G2212">
        <f>'SR Speed Relay'!H35</f>
        <v>0</v>
      </c>
      <c r="H2212">
        <f>'SR Speed Relay'!J35</f>
        <v>0</v>
      </c>
      <c r="I2212" t="str">
        <f t="shared" si="89"/>
        <v>SRSR-Single Rope Speed Relay</v>
      </c>
    </row>
    <row r="2213" spans="1:9" x14ac:dyDescent="0.25">
      <c r="A2213">
        <f>'Team Info'!$B$3</f>
        <v>0</v>
      </c>
      <c r="B2213">
        <f>'SR Speed Relay'!A36</f>
        <v>4</v>
      </c>
      <c r="C2213" t="str">
        <f>'SR Speed Relay'!B36</f>
        <v>SRSR</v>
      </c>
      <c r="D2213" t="str">
        <f>'SR Speed Relay'!C36</f>
        <v>13-14</v>
      </c>
      <c r="E2213">
        <f>'SR Speed Relay'!D36</f>
        <v>0</v>
      </c>
      <c r="F2213">
        <f>'SR Speed Relay'!F36</f>
        <v>0</v>
      </c>
      <c r="G2213">
        <f>'SR Speed Relay'!H36</f>
        <v>0</v>
      </c>
      <c r="H2213">
        <f>'SR Speed Relay'!J36</f>
        <v>0</v>
      </c>
      <c r="I2213" t="str">
        <f t="shared" si="89"/>
        <v>SRSR-Single Rope Speed Relay</v>
      </c>
    </row>
    <row r="2214" spans="1:9" x14ac:dyDescent="0.25">
      <c r="A2214">
        <f>'Team Info'!$B$3</f>
        <v>0</v>
      </c>
      <c r="B2214">
        <f>'SR Speed Relay'!A37</f>
        <v>5</v>
      </c>
      <c r="C2214" t="str">
        <f>'SR Speed Relay'!B37</f>
        <v>SRSR</v>
      </c>
      <c r="D2214" t="str">
        <f>'SR Speed Relay'!C37</f>
        <v>13-14</v>
      </c>
      <c r="E2214">
        <f>'SR Speed Relay'!D37</f>
        <v>0</v>
      </c>
      <c r="F2214">
        <f>'SR Speed Relay'!F37</f>
        <v>0</v>
      </c>
      <c r="G2214">
        <f>'SR Speed Relay'!H37</f>
        <v>0</v>
      </c>
      <c r="H2214">
        <f>'SR Speed Relay'!J37</f>
        <v>0</v>
      </c>
      <c r="I2214" t="str">
        <f t="shared" si="89"/>
        <v>SRSR-Single Rope Speed Relay</v>
      </c>
    </row>
    <row r="2215" spans="1:9" x14ac:dyDescent="0.25">
      <c r="A2215">
        <f>'Team Info'!$B$3</f>
        <v>0</v>
      </c>
      <c r="B2215">
        <f>'SR Speed Relay'!A38</f>
        <v>6</v>
      </c>
      <c r="C2215" t="str">
        <f>'SR Speed Relay'!B38</f>
        <v>SRSR</v>
      </c>
      <c r="D2215" t="str">
        <f>'SR Speed Relay'!C38</f>
        <v>13-14</v>
      </c>
      <c r="E2215">
        <f>'SR Speed Relay'!D38</f>
        <v>0</v>
      </c>
      <c r="F2215">
        <f>'SR Speed Relay'!F38</f>
        <v>0</v>
      </c>
      <c r="G2215">
        <f>'SR Speed Relay'!H38</f>
        <v>0</v>
      </c>
      <c r="H2215">
        <f>'SR Speed Relay'!J38</f>
        <v>0</v>
      </c>
      <c r="I2215" t="str">
        <f t="shared" si="89"/>
        <v>SRSR-Single Rope Speed Relay</v>
      </c>
    </row>
    <row r="2216" spans="1:9" x14ac:dyDescent="0.25">
      <c r="A2216">
        <f>'Team Info'!$B$3</f>
        <v>0</v>
      </c>
      <c r="B2216">
        <f>'SR Speed Relay'!A39</f>
        <v>7</v>
      </c>
      <c r="C2216" t="str">
        <f>'SR Speed Relay'!B39</f>
        <v>SRSR</v>
      </c>
      <c r="D2216" t="str">
        <f>'SR Speed Relay'!C39</f>
        <v>13-14</v>
      </c>
      <c r="E2216">
        <f>'SR Speed Relay'!D39</f>
        <v>0</v>
      </c>
      <c r="F2216">
        <f>'SR Speed Relay'!F39</f>
        <v>0</v>
      </c>
      <c r="G2216">
        <f>'SR Speed Relay'!H39</f>
        <v>0</v>
      </c>
      <c r="H2216">
        <f>'SR Speed Relay'!J39</f>
        <v>0</v>
      </c>
      <c r="I2216" t="str">
        <f t="shared" si="89"/>
        <v>SRSR-Single Rope Speed Relay</v>
      </c>
    </row>
    <row r="2217" spans="1:9" x14ac:dyDescent="0.25">
      <c r="A2217">
        <f>'Team Info'!$B$3</f>
        <v>0</v>
      </c>
      <c r="B2217">
        <f>'SR Speed Relay'!A40</f>
        <v>8</v>
      </c>
      <c r="C2217" t="str">
        <f>'SR Speed Relay'!B40</f>
        <v>SRSR</v>
      </c>
      <c r="D2217" t="str">
        <f>'SR Speed Relay'!C40</f>
        <v>13-14</v>
      </c>
      <c r="E2217">
        <f>'SR Speed Relay'!D40</f>
        <v>0</v>
      </c>
      <c r="F2217">
        <f>'SR Speed Relay'!F40</f>
        <v>0</v>
      </c>
      <c r="G2217">
        <f>'SR Speed Relay'!H40</f>
        <v>0</v>
      </c>
      <c r="H2217">
        <f>'SR Speed Relay'!J40</f>
        <v>0</v>
      </c>
      <c r="I2217" t="str">
        <f t="shared" si="89"/>
        <v>SRSR-Single Rope Speed Relay</v>
      </c>
    </row>
    <row r="2218" spans="1:9" x14ac:dyDescent="0.25">
      <c r="A2218">
        <f>'Team Info'!$B$3</f>
        <v>0</v>
      </c>
      <c r="B2218">
        <f>'SR Speed Relay'!A41</f>
        <v>9</v>
      </c>
      <c r="C2218" t="str">
        <f>'SR Speed Relay'!B41</f>
        <v>SRSR</v>
      </c>
      <c r="D2218" t="str">
        <f>'SR Speed Relay'!C41</f>
        <v>13-14</v>
      </c>
      <c r="E2218">
        <f>'SR Speed Relay'!D41</f>
        <v>0</v>
      </c>
      <c r="F2218">
        <f>'SR Speed Relay'!F41</f>
        <v>0</v>
      </c>
      <c r="G2218">
        <f>'SR Speed Relay'!H41</f>
        <v>0</v>
      </c>
      <c r="H2218">
        <f>'SR Speed Relay'!J41</f>
        <v>0</v>
      </c>
      <c r="I2218" t="str">
        <f t="shared" si="89"/>
        <v>SRSR-Single Rope Speed Relay</v>
      </c>
    </row>
    <row r="2219" spans="1:9" x14ac:dyDescent="0.25">
      <c r="A2219">
        <f>'Team Info'!$B$3</f>
        <v>0</v>
      </c>
      <c r="B2219">
        <f>'SR Speed Relay'!A42</f>
        <v>10</v>
      </c>
      <c r="C2219" t="str">
        <f>'SR Speed Relay'!B42</f>
        <v>SRSR</v>
      </c>
      <c r="D2219" t="str">
        <f>'SR Speed Relay'!C42</f>
        <v>13-14</v>
      </c>
      <c r="E2219">
        <f>'SR Speed Relay'!D42</f>
        <v>0</v>
      </c>
      <c r="F2219">
        <f>'SR Speed Relay'!F42</f>
        <v>0</v>
      </c>
      <c r="G2219">
        <f>'SR Speed Relay'!H42</f>
        <v>0</v>
      </c>
      <c r="H2219">
        <f>'SR Speed Relay'!J42</f>
        <v>0</v>
      </c>
      <c r="I2219" t="str">
        <f t="shared" si="89"/>
        <v>SRSR-Single Rope Speed Relay</v>
      </c>
    </row>
    <row r="2220" spans="1:9" x14ac:dyDescent="0.25">
      <c r="A2220">
        <f>'Team Info'!$B$3</f>
        <v>0</v>
      </c>
      <c r="B2220">
        <f>'SR Speed Relay'!A45</f>
        <v>1</v>
      </c>
      <c r="C2220" t="str">
        <f>'SR Speed Relay'!B45</f>
        <v>SRSR</v>
      </c>
      <c r="D2220" t="str">
        <f>'SR Speed Relay'!C45</f>
        <v>15-17</v>
      </c>
      <c r="E2220">
        <f>'SR Speed Relay'!D45</f>
        <v>0</v>
      </c>
      <c r="F2220">
        <f>'SR Speed Relay'!F45</f>
        <v>0</v>
      </c>
      <c r="G2220">
        <f>'SR Speed Relay'!H45</f>
        <v>0</v>
      </c>
      <c r="H2220">
        <f>'SR Speed Relay'!J45</f>
        <v>0</v>
      </c>
      <c r="I2220" t="str">
        <f t="shared" si="89"/>
        <v>SRSR-Single Rope Speed Relay</v>
      </c>
    </row>
    <row r="2221" spans="1:9" x14ac:dyDescent="0.25">
      <c r="A2221">
        <f>'Team Info'!$B$3</f>
        <v>0</v>
      </c>
      <c r="B2221">
        <f>'SR Speed Relay'!A46</f>
        <v>2</v>
      </c>
      <c r="C2221" t="str">
        <f>'SR Speed Relay'!B46</f>
        <v>SRSR</v>
      </c>
      <c r="D2221" t="str">
        <f>'SR Speed Relay'!C46</f>
        <v>15-17</v>
      </c>
      <c r="E2221">
        <f>'SR Speed Relay'!D46</f>
        <v>0</v>
      </c>
      <c r="F2221">
        <f>'SR Speed Relay'!F46</f>
        <v>0</v>
      </c>
      <c r="G2221">
        <f>'SR Speed Relay'!H46</f>
        <v>0</v>
      </c>
      <c r="H2221">
        <f>'SR Speed Relay'!J46</f>
        <v>0</v>
      </c>
      <c r="I2221" t="str">
        <f t="shared" si="89"/>
        <v>SRSR-Single Rope Speed Relay</v>
      </c>
    </row>
    <row r="2222" spans="1:9" x14ac:dyDescent="0.25">
      <c r="A2222">
        <f>'Team Info'!$B$3</f>
        <v>0</v>
      </c>
      <c r="B2222">
        <f>'SR Speed Relay'!A47</f>
        <v>3</v>
      </c>
      <c r="C2222" t="str">
        <f>'SR Speed Relay'!B47</f>
        <v>SRSR</v>
      </c>
      <c r="D2222" t="str">
        <f>'SR Speed Relay'!C47</f>
        <v>15-17</v>
      </c>
      <c r="E2222">
        <f>'SR Speed Relay'!D47</f>
        <v>0</v>
      </c>
      <c r="F2222">
        <f>'SR Speed Relay'!F47</f>
        <v>0</v>
      </c>
      <c r="G2222">
        <f>'SR Speed Relay'!H47</f>
        <v>0</v>
      </c>
      <c r="H2222">
        <f>'SR Speed Relay'!J47</f>
        <v>0</v>
      </c>
      <c r="I2222" t="str">
        <f t="shared" si="89"/>
        <v>SRSR-Single Rope Speed Relay</v>
      </c>
    </row>
    <row r="2223" spans="1:9" x14ac:dyDescent="0.25">
      <c r="A2223">
        <f>'Team Info'!$B$3</f>
        <v>0</v>
      </c>
      <c r="B2223">
        <f>'SR Speed Relay'!A48</f>
        <v>4</v>
      </c>
      <c r="C2223" t="str">
        <f>'SR Speed Relay'!B48</f>
        <v>SRSR</v>
      </c>
      <c r="D2223" t="str">
        <f>'SR Speed Relay'!C48</f>
        <v>15-17</v>
      </c>
      <c r="E2223">
        <f>'SR Speed Relay'!D48</f>
        <v>0</v>
      </c>
      <c r="F2223">
        <f>'SR Speed Relay'!F48</f>
        <v>0</v>
      </c>
      <c r="G2223">
        <f>'SR Speed Relay'!H48</f>
        <v>0</v>
      </c>
      <c r="H2223">
        <f>'SR Speed Relay'!J48</f>
        <v>0</v>
      </c>
      <c r="I2223" t="str">
        <f t="shared" si="89"/>
        <v>SRSR-Single Rope Speed Relay</v>
      </c>
    </row>
    <row r="2224" spans="1:9" x14ac:dyDescent="0.25">
      <c r="A2224">
        <f>'Team Info'!$B$3</f>
        <v>0</v>
      </c>
      <c r="B2224">
        <f>'SR Speed Relay'!A49</f>
        <v>5</v>
      </c>
      <c r="C2224" t="str">
        <f>'SR Speed Relay'!B49</f>
        <v>SRSR</v>
      </c>
      <c r="D2224" t="str">
        <f>'SR Speed Relay'!C49</f>
        <v>15-17</v>
      </c>
      <c r="E2224">
        <f>'SR Speed Relay'!D49</f>
        <v>0</v>
      </c>
      <c r="F2224">
        <f>'SR Speed Relay'!F49</f>
        <v>0</v>
      </c>
      <c r="G2224">
        <f>'SR Speed Relay'!H49</f>
        <v>0</v>
      </c>
      <c r="H2224">
        <f>'SR Speed Relay'!J49</f>
        <v>0</v>
      </c>
      <c r="I2224" t="str">
        <f t="shared" si="89"/>
        <v>SRSR-Single Rope Speed Relay</v>
      </c>
    </row>
    <row r="2225" spans="1:9" x14ac:dyDescent="0.25">
      <c r="A2225">
        <f>'Team Info'!$B$3</f>
        <v>0</v>
      </c>
      <c r="B2225">
        <f>'SR Speed Relay'!A50</f>
        <v>6</v>
      </c>
      <c r="C2225" t="str">
        <f>'SR Speed Relay'!B50</f>
        <v>SRSR</v>
      </c>
      <c r="D2225" t="str">
        <f>'SR Speed Relay'!C50</f>
        <v>15-17</v>
      </c>
      <c r="E2225">
        <f>'SR Speed Relay'!D50</f>
        <v>0</v>
      </c>
      <c r="F2225">
        <f>'SR Speed Relay'!F50</f>
        <v>0</v>
      </c>
      <c r="G2225">
        <f>'SR Speed Relay'!H50</f>
        <v>0</v>
      </c>
      <c r="H2225">
        <f>'SR Speed Relay'!J50</f>
        <v>0</v>
      </c>
      <c r="I2225" t="str">
        <f t="shared" si="89"/>
        <v>SRSR-Single Rope Speed Relay</v>
      </c>
    </row>
    <row r="2226" spans="1:9" x14ac:dyDescent="0.25">
      <c r="A2226">
        <f>'Team Info'!$B$3</f>
        <v>0</v>
      </c>
      <c r="B2226">
        <f>'SR Speed Relay'!A51</f>
        <v>7</v>
      </c>
      <c r="C2226" t="str">
        <f>'SR Speed Relay'!B51</f>
        <v>SRSR</v>
      </c>
      <c r="D2226" t="str">
        <f>'SR Speed Relay'!C51</f>
        <v>15-17</v>
      </c>
      <c r="E2226">
        <f>'SR Speed Relay'!D51</f>
        <v>0</v>
      </c>
      <c r="F2226">
        <f>'SR Speed Relay'!F51</f>
        <v>0</v>
      </c>
      <c r="G2226">
        <f>'SR Speed Relay'!H51</f>
        <v>0</v>
      </c>
      <c r="H2226">
        <f>'SR Speed Relay'!J51</f>
        <v>0</v>
      </c>
      <c r="I2226" t="str">
        <f t="shared" si="89"/>
        <v>SRSR-Single Rope Speed Relay</v>
      </c>
    </row>
    <row r="2227" spans="1:9" x14ac:dyDescent="0.25">
      <c r="A2227">
        <f>'Team Info'!$B$3</f>
        <v>0</v>
      </c>
      <c r="B2227">
        <f>'SR Speed Relay'!A52</f>
        <v>8</v>
      </c>
      <c r="C2227" t="str">
        <f>'SR Speed Relay'!B52</f>
        <v>SRSR</v>
      </c>
      <c r="D2227" t="str">
        <f>'SR Speed Relay'!C52</f>
        <v>15-17</v>
      </c>
      <c r="E2227">
        <f>'SR Speed Relay'!D52</f>
        <v>0</v>
      </c>
      <c r="F2227">
        <f>'SR Speed Relay'!F52</f>
        <v>0</v>
      </c>
      <c r="G2227">
        <f>'SR Speed Relay'!H52</f>
        <v>0</v>
      </c>
      <c r="H2227">
        <f>'SR Speed Relay'!J52</f>
        <v>0</v>
      </c>
      <c r="I2227" t="str">
        <f t="shared" si="89"/>
        <v>SRSR-Single Rope Speed Relay</v>
      </c>
    </row>
    <row r="2228" spans="1:9" x14ac:dyDescent="0.25">
      <c r="A2228">
        <f>'Team Info'!$B$3</f>
        <v>0</v>
      </c>
      <c r="B2228">
        <f>'SR Speed Relay'!A55</f>
        <v>1</v>
      </c>
      <c r="C2228" t="str">
        <f>'SR Speed Relay'!B55</f>
        <v>SRSR</v>
      </c>
      <c r="D2228" t="str">
        <f>'SR Speed Relay'!C55</f>
        <v>18-over</v>
      </c>
      <c r="E2228">
        <f>'SR Speed Relay'!D55</f>
        <v>0</v>
      </c>
      <c r="F2228">
        <f>'SR Speed Relay'!F55</f>
        <v>0</v>
      </c>
      <c r="G2228">
        <f>'SR Speed Relay'!H55</f>
        <v>0</v>
      </c>
      <c r="H2228">
        <f>'SR Speed Relay'!J55</f>
        <v>0</v>
      </c>
      <c r="I2228" t="str">
        <f t="shared" si="89"/>
        <v>SRSR-Single Rope Speed Relay</v>
      </c>
    </row>
    <row r="2229" spans="1:9" x14ac:dyDescent="0.25">
      <c r="A2229">
        <f>'Team Info'!$B$3</f>
        <v>0</v>
      </c>
      <c r="B2229">
        <f>'SR Speed Relay'!A56</f>
        <v>2</v>
      </c>
      <c r="C2229" t="str">
        <f>'SR Speed Relay'!B56</f>
        <v>SRSR</v>
      </c>
      <c r="D2229" t="str">
        <f>'SR Speed Relay'!C56</f>
        <v>18-over</v>
      </c>
      <c r="E2229">
        <f>'SR Speed Relay'!D56</f>
        <v>0</v>
      </c>
      <c r="F2229">
        <f>'SR Speed Relay'!F56</f>
        <v>0</v>
      </c>
      <c r="G2229">
        <f>'SR Speed Relay'!H56</f>
        <v>0</v>
      </c>
      <c r="H2229">
        <f>'SR Speed Relay'!J56</f>
        <v>0</v>
      </c>
      <c r="I2229" t="str">
        <f t="shared" si="89"/>
        <v>SRSR-Single Rope Speed Relay</v>
      </c>
    </row>
    <row r="2230" spans="1:9" x14ac:dyDescent="0.25">
      <c r="A2230">
        <f>'Team Info'!$B$3</f>
        <v>0</v>
      </c>
      <c r="B2230">
        <f>'SR Speed Relay'!A57</f>
        <v>3</v>
      </c>
      <c r="C2230" t="str">
        <f>'SR Speed Relay'!B57</f>
        <v>SRSR</v>
      </c>
      <c r="D2230" t="str">
        <f>'SR Speed Relay'!C57</f>
        <v>18-over</v>
      </c>
      <c r="E2230">
        <f>'SR Speed Relay'!D57</f>
        <v>0</v>
      </c>
      <c r="F2230">
        <f>'SR Speed Relay'!F57</f>
        <v>0</v>
      </c>
      <c r="G2230">
        <f>'SR Speed Relay'!H57</f>
        <v>0</v>
      </c>
      <c r="H2230">
        <f>'SR Speed Relay'!J57</f>
        <v>0</v>
      </c>
      <c r="I2230" t="str">
        <f t="shared" si="89"/>
        <v>SRSR-Single Rope Speed Relay</v>
      </c>
    </row>
    <row r="2231" spans="1:9" x14ac:dyDescent="0.25">
      <c r="A2231">
        <f>'Team Info'!$B$3</f>
        <v>0</v>
      </c>
      <c r="B2231">
        <f>'SR Speed Relay'!A58</f>
        <v>4</v>
      </c>
      <c r="C2231" t="str">
        <f>'SR Speed Relay'!B58</f>
        <v>SRSR</v>
      </c>
      <c r="D2231" t="str">
        <f>'SR Speed Relay'!C58</f>
        <v>18-over</v>
      </c>
      <c r="E2231">
        <f>'SR Speed Relay'!D58</f>
        <v>0</v>
      </c>
      <c r="F2231">
        <f>'SR Speed Relay'!F58</f>
        <v>0</v>
      </c>
      <c r="G2231">
        <f>'SR Speed Relay'!H58</f>
        <v>0</v>
      </c>
      <c r="H2231">
        <f>'SR Speed Relay'!J58</f>
        <v>0</v>
      </c>
      <c r="I2231" t="str">
        <f t="shared" si="89"/>
        <v>SRSR-Single Rope Speed Relay</v>
      </c>
    </row>
    <row r="2232" spans="1:9" x14ac:dyDescent="0.25">
      <c r="A2232">
        <f>'Team Info'!$B$3</f>
        <v>0</v>
      </c>
      <c r="B2232">
        <f>'SR Speed Relay'!A59</f>
        <v>5</v>
      </c>
      <c r="C2232" t="str">
        <f>'SR Speed Relay'!B59</f>
        <v>SRSR</v>
      </c>
      <c r="D2232" t="str">
        <f>'SR Speed Relay'!C59</f>
        <v>18-over</v>
      </c>
      <c r="E2232">
        <f>'SR Speed Relay'!D59</f>
        <v>0</v>
      </c>
      <c r="F2232">
        <f>'SR Speed Relay'!F59</f>
        <v>0</v>
      </c>
      <c r="G2232">
        <f>'SR Speed Relay'!H59</f>
        <v>0</v>
      </c>
      <c r="H2232">
        <f>'SR Speed Relay'!J59</f>
        <v>0</v>
      </c>
      <c r="I2232" t="str">
        <f t="shared" si="89"/>
        <v>SRSR-Single Rope Speed Relay</v>
      </c>
    </row>
    <row r="2233" spans="1:9" x14ac:dyDescent="0.25">
      <c r="A2233">
        <f>'Team Info'!$B$3</f>
        <v>0</v>
      </c>
      <c r="B2233">
        <f>'SR Speed Relay'!A60</f>
        <v>6</v>
      </c>
      <c r="C2233" t="str">
        <f>'SR Speed Relay'!B60</f>
        <v>SRSR</v>
      </c>
      <c r="D2233" t="str">
        <f>'SR Speed Relay'!C60</f>
        <v>18-over</v>
      </c>
      <c r="E2233">
        <f>'SR Speed Relay'!D60</f>
        <v>0</v>
      </c>
      <c r="F2233">
        <f>'SR Speed Relay'!F60</f>
        <v>0</v>
      </c>
      <c r="G2233">
        <f>'SR Speed Relay'!H60</f>
        <v>0</v>
      </c>
      <c r="H2233">
        <f>'SR Speed Relay'!J60</f>
        <v>0</v>
      </c>
      <c r="I2233" t="str">
        <f t="shared" si="89"/>
        <v>SRSR-Single Rope Speed Relay</v>
      </c>
    </row>
    <row r="2234" spans="1:9" x14ac:dyDescent="0.25">
      <c r="A2234">
        <f>'Team Info'!$B$3</f>
        <v>0</v>
      </c>
      <c r="B2234">
        <f>'SR Speed Relay'!A61</f>
        <v>7</v>
      </c>
      <c r="C2234" t="str">
        <f>'SR Speed Relay'!B61</f>
        <v>SRSR</v>
      </c>
      <c r="D2234" t="str">
        <f>'SR Speed Relay'!C61</f>
        <v>18-over</v>
      </c>
      <c r="E2234">
        <f>'SR Speed Relay'!D61</f>
        <v>0</v>
      </c>
      <c r="F2234">
        <f>'SR Speed Relay'!F61</f>
        <v>0</v>
      </c>
      <c r="G2234">
        <f>'SR Speed Relay'!H61</f>
        <v>0</v>
      </c>
      <c r="H2234">
        <f>'SR Speed Relay'!J61</f>
        <v>0</v>
      </c>
      <c r="I2234" t="str">
        <f t="shared" si="89"/>
        <v>SRSR-Single Rope Speed Relay</v>
      </c>
    </row>
    <row r="2235" spans="1:9" x14ac:dyDescent="0.25">
      <c r="A2235">
        <f>'Team Info'!$B$3</f>
        <v>0</v>
      </c>
      <c r="B2235">
        <f>'SR Speed Relay'!A62</f>
        <v>8</v>
      </c>
      <c r="C2235" t="str">
        <f>'SR Speed Relay'!B62</f>
        <v>SRSR</v>
      </c>
      <c r="D2235" t="str">
        <f>'SR Speed Relay'!C62</f>
        <v>18-over</v>
      </c>
      <c r="E2235">
        <f>'SR Speed Relay'!D62</f>
        <v>0</v>
      </c>
      <c r="F2235">
        <f>'SR Speed Relay'!F62</f>
        <v>0</v>
      </c>
      <c r="G2235">
        <f>'SR Speed Relay'!H62</f>
        <v>0</v>
      </c>
      <c r="H2235">
        <f>'SR Speed Relay'!J62</f>
        <v>0</v>
      </c>
      <c r="I2235" t="str">
        <f t="shared" si="89"/>
        <v>SRSR-Single Rope Speed Relay</v>
      </c>
    </row>
    <row r="2236" spans="1:9" x14ac:dyDescent="0.25">
      <c r="A2236">
        <f>'Team Info'!$B$3</f>
        <v>0</v>
      </c>
      <c r="B2236">
        <f>'SR Speed Relay'!A65</f>
        <v>1</v>
      </c>
      <c r="C2236" t="str">
        <f>'SR Speed Relay'!B65</f>
        <v>SRSR</v>
      </c>
      <c r="D2236" t="str">
        <f>'SR Speed Relay'!C65</f>
        <v>30-over</v>
      </c>
      <c r="E2236">
        <f>'SR Speed Relay'!D65</f>
        <v>0</v>
      </c>
      <c r="F2236">
        <f>'SR Speed Relay'!F65</f>
        <v>0</v>
      </c>
      <c r="G2236">
        <f>'SR Speed Relay'!H65</f>
        <v>0</v>
      </c>
      <c r="H2236">
        <f>'SR Speed Relay'!J65</f>
        <v>0</v>
      </c>
      <c r="I2236" t="str">
        <f t="shared" si="89"/>
        <v>SRSR-Single Rope Speed Relay</v>
      </c>
    </row>
    <row r="2237" spans="1:9" x14ac:dyDescent="0.25">
      <c r="A2237">
        <f>'Team Info'!$B$3</f>
        <v>0</v>
      </c>
      <c r="B2237">
        <f>'SR Speed Relay'!A66</f>
        <v>2</v>
      </c>
      <c r="C2237" t="str">
        <f>'SR Speed Relay'!B66</f>
        <v>SRSR</v>
      </c>
      <c r="D2237" t="str">
        <f>'SR Speed Relay'!C66</f>
        <v>30-over</v>
      </c>
      <c r="E2237">
        <f>'SR Speed Relay'!D66</f>
        <v>0</v>
      </c>
      <c r="F2237">
        <f>'SR Speed Relay'!F66</f>
        <v>0</v>
      </c>
      <c r="G2237">
        <f>'SR Speed Relay'!H66</f>
        <v>0</v>
      </c>
      <c r="H2237">
        <f>'SR Speed Relay'!J66</f>
        <v>0</v>
      </c>
      <c r="I2237" t="str">
        <f t="shared" si="89"/>
        <v>SRSR-Single Rope Speed Relay</v>
      </c>
    </row>
    <row r="2238" spans="1:9" x14ac:dyDescent="0.25">
      <c r="A2238">
        <f>'Team Info'!$B$3</f>
        <v>0</v>
      </c>
      <c r="B2238">
        <f>'SR Speed Relay'!A67</f>
        <v>3</v>
      </c>
      <c r="C2238" t="str">
        <f>'SR Speed Relay'!B67</f>
        <v>SRSR</v>
      </c>
      <c r="D2238" t="str">
        <f>'SR Speed Relay'!C67</f>
        <v>30-over</v>
      </c>
      <c r="E2238">
        <f>'SR Speed Relay'!D67</f>
        <v>0</v>
      </c>
      <c r="F2238">
        <f>'SR Speed Relay'!F67</f>
        <v>0</v>
      </c>
      <c r="G2238">
        <f>'SR Speed Relay'!H67</f>
        <v>0</v>
      </c>
      <c r="H2238">
        <f>'SR Speed Relay'!J67</f>
        <v>0</v>
      </c>
      <c r="I2238" t="str">
        <f t="shared" si="89"/>
        <v>SRSR-Single Rope Speed Relay</v>
      </c>
    </row>
    <row r="2239" spans="1:9" x14ac:dyDescent="0.25">
      <c r="A2239">
        <f>'Team Info'!$B$3</f>
        <v>0</v>
      </c>
      <c r="B2239">
        <f>'SR Speed Relay'!A68</f>
        <v>4</v>
      </c>
      <c r="C2239" t="str">
        <f>'SR Speed Relay'!B68</f>
        <v>SRSR</v>
      </c>
      <c r="D2239" t="str">
        <f>'SR Speed Relay'!C68</f>
        <v>30-over</v>
      </c>
      <c r="E2239">
        <f>'SR Speed Relay'!D68</f>
        <v>0</v>
      </c>
      <c r="F2239">
        <f>'SR Speed Relay'!F68</f>
        <v>0</v>
      </c>
      <c r="G2239">
        <f>'SR Speed Relay'!H68</f>
        <v>0</v>
      </c>
      <c r="H2239">
        <f>'SR Speed Relay'!J68</f>
        <v>0</v>
      </c>
      <c r="I2239" t="str">
        <f t="shared" si="89"/>
        <v>SRSR-Single Rope Speed Relay</v>
      </c>
    </row>
    <row r="2240" spans="1:9" x14ac:dyDescent="0.25">
      <c r="A2240">
        <f>'Team Info'!$B$3</f>
        <v>0</v>
      </c>
      <c r="B2240">
        <f>'SR Speed Relay'!A69</f>
        <v>5</v>
      </c>
      <c r="C2240" t="str">
        <f>'SR Speed Relay'!B69</f>
        <v>SRSR</v>
      </c>
      <c r="D2240" t="str">
        <f>'SR Speed Relay'!C69</f>
        <v>30-over</v>
      </c>
      <c r="E2240">
        <f>'SR Speed Relay'!D69</f>
        <v>0</v>
      </c>
      <c r="F2240">
        <f>'SR Speed Relay'!F69</f>
        <v>0</v>
      </c>
      <c r="G2240">
        <f>'SR Speed Relay'!H69</f>
        <v>0</v>
      </c>
      <c r="H2240">
        <f>'SR Speed Relay'!J69</f>
        <v>0</v>
      </c>
      <c r="I2240" t="str">
        <f t="shared" si="89"/>
        <v>SRSR-Single Rope Speed Relay</v>
      </c>
    </row>
    <row r="2241" spans="1:9" x14ac:dyDescent="0.25">
      <c r="A2241">
        <f>'Team Info'!$B$3</f>
        <v>0</v>
      </c>
      <c r="B2241">
        <f>'SR Speed Relay'!A70</f>
        <v>6</v>
      </c>
      <c r="C2241" t="str">
        <f>'SR Speed Relay'!B70</f>
        <v>SRSR</v>
      </c>
      <c r="D2241" t="str">
        <f>'SR Speed Relay'!C70</f>
        <v>30-over</v>
      </c>
      <c r="E2241">
        <f>'SR Speed Relay'!D70</f>
        <v>0</v>
      </c>
      <c r="F2241">
        <f>'SR Speed Relay'!F70</f>
        <v>0</v>
      </c>
      <c r="G2241">
        <f>'SR Speed Relay'!H70</f>
        <v>0</v>
      </c>
      <c r="H2241">
        <f>'SR Speed Relay'!J70</f>
        <v>0</v>
      </c>
      <c r="I2241" t="str">
        <f t="shared" si="89"/>
        <v>SRSR-Single Rope Speed Relay</v>
      </c>
    </row>
    <row r="2242" spans="1:9" x14ac:dyDescent="0.25">
      <c r="A2242">
        <f>'Team Info'!$B$3</f>
        <v>0</v>
      </c>
      <c r="B2242">
        <f>'SR Speed Relay'!A71</f>
        <v>7</v>
      </c>
      <c r="C2242" t="str">
        <f>'SR Speed Relay'!B71</f>
        <v>SRSR</v>
      </c>
      <c r="D2242" t="str">
        <f>'SR Speed Relay'!C71</f>
        <v>30-over</v>
      </c>
      <c r="E2242">
        <f>'SR Speed Relay'!D71</f>
        <v>0</v>
      </c>
      <c r="F2242">
        <f>'SR Speed Relay'!F71</f>
        <v>0</v>
      </c>
      <c r="G2242">
        <f>'SR Speed Relay'!H71</f>
        <v>0</v>
      </c>
      <c r="H2242">
        <f>'SR Speed Relay'!J71</f>
        <v>0</v>
      </c>
      <c r="I2242" t="str">
        <f t="shared" si="89"/>
        <v>SRSR-Single Rope Speed Relay</v>
      </c>
    </row>
    <row r="2243" spans="1:9" x14ac:dyDescent="0.25">
      <c r="A2243">
        <f>'Team Info'!$B$3</f>
        <v>0</v>
      </c>
      <c r="B2243">
        <f>'SR Speed Relay'!A72</f>
        <v>8</v>
      </c>
      <c r="C2243" t="str">
        <f>'SR Speed Relay'!B72</f>
        <v>SRSR</v>
      </c>
      <c r="D2243" t="str">
        <f>'SR Speed Relay'!C72</f>
        <v>30-over</v>
      </c>
      <c r="E2243">
        <f>'SR Speed Relay'!D72</f>
        <v>0</v>
      </c>
      <c r="F2243">
        <f>'SR Speed Relay'!F72</f>
        <v>0</v>
      </c>
      <c r="G2243">
        <f>'SR Speed Relay'!H72</f>
        <v>0</v>
      </c>
      <c r="H2243">
        <f>'SR Speed Relay'!J72</f>
        <v>0</v>
      </c>
      <c r="I2243" t="str">
        <f t="shared" si="89"/>
        <v>SRSR-Single Rope Speed Relay</v>
      </c>
    </row>
    <row r="2244" spans="1:9" x14ac:dyDescent="0.25">
      <c r="A2244">
        <f>'Team Info'!$B$3</f>
        <v>0</v>
      </c>
      <c r="B2244">
        <f>'Group Team Show'!H8</f>
        <v>1</v>
      </c>
      <c r="C2244" t="str">
        <f>'Group Team Show'!I8</f>
        <v>TSL</v>
      </c>
      <c r="D2244" t="str">
        <f>'Group Team Show'!J8</f>
        <v>Any</v>
      </c>
      <c r="E2244">
        <f>'Group Team Show'!K8</f>
        <v>0</v>
      </c>
      <c r="I2244" t="str">
        <f t="shared" si="89"/>
        <v>TSL-Team Show Large Group</v>
      </c>
    </row>
    <row r="2245" spans="1:9" x14ac:dyDescent="0.25">
      <c r="A2245">
        <f>'Team Info'!$B$3</f>
        <v>0</v>
      </c>
      <c r="B2245">
        <f>'Group Team Show'!A8</f>
        <v>1</v>
      </c>
      <c r="C2245" t="str">
        <f>'Group Team Show'!B8</f>
        <v>TSS</v>
      </c>
      <c r="D2245" t="str">
        <f>'Group Team Show'!C8</f>
        <v>Any</v>
      </c>
      <c r="E2245">
        <f>'Group Team Show'!D8</f>
        <v>0</v>
      </c>
      <c r="I2245" t="str">
        <f t="shared" si="89"/>
        <v>TSS-Team Show Small Group</v>
      </c>
    </row>
  </sheetData>
  <autoFilter ref="A3:I2263">
    <sortState ref="A4:I1721">
      <sortCondition ref="C4:C1721"/>
      <sortCondition ref="D4:D1721"/>
      <sortCondition ref="B4:B1721"/>
    </sortState>
  </autoFilter>
  <sortState ref="A4:I2023">
    <sortCondition ref="C4:C2023"/>
    <sortCondition ref="D4:D2023"/>
    <sortCondition ref="B4:B2023"/>
  </sortState>
  <phoneticPr fontId="23" type="noConversion"/>
  <pageMargins left="0.7" right="0.7" top="0.75" bottom="0.75" header="0.3" footer="0.3"/>
  <pageSetup orientation="portrait"/>
  <customProperties>
    <customPr name="DVSECTIONID" r:id="rId1"/>
  </customPropertie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V82"/>
  <sheetViews>
    <sheetView workbookViewId="0"/>
  </sheetViews>
  <sheetFormatPr defaultColWidth="8.85546875" defaultRowHeight="15" x14ac:dyDescent="0.25"/>
  <sheetData>
    <row r="1" spans="1:256" x14ac:dyDescent="0.25">
      <c r="A1" t="e">
        <f>IF('Team Info'!1:1,"AAAAAGuv5wA=",0)</f>
        <v>#VALUE!</v>
      </c>
      <c r="B1" t="e">
        <f>AND('Team Info'!A1,"AAAAAGuv5wE=")</f>
        <v>#VALUE!</v>
      </c>
      <c r="C1" t="e">
        <f>AND('Team Info'!B1,"AAAAAGuv5wI=")</f>
        <v>#VALUE!</v>
      </c>
      <c r="D1">
        <f>IF('Team Info'!2:2,"AAAAAGuv5wM=",0)</f>
        <v>0</v>
      </c>
      <c r="E1" t="e">
        <f>AND('Team Info'!A2,"AAAAAGuv5wQ=")</f>
        <v>#VALUE!</v>
      </c>
      <c r="F1" t="e">
        <f>AND('Team Info'!B2,"AAAAAGuv5wU=")</f>
        <v>#VALUE!</v>
      </c>
      <c r="G1">
        <f>IF('Team Info'!3:3,"AAAAAGuv5wY=",0)</f>
        <v>0</v>
      </c>
      <c r="H1" t="e">
        <f>AND('Team Info'!A3,"AAAAAGuv5wc=")</f>
        <v>#VALUE!</v>
      </c>
      <c r="I1" t="e">
        <f>AND('Team Info'!B3,"AAAAAGuv5wg=")</f>
        <v>#VALUE!</v>
      </c>
      <c r="J1">
        <f>IF('Team Info'!4:4,"AAAAAGuv5wk=",0)</f>
        <v>0</v>
      </c>
      <c r="K1" t="e">
        <f>AND('Team Info'!A4,"AAAAAGuv5wo=")</f>
        <v>#VALUE!</v>
      </c>
      <c r="L1" t="e">
        <f>AND('Team Info'!B4,"AAAAAGuv5ws=")</f>
        <v>#VALUE!</v>
      </c>
      <c r="M1">
        <f>IF('Team Info'!5:5,"AAAAAGuv5ww=",0)</f>
        <v>0</v>
      </c>
      <c r="N1" t="e">
        <f>AND('Team Info'!A5,"AAAAAGuv5w0=")</f>
        <v>#VALUE!</v>
      </c>
      <c r="O1" t="e">
        <f>AND('Team Info'!B5,"AAAAAGuv5w4=")</f>
        <v>#VALUE!</v>
      </c>
      <c r="P1">
        <f>IF('Team Info'!6:6,"AAAAAGuv5w8=",0)</f>
        <v>0</v>
      </c>
      <c r="Q1" t="e">
        <f>AND('Team Info'!A6,"AAAAAGuv5xA=")</f>
        <v>#VALUE!</v>
      </c>
      <c r="R1" t="e">
        <f>AND('Team Info'!B6,"AAAAAGuv5xE=")</f>
        <v>#VALUE!</v>
      </c>
      <c r="S1">
        <f>IF('Team Info'!7:7,"AAAAAGuv5xI=",0)</f>
        <v>0</v>
      </c>
      <c r="T1" t="e">
        <f>AND('Team Info'!A7,"AAAAAGuv5xM=")</f>
        <v>#VALUE!</v>
      </c>
      <c r="U1" t="e">
        <f>AND('Team Info'!B7,"AAAAAGuv5xQ=")</f>
        <v>#VALUE!</v>
      </c>
      <c r="V1">
        <f>IF('Team Info'!8:8,"AAAAAGuv5xU=",0)</f>
        <v>0</v>
      </c>
      <c r="W1" t="e">
        <f>AND('Team Info'!A8,"AAAAAGuv5xY=")</f>
        <v>#VALUE!</v>
      </c>
      <c r="X1" t="e">
        <f>AND('Team Info'!B8,"AAAAAGuv5xc=")</f>
        <v>#VALUE!</v>
      </c>
      <c r="Y1">
        <f>IF('Team Info'!9:9,"AAAAAGuv5xg=",0)</f>
        <v>0</v>
      </c>
      <c r="Z1" t="e">
        <f>AND('Team Info'!A9,"AAAAAGuv5xk=")</f>
        <v>#VALUE!</v>
      </c>
      <c r="AA1" t="e">
        <f>AND('Team Info'!B9,"AAAAAGuv5xo=")</f>
        <v>#VALUE!</v>
      </c>
      <c r="AB1">
        <f>IF('Team Info'!10:10,"AAAAAGuv5xs=",0)</f>
        <v>0</v>
      </c>
      <c r="AC1" t="e">
        <f>AND('Team Info'!A10,"AAAAAGuv5xw=")</f>
        <v>#VALUE!</v>
      </c>
      <c r="AD1" t="e">
        <f>AND('Team Info'!B10,"AAAAAGuv5x0=")</f>
        <v>#VALUE!</v>
      </c>
      <c r="AE1">
        <f>IF('Team Info'!12:12,"AAAAAGuv5x4=",0)</f>
        <v>0</v>
      </c>
      <c r="AF1" t="e">
        <f>AND('Team Info'!A12,"AAAAAGuv5x8=")</f>
        <v>#VALUE!</v>
      </c>
      <c r="AG1" t="e">
        <f>AND('Team Info'!B12,"AAAAAGuv5yA=")</f>
        <v>#VALUE!</v>
      </c>
      <c r="AH1">
        <f>IF('Team Info'!11:11,"AAAAAGuv5yE=",0)</f>
        <v>0</v>
      </c>
      <c r="AI1" t="e">
        <f>AND('Team Info'!A11,"AAAAAGuv5yI=")</f>
        <v>#VALUE!</v>
      </c>
      <c r="AJ1" t="e">
        <f>AND('Team Info'!B11,"AAAAAGuv5yM=")</f>
        <v>#VALUE!</v>
      </c>
      <c r="AK1">
        <f>IF('Team Info'!13:13,"AAAAAGuv5yQ=",0)</f>
        <v>0</v>
      </c>
      <c r="AL1" t="e">
        <f>AND('Team Info'!A13,"AAAAAGuv5yU=")</f>
        <v>#VALUE!</v>
      </c>
      <c r="AM1" t="e">
        <f>AND('Team Info'!B13,"AAAAAGuv5yY=")</f>
        <v>#VALUE!</v>
      </c>
      <c r="AN1">
        <f>IF('Team Info'!14:14,"AAAAAGuv5yc=",0)</f>
        <v>0</v>
      </c>
      <c r="AO1" t="e">
        <f>AND('Team Info'!A14,"AAAAAGuv5yg=")</f>
        <v>#VALUE!</v>
      </c>
      <c r="AP1" t="e">
        <f>AND('Team Info'!B14,"AAAAAGuv5yk=")</f>
        <v>#VALUE!</v>
      </c>
      <c r="AQ1">
        <f>IF('Team Info'!15:15,"AAAAAGuv5yo=",0)</f>
        <v>0</v>
      </c>
      <c r="AR1" t="e">
        <f>AND('Team Info'!A15,"AAAAAGuv5ys=")</f>
        <v>#VALUE!</v>
      </c>
      <c r="AS1" t="e">
        <f>AND('Team Info'!B15,"AAAAAGuv5yw=")</f>
        <v>#VALUE!</v>
      </c>
      <c r="AT1">
        <f>IF('Team Info'!16:16,"AAAAAGuv5y0=",0)</f>
        <v>0</v>
      </c>
      <c r="AU1" t="e">
        <f>AND('Team Info'!A16,"AAAAAGuv5y4=")</f>
        <v>#VALUE!</v>
      </c>
      <c r="AV1" t="e">
        <f>AND('Team Info'!B16,"AAAAAGuv5y8=")</f>
        <v>#VALUE!</v>
      </c>
      <c r="AW1">
        <f>IF('Team Info'!17:17,"AAAAAGuv5zA=",0)</f>
        <v>0</v>
      </c>
      <c r="AX1" t="e">
        <f>AND('Team Info'!A17,"AAAAAGuv5zE=")</f>
        <v>#VALUE!</v>
      </c>
      <c r="AY1" t="e">
        <f>AND('Team Info'!B17,"AAAAAGuv5zI=")</f>
        <v>#VALUE!</v>
      </c>
      <c r="AZ1">
        <f>IF('Team Info'!18:18,"AAAAAGuv5zM=",0)</f>
        <v>0</v>
      </c>
      <c r="BA1" t="e">
        <f>AND('Team Info'!A18,"AAAAAGuv5zQ=")</f>
        <v>#VALUE!</v>
      </c>
      <c r="BB1" t="e">
        <f>AND('Team Info'!B18,"AAAAAGuv5zU=")</f>
        <v>#VALUE!</v>
      </c>
      <c r="BC1" t="e">
        <f>IF('Team Info'!A:A,"AAAAAGuv5zY=",0)</f>
        <v>#VALUE!</v>
      </c>
      <c r="BD1">
        <f>IF('Team Info'!B:B,"AAAAAGuv5zc=",0)</f>
        <v>0</v>
      </c>
      <c r="BE1" t="e">
        <f>IF(#REF!,"AAAAAGuv5zg=",0)</f>
        <v>#REF!</v>
      </c>
      <c r="BF1" t="e">
        <f>AND(#REF!,"AAAAAGuv5zk=")</f>
        <v>#REF!</v>
      </c>
      <c r="BG1" t="e">
        <f>AND(#REF!,"AAAAAGuv5zo=")</f>
        <v>#REF!</v>
      </c>
      <c r="BH1" t="e">
        <f>AND(#REF!,"AAAAAGuv5zs=")</f>
        <v>#REF!</v>
      </c>
      <c r="BI1" t="e">
        <f>AND(#REF!,"AAAAAGuv5zw=")</f>
        <v>#REF!</v>
      </c>
      <c r="BJ1" t="e">
        <f>AND(#REF!,"AAAAAGuv5z0=")</f>
        <v>#REF!</v>
      </c>
      <c r="BK1" t="e">
        <f>AND(#REF!,"AAAAAGuv5z4=")</f>
        <v>#REF!</v>
      </c>
      <c r="BL1" t="e">
        <f>AND(#REF!,"AAAAAGuv5z8=")</f>
        <v>#REF!</v>
      </c>
      <c r="BM1" t="e">
        <f>IF(#REF!,"AAAAAGuv50A=",0)</f>
        <v>#REF!</v>
      </c>
      <c r="BN1" t="e">
        <f>AND(#REF!,"AAAAAGuv50E=")</f>
        <v>#REF!</v>
      </c>
      <c r="BO1" t="e">
        <f>AND(#REF!,"AAAAAGuv50I=")</f>
        <v>#REF!</v>
      </c>
      <c r="BP1" t="e">
        <f>AND(#REF!,"AAAAAGuv50M=")</f>
        <v>#REF!</v>
      </c>
      <c r="BQ1" t="e">
        <f>AND(#REF!,"AAAAAGuv50Q=")</f>
        <v>#REF!</v>
      </c>
      <c r="BR1" t="e">
        <f>AND(#REF!,"AAAAAGuv50U=")</f>
        <v>#REF!</v>
      </c>
      <c r="BS1" t="e">
        <f>AND(#REF!,"AAAAAGuv50Y=")</f>
        <v>#REF!</v>
      </c>
      <c r="BT1" t="e">
        <f>AND(#REF!,"AAAAAGuv50c=")</f>
        <v>#REF!</v>
      </c>
      <c r="BU1" t="e">
        <f>IF(#REF!,"AAAAAGuv50g=",0)</f>
        <v>#REF!</v>
      </c>
      <c r="BV1" t="e">
        <f>AND(#REF!,"AAAAAGuv50k=")</f>
        <v>#REF!</v>
      </c>
      <c r="BW1" t="e">
        <f>AND(#REF!,"AAAAAGuv50o=")</f>
        <v>#REF!</v>
      </c>
      <c r="BX1" t="e">
        <f>AND(#REF!,"AAAAAGuv50s=")</f>
        <v>#REF!</v>
      </c>
      <c r="BY1" t="e">
        <f>AND(#REF!,"AAAAAGuv50w=")</f>
        <v>#REF!</v>
      </c>
      <c r="BZ1" t="e">
        <f>AND(#REF!,"AAAAAGuv500=")</f>
        <v>#REF!</v>
      </c>
      <c r="CA1" t="e">
        <f>AND(#REF!,"AAAAAGuv504=")</f>
        <v>#REF!</v>
      </c>
      <c r="CB1" t="e">
        <f>AND(#REF!,"AAAAAGuv508=")</f>
        <v>#REF!</v>
      </c>
      <c r="CC1" t="e">
        <f>IF(#REF!,"AAAAAGuv51A=",0)</f>
        <v>#REF!</v>
      </c>
      <c r="CD1" t="e">
        <f>AND(#REF!,"AAAAAGuv51E=")</f>
        <v>#REF!</v>
      </c>
      <c r="CE1" t="e">
        <f>AND(#REF!,"AAAAAGuv51I=")</f>
        <v>#REF!</v>
      </c>
      <c r="CF1" t="e">
        <f>AND(#REF!,"AAAAAGuv51M=")</f>
        <v>#REF!</v>
      </c>
      <c r="CG1" t="e">
        <f>AND(#REF!,"AAAAAGuv51Q=")</f>
        <v>#REF!</v>
      </c>
      <c r="CH1" t="e">
        <f>AND(#REF!,"AAAAAGuv51U=")</f>
        <v>#REF!</v>
      </c>
      <c r="CI1" t="e">
        <f>AND(#REF!,"AAAAAGuv51Y=")</f>
        <v>#REF!</v>
      </c>
      <c r="CJ1" t="e">
        <f>AND(#REF!,"AAAAAGuv51c=")</f>
        <v>#REF!</v>
      </c>
      <c r="CK1" t="e">
        <f>IF(#REF!,"AAAAAGuv51g=",0)</f>
        <v>#REF!</v>
      </c>
      <c r="CL1" t="e">
        <f>AND(#REF!,"AAAAAGuv51k=")</f>
        <v>#REF!</v>
      </c>
      <c r="CM1" t="e">
        <f>AND(#REF!,"AAAAAGuv51o=")</f>
        <v>#REF!</v>
      </c>
      <c r="CN1" t="e">
        <f>AND(#REF!,"AAAAAGuv51s=")</f>
        <v>#REF!</v>
      </c>
      <c r="CO1" t="e">
        <f>AND(#REF!,"AAAAAGuv51w=")</f>
        <v>#REF!</v>
      </c>
      <c r="CP1" t="e">
        <f>AND(#REF!,"AAAAAGuv510=")</f>
        <v>#REF!</v>
      </c>
      <c r="CQ1" t="e">
        <f>AND(#REF!,"AAAAAGuv514=")</f>
        <v>#REF!</v>
      </c>
      <c r="CR1" t="e">
        <f>AND(#REF!,"AAAAAGuv518=")</f>
        <v>#REF!</v>
      </c>
      <c r="CS1" t="e">
        <f>IF(#REF!,"AAAAAGuv52A=",0)</f>
        <v>#REF!</v>
      </c>
      <c r="CT1" t="e">
        <f>AND(#REF!,"AAAAAGuv52E=")</f>
        <v>#REF!</v>
      </c>
      <c r="CU1" t="e">
        <f>AND(#REF!,"AAAAAGuv52I=")</f>
        <v>#REF!</v>
      </c>
      <c r="CV1" t="e">
        <f>AND(#REF!,"AAAAAGuv52M=")</f>
        <v>#REF!</v>
      </c>
      <c r="CW1" t="e">
        <f>AND(#REF!,"AAAAAGuv52Q=")</f>
        <v>#REF!</v>
      </c>
      <c r="CX1" t="e">
        <f>AND(#REF!,"AAAAAGuv52U=")</f>
        <v>#REF!</v>
      </c>
      <c r="CY1" t="e">
        <f>AND(#REF!,"AAAAAGuv52Y=")</f>
        <v>#REF!</v>
      </c>
      <c r="CZ1" t="e">
        <f>AND(#REF!,"AAAAAGuv52c=")</f>
        <v>#REF!</v>
      </c>
      <c r="DA1" t="e">
        <f>IF(#REF!,"AAAAAGuv52g=",0)</f>
        <v>#REF!</v>
      </c>
      <c r="DB1" t="e">
        <f>AND(#REF!,"AAAAAGuv52k=")</f>
        <v>#REF!</v>
      </c>
      <c r="DC1" t="e">
        <f>AND(#REF!,"AAAAAGuv52o=")</f>
        <v>#REF!</v>
      </c>
      <c r="DD1" t="e">
        <f>AND(#REF!,"AAAAAGuv52s=")</f>
        <v>#REF!</v>
      </c>
      <c r="DE1" t="e">
        <f>AND(#REF!,"AAAAAGuv52w=")</f>
        <v>#REF!</v>
      </c>
      <c r="DF1" t="e">
        <f>AND(#REF!,"AAAAAGuv520=")</f>
        <v>#REF!</v>
      </c>
      <c r="DG1" t="e">
        <f>AND(#REF!,"AAAAAGuv524=")</f>
        <v>#REF!</v>
      </c>
      <c r="DH1" t="e">
        <f>AND(#REF!,"AAAAAGuv528=")</f>
        <v>#REF!</v>
      </c>
      <c r="DI1" t="e">
        <f>IF(#REF!,"AAAAAGuv53A=",0)</f>
        <v>#REF!</v>
      </c>
      <c r="DJ1" t="e">
        <f>AND(#REF!,"AAAAAGuv53E=")</f>
        <v>#REF!</v>
      </c>
      <c r="DK1" t="e">
        <f>AND(#REF!,"AAAAAGuv53I=")</f>
        <v>#REF!</v>
      </c>
      <c r="DL1" t="e">
        <f>AND(#REF!,"AAAAAGuv53M=")</f>
        <v>#REF!</v>
      </c>
      <c r="DM1" t="e">
        <f>AND(#REF!,"AAAAAGuv53Q=")</f>
        <v>#REF!</v>
      </c>
      <c r="DN1" t="e">
        <f>AND(#REF!,"AAAAAGuv53U=")</f>
        <v>#REF!</v>
      </c>
      <c r="DO1" t="e">
        <f>AND(#REF!,"AAAAAGuv53Y=")</f>
        <v>#REF!</v>
      </c>
      <c r="DP1" t="e">
        <f>AND(#REF!,"AAAAAGuv53c=")</f>
        <v>#REF!</v>
      </c>
      <c r="DQ1" t="e">
        <f>IF(#REF!,"AAAAAGuv53g=",0)</f>
        <v>#REF!</v>
      </c>
      <c r="DR1" t="e">
        <f>AND(#REF!,"AAAAAGuv53k=")</f>
        <v>#REF!</v>
      </c>
      <c r="DS1" t="e">
        <f>AND(#REF!,"AAAAAGuv53o=")</f>
        <v>#REF!</v>
      </c>
      <c r="DT1" t="e">
        <f>AND(#REF!,"AAAAAGuv53s=")</f>
        <v>#REF!</v>
      </c>
      <c r="DU1" t="e">
        <f>AND(#REF!,"AAAAAGuv53w=")</f>
        <v>#REF!</v>
      </c>
      <c r="DV1" t="e">
        <f>AND(#REF!,"AAAAAGuv530=")</f>
        <v>#REF!</v>
      </c>
      <c r="DW1" t="e">
        <f>AND(#REF!,"AAAAAGuv534=")</f>
        <v>#REF!</v>
      </c>
      <c r="DX1" t="e">
        <f>AND(#REF!,"AAAAAGuv538=")</f>
        <v>#REF!</v>
      </c>
      <c r="DY1" t="e">
        <f>IF(#REF!,"AAAAAGuv54A=",0)</f>
        <v>#REF!</v>
      </c>
      <c r="DZ1" t="e">
        <f>AND(#REF!,"AAAAAGuv54E=")</f>
        <v>#REF!</v>
      </c>
      <c r="EA1" t="e">
        <f>AND(#REF!,"AAAAAGuv54I=")</f>
        <v>#REF!</v>
      </c>
      <c r="EB1" t="e">
        <f>AND(#REF!,"AAAAAGuv54M=")</f>
        <v>#REF!</v>
      </c>
      <c r="EC1" t="e">
        <f>AND(#REF!,"AAAAAGuv54Q=")</f>
        <v>#REF!</v>
      </c>
      <c r="ED1" t="e">
        <f>AND(#REF!,"AAAAAGuv54U=")</f>
        <v>#REF!</v>
      </c>
      <c r="EE1" t="e">
        <f>AND(#REF!,"AAAAAGuv54Y=")</f>
        <v>#REF!</v>
      </c>
      <c r="EF1" t="e">
        <f>AND(#REF!,"AAAAAGuv54c=")</f>
        <v>#REF!</v>
      </c>
      <c r="EG1" t="e">
        <f>IF(#REF!,"AAAAAGuv54g=",0)</f>
        <v>#REF!</v>
      </c>
      <c r="EH1" t="e">
        <f>AND(#REF!,"AAAAAGuv54k=")</f>
        <v>#REF!</v>
      </c>
      <c r="EI1" t="e">
        <f>AND(#REF!,"AAAAAGuv54o=")</f>
        <v>#REF!</v>
      </c>
      <c r="EJ1" t="e">
        <f>AND(#REF!,"AAAAAGuv54s=")</f>
        <v>#REF!</v>
      </c>
      <c r="EK1" t="e">
        <f>AND(#REF!,"AAAAAGuv54w=")</f>
        <v>#REF!</v>
      </c>
      <c r="EL1" t="e">
        <f>AND(#REF!,"AAAAAGuv540=")</f>
        <v>#REF!</v>
      </c>
      <c r="EM1" t="e">
        <f>AND(#REF!,"AAAAAGuv544=")</f>
        <v>#REF!</v>
      </c>
      <c r="EN1" t="e">
        <f>AND(#REF!,"AAAAAGuv548=")</f>
        <v>#REF!</v>
      </c>
      <c r="EO1" t="e">
        <f>IF(#REF!,"AAAAAGuv55A=",0)</f>
        <v>#REF!</v>
      </c>
      <c r="EP1" t="e">
        <f>AND(#REF!,"AAAAAGuv55E=")</f>
        <v>#REF!</v>
      </c>
      <c r="EQ1" t="e">
        <f>AND(#REF!,"AAAAAGuv55I=")</f>
        <v>#REF!</v>
      </c>
      <c r="ER1" t="e">
        <f>AND(#REF!,"AAAAAGuv55M=")</f>
        <v>#REF!</v>
      </c>
      <c r="ES1" t="e">
        <f>AND(#REF!,"AAAAAGuv55Q=")</f>
        <v>#REF!</v>
      </c>
      <c r="ET1" t="e">
        <f>AND(#REF!,"AAAAAGuv55U=")</f>
        <v>#REF!</v>
      </c>
      <c r="EU1" t="e">
        <f>AND(#REF!,"AAAAAGuv55Y=")</f>
        <v>#REF!</v>
      </c>
      <c r="EV1" t="e">
        <f>AND(#REF!,"AAAAAGuv55c=")</f>
        <v>#REF!</v>
      </c>
      <c r="EW1" t="e">
        <f>IF(#REF!,"AAAAAGuv55g=",0)</f>
        <v>#REF!</v>
      </c>
      <c r="EX1" t="e">
        <f>AND(#REF!,"AAAAAGuv55k=")</f>
        <v>#REF!</v>
      </c>
      <c r="EY1" t="e">
        <f>AND(#REF!,"AAAAAGuv55o=")</f>
        <v>#REF!</v>
      </c>
      <c r="EZ1" t="e">
        <f>AND(#REF!,"AAAAAGuv55s=")</f>
        <v>#REF!</v>
      </c>
      <c r="FA1" t="e">
        <f>AND(#REF!,"AAAAAGuv55w=")</f>
        <v>#REF!</v>
      </c>
      <c r="FB1" t="e">
        <f>AND(#REF!,"AAAAAGuv550=")</f>
        <v>#REF!</v>
      </c>
      <c r="FC1" t="e">
        <f>AND(#REF!,"AAAAAGuv554=")</f>
        <v>#REF!</v>
      </c>
      <c r="FD1" t="e">
        <f>AND(#REF!,"AAAAAGuv558=")</f>
        <v>#REF!</v>
      </c>
      <c r="FE1" t="e">
        <f>IF(#REF!,"AAAAAGuv56A=",0)</f>
        <v>#REF!</v>
      </c>
      <c r="FF1" t="e">
        <f>AND(#REF!,"AAAAAGuv56E=")</f>
        <v>#REF!</v>
      </c>
      <c r="FG1" t="e">
        <f>AND(#REF!,"AAAAAGuv56I=")</f>
        <v>#REF!</v>
      </c>
      <c r="FH1" t="e">
        <f>AND(#REF!,"AAAAAGuv56M=")</f>
        <v>#REF!</v>
      </c>
      <c r="FI1" t="e">
        <f>AND(#REF!,"AAAAAGuv56Q=")</f>
        <v>#REF!</v>
      </c>
      <c r="FJ1" t="e">
        <f>AND(#REF!,"AAAAAGuv56U=")</f>
        <v>#REF!</v>
      </c>
      <c r="FK1" t="e">
        <f>AND(#REF!,"AAAAAGuv56Y=")</f>
        <v>#REF!</v>
      </c>
      <c r="FL1" t="e">
        <f>AND(#REF!,"AAAAAGuv56c=")</f>
        <v>#REF!</v>
      </c>
      <c r="FM1" t="e">
        <f>IF(#REF!,"AAAAAGuv56g=",0)</f>
        <v>#REF!</v>
      </c>
      <c r="FN1" t="e">
        <f>AND(#REF!,"AAAAAGuv56k=")</f>
        <v>#REF!</v>
      </c>
      <c r="FO1" t="e">
        <f>AND(#REF!,"AAAAAGuv56o=")</f>
        <v>#REF!</v>
      </c>
      <c r="FP1" t="e">
        <f>AND(#REF!,"AAAAAGuv56s=")</f>
        <v>#REF!</v>
      </c>
      <c r="FQ1" t="e">
        <f>AND(#REF!,"AAAAAGuv56w=")</f>
        <v>#REF!</v>
      </c>
      <c r="FR1" t="e">
        <f>AND(#REF!,"AAAAAGuv560=")</f>
        <v>#REF!</v>
      </c>
      <c r="FS1" t="e">
        <f>AND(#REF!,"AAAAAGuv564=")</f>
        <v>#REF!</v>
      </c>
      <c r="FT1" t="e">
        <f>AND(#REF!,"AAAAAGuv568=")</f>
        <v>#REF!</v>
      </c>
      <c r="FU1" t="e">
        <f>IF(#REF!,"AAAAAGuv57A=",0)</f>
        <v>#REF!</v>
      </c>
      <c r="FV1" t="e">
        <f>AND(#REF!,"AAAAAGuv57E=")</f>
        <v>#REF!</v>
      </c>
      <c r="FW1" t="e">
        <f>AND(#REF!,"AAAAAGuv57I=")</f>
        <v>#REF!</v>
      </c>
      <c r="FX1" t="e">
        <f>AND(#REF!,"AAAAAGuv57M=")</f>
        <v>#REF!</v>
      </c>
      <c r="FY1" t="e">
        <f>AND(#REF!,"AAAAAGuv57Q=")</f>
        <v>#REF!</v>
      </c>
      <c r="FZ1" t="e">
        <f>AND(#REF!,"AAAAAGuv57U=")</f>
        <v>#REF!</v>
      </c>
      <c r="GA1" t="e">
        <f>AND(#REF!,"AAAAAGuv57Y=")</f>
        <v>#REF!</v>
      </c>
      <c r="GB1" t="e">
        <f>AND(#REF!,"AAAAAGuv57c=")</f>
        <v>#REF!</v>
      </c>
      <c r="GC1" t="e">
        <f>IF(#REF!,"AAAAAGuv57g=",0)</f>
        <v>#REF!</v>
      </c>
      <c r="GD1" t="e">
        <f>AND(#REF!,"AAAAAGuv57k=")</f>
        <v>#REF!</v>
      </c>
      <c r="GE1" t="e">
        <f>AND(#REF!,"AAAAAGuv57o=")</f>
        <v>#REF!</v>
      </c>
      <c r="GF1" t="e">
        <f>AND(#REF!,"AAAAAGuv57s=")</f>
        <v>#REF!</v>
      </c>
      <c r="GG1" t="e">
        <f>AND(#REF!,"AAAAAGuv57w=")</f>
        <v>#REF!</v>
      </c>
      <c r="GH1" t="e">
        <f>AND(#REF!,"AAAAAGuv570=")</f>
        <v>#REF!</v>
      </c>
      <c r="GI1" t="e">
        <f>AND(#REF!,"AAAAAGuv574=")</f>
        <v>#REF!</v>
      </c>
      <c r="GJ1" t="e">
        <f>AND(#REF!,"AAAAAGuv578=")</f>
        <v>#REF!</v>
      </c>
      <c r="GK1" t="e">
        <f>IF(#REF!,"AAAAAGuv58A=",0)</f>
        <v>#REF!</v>
      </c>
      <c r="GL1" t="e">
        <f>AND(#REF!,"AAAAAGuv58E=")</f>
        <v>#REF!</v>
      </c>
      <c r="GM1" t="e">
        <f>AND(#REF!,"AAAAAGuv58I=")</f>
        <v>#REF!</v>
      </c>
      <c r="GN1" t="e">
        <f>AND(#REF!,"AAAAAGuv58M=")</f>
        <v>#REF!</v>
      </c>
      <c r="GO1" t="e">
        <f>AND(#REF!,"AAAAAGuv58Q=")</f>
        <v>#REF!</v>
      </c>
      <c r="GP1" t="e">
        <f>AND(#REF!,"AAAAAGuv58U=")</f>
        <v>#REF!</v>
      </c>
      <c r="GQ1" t="e">
        <f>AND(#REF!,"AAAAAGuv58Y=")</f>
        <v>#REF!</v>
      </c>
      <c r="GR1" t="e">
        <f>AND(#REF!,"AAAAAGuv58c=")</f>
        <v>#REF!</v>
      </c>
      <c r="GS1" t="e">
        <f>IF(#REF!,"AAAAAGuv58g=",0)</f>
        <v>#REF!</v>
      </c>
      <c r="GT1" t="e">
        <f>AND(#REF!,"AAAAAGuv58k=")</f>
        <v>#REF!</v>
      </c>
      <c r="GU1" t="e">
        <f>AND(#REF!,"AAAAAGuv58o=")</f>
        <v>#REF!</v>
      </c>
      <c r="GV1" t="e">
        <f>AND(#REF!,"AAAAAGuv58s=")</f>
        <v>#REF!</v>
      </c>
      <c r="GW1" t="e">
        <f>AND(#REF!,"AAAAAGuv58w=")</f>
        <v>#REF!</v>
      </c>
      <c r="GX1" t="e">
        <f>AND(#REF!,"AAAAAGuv580=")</f>
        <v>#REF!</v>
      </c>
      <c r="GY1" t="e">
        <f>AND(#REF!,"AAAAAGuv584=")</f>
        <v>#REF!</v>
      </c>
      <c r="GZ1" t="e">
        <f>AND(#REF!,"AAAAAGuv588=")</f>
        <v>#REF!</v>
      </c>
      <c r="HA1" t="e">
        <f>IF(#REF!,"AAAAAGuv59A=",0)</f>
        <v>#REF!</v>
      </c>
      <c r="HB1" t="e">
        <f>AND(#REF!,"AAAAAGuv59E=")</f>
        <v>#REF!</v>
      </c>
      <c r="HC1" t="e">
        <f>AND(#REF!,"AAAAAGuv59I=")</f>
        <v>#REF!</v>
      </c>
      <c r="HD1" t="e">
        <f>AND(#REF!,"AAAAAGuv59M=")</f>
        <v>#REF!</v>
      </c>
      <c r="HE1" t="e">
        <f>AND(#REF!,"AAAAAGuv59Q=")</f>
        <v>#REF!</v>
      </c>
      <c r="HF1" t="e">
        <f>AND(#REF!,"AAAAAGuv59U=")</f>
        <v>#REF!</v>
      </c>
      <c r="HG1" t="e">
        <f>AND(#REF!,"AAAAAGuv59Y=")</f>
        <v>#REF!</v>
      </c>
      <c r="HH1" t="e">
        <f>AND(#REF!,"AAAAAGuv59c=")</f>
        <v>#REF!</v>
      </c>
      <c r="HI1" t="e">
        <f>IF(#REF!,"AAAAAGuv59g=",0)</f>
        <v>#REF!</v>
      </c>
      <c r="HJ1" t="e">
        <f>AND(#REF!,"AAAAAGuv59k=")</f>
        <v>#REF!</v>
      </c>
      <c r="HK1" t="e">
        <f>AND(#REF!,"AAAAAGuv59o=")</f>
        <v>#REF!</v>
      </c>
      <c r="HL1" t="e">
        <f>AND(#REF!,"AAAAAGuv59s=")</f>
        <v>#REF!</v>
      </c>
      <c r="HM1" t="e">
        <f>AND(#REF!,"AAAAAGuv59w=")</f>
        <v>#REF!</v>
      </c>
      <c r="HN1" t="e">
        <f>AND(#REF!,"AAAAAGuv590=")</f>
        <v>#REF!</v>
      </c>
      <c r="HO1" t="e">
        <f>AND(#REF!,"AAAAAGuv594=")</f>
        <v>#REF!</v>
      </c>
      <c r="HP1" t="e">
        <f>AND(#REF!,"AAAAAGuv598=")</f>
        <v>#REF!</v>
      </c>
      <c r="HQ1" t="e">
        <f>IF(#REF!,"AAAAAGuv5+A=",0)</f>
        <v>#REF!</v>
      </c>
      <c r="HR1" t="e">
        <f>AND(#REF!,"AAAAAGuv5+E=")</f>
        <v>#REF!</v>
      </c>
      <c r="HS1" t="e">
        <f>AND(#REF!,"AAAAAGuv5+I=")</f>
        <v>#REF!</v>
      </c>
      <c r="HT1" t="e">
        <f>AND(#REF!,"AAAAAGuv5+M=")</f>
        <v>#REF!</v>
      </c>
      <c r="HU1" t="e">
        <f>AND(#REF!,"AAAAAGuv5+Q=")</f>
        <v>#REF!</v>
      </c>
      <c r="HV1" t="e">
        <f>AND(#REF!,"AAAAAGuv5+U=")</f>
        <v>#REF!</v>
      </c>
      <c r="HW1" t="e">
        <f>AND(#REF!,"AAAAAGuv5+Y=")</f>
        <v>#REF!</v>
      </c>
      <c r="HX1" t="e">
        <f>AND(#REF!,"AAAAAGuv5+c=")</f>
        <v>#REF!</v>
      </c>
      <c r="HY1" t="e">
        <f>IF(#REF!,"AAAAAGuv5+g=",0)</f>
        <v>#REF!</v>
      </c>
      <c r="HZ1" t="e">
        <f>AND(#REF!,"AAAAAGuv5+k=")</f>
        <v>#REF!</v>
      </c>
      <c r="IA1" t="e">
        <f>AND(#REF!,"AAAAAGuv5+o=")</f>
        <v>#REF!</v>
      </c>
      <c r="IB1" t="e">
        <f>AND(#REF!,"AAAAAGuv5+s=")</f>
        <v>#REF!</v>
      </c>
      <c r="IC1" t="e">
        <f>AND(#REF!,"AAAAAGuv5+w=")</f>
        <v>#REF!</v>
      </c>
      <c r="ID1" t="e">
        <f>AND(#REF!,"AAAAAGuv5+0=")</f>
        <v>#REF!</v>
      </c>
      <c r="IE1" t="e">
        <f>AND(#REF!,"AAAAAGuv5+4=")</f>
        <v>#REF!</v>
      </c>
      <c r="IF1" t="e">
        <f>AND(#REF!,"AAAAAGuv5+8=")</f>
        <v>#REF!</v>
      </c>
      <c r="IG1" t="e">
        <f>IF(#REF!,"AAAAAGuv5/A=",0)</f>
        <v>#REF!</v>
      </c>
      <c r="IH1" t="e">
        <f>IF(#REF!,"AAAAAGuv5/E=",0)</f>
        <v>#REF!</v>
      </c>
      <c r="II1" t="e">
        <f>IF(#REF!,"AAAAAGuv5/I=",0)</f>
        <v>#REF!</v>
      </c>
      <c r="IJ1" t="e">
        <f>IF(#REF!,"AAAAAGuv5/M=",0)</f>
        <v>#REF!</v>
      </c>
      <c r="IK1" t="e">
        <f>IF(#REF!,"AAAAAGuv5/Q=",0)</f>
        <v>#REF!</v>
      </c>
      <c r="IL1" t="e">
        <f>IF(#REF!,"AAAAAGuv5/U=",0)</f>
        <v>#REF!</v>
      </c>
      <c r="IM1" t="e">
        <f>IF(#REF!,"AAAAAGuv5/Y=",0)</f>
        <v>#REF!</v>
      </c>
      <c r="IN1">
        <f>IF(Wildcards!1:1,"AAAAAGuv5/c=",0)</f>
        <v>0</v>
      </c>
      <c r="IO1" t="e">
        <f>AND(Wildcards!A1,"AAAAAGuv5/g=")</f>
        <v>#VALUE!</v>
      </c>
      <c r="IP1" t="e">
        <f>AND(Wildcards!C1,"AAAAAGuv5/k=")</f>
        <v>#VALUE!</v>
      </c>
      <c r="IQ1" t="e">
        <f>AND(Wildcards!D1,"AAAAAGuv5/o=")</f>
        <v>#VALUE!</v>
      </c>
      <c r="IR1">
        <f>IF(Wildcards!2:2,"AAAAAGuv5/s=",0)</f>
        <v>0</v>
      </c>
      <c r="IS1" t="e">
        <f>AND(Wildcards!A2,"AAAAAGuv5/w=")</f>
        <v>#VALUE!</v>
      </c>
      <c r="IT1" t="e">
        <f>AND(Wildcards!B2,"AAAAAGuv5/0=")</f>
        <v>#VALUE!</v>
      </c>
      <c r="IU1" t="e">
        <f>AND(Wildcards!C2,"AAAAAGuv5/4=")</f>
        <v>#VALUE!</v>
      </c>
      <c r="IV1">
        <f>IF(Wildcards!3:3,"AAAAAGuv5/8=",0)</f>
        <v>0</v>
      </c>
    </row>
    <row r="2" spans="1:256" x14ac:dyDescent="0.25">
      <c r="A2" t="e">
        <f>AND(Wildcards!B3,"AAAAAHv9/AA=")</f>
        <v>#VALUE!</v>
      </c>
      <c r="B2" t="e">
        <f>AND(Wildcards!C3,"AAAAAHv9/AE=")</f>
        <v>#VALUE!</v>
      </c>
      <c r="C2" t="e">
        <f>AND(Wildcards!D3,"AAAAAHv9/AI=")</f>
        <v>#VALUE!</v>
      </c>
      <c r="D2">
        <f>IF(Wildcards!4:4,"AAAAAHv9/AM=",0)</f>
        <v>0</v>
      </c>
      <c r="E2" t="e">
        <f>AND(Wildcards!B4,"AAAAAHv9/AQ=")</f>
        <v>#VALUE!</v>
      </c>
      <c r="F2" t="e">
        <f>AND(Wildcards!C4,"AAAAAHv9/AU=")</f>
        <v>#VALUE!</v>
      </c>
      <c r="G2" t="e">
        <f>AND(Wildcards!D4,"AAAAAHv9/AY=")</f>
        <v>#VALUE!</v>
      </c>
      <c r="H2">
        <f>IF(Wildcards!5:5,"AAAAAHv9/Ac=",0)</f>
        <v>0</v>
      </c>
      <c r="I2" t="e">
        <f>AND(Wildcards!B5,"AAAAAHv9/Ag=")</f>
        <v>#VALUE!</v>
      </c>
      <c r="J2" t="e">
        <f>AND(Wildcards!C5,"AAAAAHv9/Ak=")</f>
        <v>#VALUE!</v>
      </c>
      <c r="K2" t="e">
        <f>AND(Wildcards!D5,"AAAAAHv9/Ao=")</f>
        <v>#VALUE!</v>
      </c>
      <c r="L2">
        <f>IF(Wildcards!6:6,"AAAAAHv9/As=",0)</f>
        <v>0</v>
      </c>
      <c r="M2" t="e">
        <f>AND(Wildcards!B6,"AAAAAHv9/Aw=")</f>
        <v>#VALUE!</v>
      </c>
      <c r="N2" t="e">
        <f>AND(Wildcards!C6,"AAAAAHv9/A0=")</f>
        <v>#VALUE!</v>
      </c>
      <c r="O2" t="e">
        <f>AND(Wildcards!D6,"AAAAAHv9/A4=")</f>
        <v>#VALUE!</v>
      </c>
      <c r="P2">
        <f>IF(Wildcards!7:7,"AAAAAHv9/A8=",0)</f>
        <v>0</v>
      </c>
      <c r="Q2" t="e">
        <f>AND(Wildcards!B7,"AAAAAHv9/BA=")</f>
        <v>#VALUE!</v>
      </c>
      <c r="R2" t="e">
        <f>AND(Wildcards!C7,"AAAAAHv9/BE=")</f>
        <v>#VALUE!</v>
      </c>
      <c r="S2" t="e">
        <f>AND(Wildcards!D7,"AAAAAHv9/BI=")</f>
        <v>#VALUE!</v>
      </c>
      <c r="T2">
        <f>IF(Wildcards!8:8,"AAAAAHv9/BM=",0)</f>
        <v>0</v>
      </c>
      <c r="U2" t="e">
        <f>AND(Wildcards!B8,"AAAAAHv9/BQ=")</f>
        <v>#VALUE!</v>
      </c>
      <c r="V2" t="e">
        <f>AND(Wildcards!C8,"AAAAAHv9/BU=")</f>
        <v>#VALUE!</v>
      </c>
      <c r="W2" t="e">
        <f>AND(Wildcards!D8,"AAAAAHv9/BY=")</f>
        <v>#VALUE!</v>
      </c>
      <c r="X2">
        <f>IF(Wildcards!9:9,"AAAAAHv9/Bc=",0)</f>
        <v>0</v>
      </c>
      <c r="Y2" t="e">
        <f>AND(Wildcards!B9,"AAAAAHv9/Bg=")</f>
        <v>#VALUE!</v>
      </c>
      <c r="Z2" t="e">
        <f>AND(Wildcards!C9,"AAAAAHv9/Bk=")</f>
        <v>#VALUE!</v>
      </c>
      <c r="AA2" t="e">
        <f>AND(Wildcards!D9,"AAAAAHv9/Bo=")</f>
        <v>#VALUE!</v>
      </c>
      <c r="AB2">
        <f>IF(Wildcards!10:10,"AAAAAHv9/Bs=",0)</f>
        <v>0</v>
      </c>
      <c r="AC2" t="e">
        <f>AND(Wildcards!B10,"AAAAAHv9/Bw=")</f>
        <v>#VALUE!</v>
      </c>
      <c r="AD2" t="e">
        <f>AND(Wildcards!C10,"AAAAAHv9/B0=")</f>
        <v>#VALUE!</v>
      </c>
      <c r="AE2" t="e">
        <f>AND(Wildcards!D10,"AAAAAHv9/B4=")</f>
        <v>#VALUE!</v>
      </c>
      <c r="AF2">
        <f>IF(Wildcards!29:29,"AAAAAHv9/B8=",0)</f>
        <v>0</v>
      </c>
      <c r="AG2" t="e">
        <f>AND(Wildcards!B29,"AAAAAHv9/CA=")</f>
        <v>#VALUE!</v>
      </c>
      <c r="AH2" t="e">
        <f>AND(Wildcards!C29,"AAAAAHv9/CE=")</f>
        <v>#VALUE!</v>
      </c>
      <c r="AI2" t="e">
        <f>AND(Wildcards!D29,"AAAAAHv9/CI=")</f>
        <v>#VALUE!</v>
      </c>
      <c r="AJ2">
        <f>IF(Wildcards!30:30,"AAAAAHv9/CM=",0)</f>
        <v>0</v>
      </c>
      <c r="AK2" t="e">
        <f>AND(Wildcards!A30,"AAAAAHv9/CQ=")</f>
        <v>#VALUE!</v>
      </c>
      <c r="AL2" t="e">
        <f>AND(Wildcards!B30,"AAAAAHv9/CU=")</f>
        <v>#VALUE!</v>
      </c>
      <c r="AM2" t="e">
        <f>AND(Wildcards!C30,"AAAAAHv9/CY=")</f>
        <v>#VALUE!</v>
      </c>
      <c r="AN2">
        <f>IF(Wildcards!31:31,"AAAAAHv9/Cc=",0)</f>
        <v>0</v>
      </c>
      <c r="AO2" t="e">
        <f>AND(Wildcards!A31,"AAAAAHv9/Cg=")</f>
        <v>#VALUE!</v>
      </c>
      <c r="AP2" t="e">
        <f>AND(Wildcards!B31,"AAAAAHv9/Ck=")</f>
        <v>#VALUE!</v>
      </c>
      <c r="AQ2" t="e">
        <f>AND(Wildcards!C31,"AAAAAHv9/Co=")</f>
        <v>#VALUE!</v>
      </c>
      <c r="AR2">
        <f>IF(Wildcards!32:32,"AAAAAHv9/Cs=",0)</f>
        <v>0</v>
      </c>
      <c r="AS2" t="e">
        <f>AND(Wildcards!A32,"AAAAAHv9/Cw=")</f>
        <v>#VALUE!</v>
      </c>
      <c r="AT2" t="e">
        <f>AND(Wildcards!B32,"AAAAAHv9/C0=")</f>
        <v>#VALUE!</v>
      </c>
      <c r="AU2" t="e">
        <f>AND(Wildcards!C32,"AAAAAHv9/C4=")</f>
        <v>#VALUE!</v>
      </c>
      <c r="AV2">
        <f>IF(Wildcards!33:33,"AAAAAHv9/C8=",0)</f>
        <v>0</v>
      </c>
      <c r="AW2" t="e">
        <f>AND(Wildcards!A33,"AAAAAHv9/DA=")</f>
        <v>#VALUE!</v>
      </c>
      <c r="AX2" t="e">
        <f>AND(Wildcards!B33,"AAAAAHv9/DE=")</f>
        <v>#VALUE!</v>
      </c>
      <c r="AY2" t="e">
        <f>AND(Wildcards!C33,"AAAAAHv9/DI=")</f>
        <v>#VALUE!</v>
      </c>
      <c r="AZ2">
        <f>IF(Wildcards!B:B,"AAAAAHv9/DM=",0)</f>
        <v>0</v>
      </c>
      <c r="BA2">
        <f>IF(Wildcards!C:C,"AAAAAHv9/DQ=",0)</f>
        <v>0</v>
      </c>
      <c r="BB2">
        <f>IF(Wildcards!D:D,"AAAAAHv9/DU=",0)</f>
        <v>0</v>
      </c>
      <c r="BC2">
        <f>IF(Competitor!1:1,"AAAAAHv9/DY=",0)</f>
        <v>0</v>
      </c>
      <c r="BD2" t="e">
        <f>AND(Competitor!A1,"AAAAAHv9/Dc=")</f>
        <v>#VALUE!</v>
      </c>
      <c r="BE2" t="e">
        <f>AND(Competitor!B1,"AAAAAHv9/Dg=")</f>
        <v>#VALUE!</v>
      </c>
      <c r="BF2" t="e">
        <f>AND(Competitor!C1,"AAAAAHv9/Dk=")</f>
        <v>#VALUE!</v>
      </c>
      <c r="BG2" t="e">
        <f>AND(Competitor!D1,"AAAAAHv9/Do=")</f>
        <v>#VALUE!</v>
      </c>
      <c r="BH2" t="e">
        <f>AND(Competitor!E1,"AAAAAHv9/Ds=")</f>
        <v>#VALUE!</v>
      </c>
      <c r="BI2" t="e">
        <f>AND(Competitor!F1,"AAAAAHv9/Dw=")</f>
        <v>#VALUE!</v>
      </c>
      <c r="BJ2" t="e">
        <f>AND(Competitor!G1,"AAAAAHv9/D0=")</f>
        <v>#VALUE!</v>
      </c>
      <c r="BK2" t="e">
        <f>AND(Competitor!#REF!,"AAAAAHv9/D4=")</f>
        <v>#REF!</v>
      </c>
      <c r="BL2" t="e">
        <f>AND(Competitor!H1,"AAAAAHv9/D8=")</f>
        <v>#VALUE!</v>
      </c>
      <c r="BM2" t="e">
        <f>AND(Competitor!J1,"AAAAAHv9/EA=")</f>
        <v>#VALUE!</v>
      </c>
      <c r="BN2" t="e">
        <f>AND(Competitor!K1,"AAAAAHv9/EE=")</f>
        <v>#VALUE!</v>
      </c>
      <c r="BO2" t="e">
        <f>AND(Competitor!L1,"AAAAAHv9/EI=")</f>
        <v>#VALUE!</v>
      </c>
      <c r="BP2" t="e">
        <f>AND(Competitor!M1,"AAAAAHv9/EM=")</f>
        <v>#VALUE!</v>
      </c>
      <c r="BQ2" t="e">
        <f>AND(Competitor!N1,"AAAAAHv9/EQ=")</f>
        <v>#VALUE!</v>
      </c>
      <c r="BR2" t="e">
        <f>AND(Competitor!O1,"AAAAAHv9/EU=")</f>
        <v>#VALUE!</v>
      </c>
      <c r="BS2" t="e">
        <f>AND(Competitor!P1,"AAAAAHv9/EY=")</f>
        <v>#VALUE!</v>
      </c>
      <c r="BT2">
        <f>IF(Competitor!3:3,"AAAAAHv9/Ec=",0)</f>
        <v>0</v>
      </c>
      <c r="BU2" t="e">
        <f>AND(Competitor!A3,"AAAAAHv9/Eg=")</f>
        <v>#VALUE!</v>
      </c>
      <c r="BV2" t="e">
        <f>AND(Competitor!B3,"AAAAAHv9/Ek=")</f>
        <v>#VALUE!</v>
      </c>
      <c r="BW2" t="e">
        <f>AND(Competitor!C3,"AAAAAHv9/Eo=")</f>
        <v>#VALUE!</v>
      </c>
      <c r="BX2" t="e">
        <f>AND(Competitor!D3,"AAAAAHv9/Es=")</f>
        <v>#VALUE!</v>
      </c>
      <c r="BY2" t="e">
        <f>AND(Competitor!E3,"AAAAAHv9/Ew=")</f>
        <v>#VALUE!</v>
      </c>
      <c r="BZ2" t="e">
        <f>AND(Competitor!F3,"AAAAAHv9/E0=")</f>
        <v>#VALUE!</v>
      </c>
      <c r="CA2" t="e">
        <f>AND(Competitor!G3,"AAAAAHv9/E4=")</f>
        <v>#VALUE!</v>
      </c>
      <c r="CB2" t="e">
        <f>AND(Competitor!H3,"AAAAAHv9/E8=")</f>
        <v>#VALUE!</v>
      </c>
      <c r="CC2" t="e">
        <f>AND(Competitor!I3,"AAAAAHv9/FA=")</f>
        <v>#VALUE!</v>
      </c>
      <c r="CD2" t="e">
        <f>AND(Competitor!J3,"AAAAAHv9/FE=")</f>
        <v>#VALUE!</v>
      </c>
      <c r="CE2" t="e">
        <f>AND(Competitor!K3,"AAAAAHv9/FI=")</f>
        <v>#VALUE!</v>
      </c>
      <c r="CF2" t="e">
        <f>AND(Competitor!L3,"AAAAAHv9/FM=")</f>
        <v>#VALUE!</v>
      </c>
      <c r="CG2" t="e">
        <f>AND(Competitor!M3,"AAAAAHv9/FQ=")</f>
        <v>#VALUE!</v>
      </c>
      <c r="CH2" t="e">
        <f>AND(Competitor!N3,"AAAAAHv9/FU=")</f>
        <v>#VALUE!</v>
      </c>
      <c r="CI2" t="e">
        <f>AND(Competitor!O3,"AAAAAHv9/FY=")</f>
        <v>#VALUE!</v>
      </c>
      <c r="CJ2" t="e">
        <f>AND(Competitor!P3,"AAAAAHv9/Fc=")</f>
        <v>#VALUE!</v>
      </c>
      <c r="CK2">
        <f>IF(Competitor!4:4,"AAAAAHv9/Fg=",0)</f>
        <v>0</v>
      </c>
      <c r="CL2" t="e">
        <f>AND(Competitor!A4,"AAAAAHv9/Fk=")</f>
        <v>#VALUE!</v>
      </c>
      <c r="CM2" t="e">
        <f>AND(Competitor!B4,"AAAAAHv9/Fo=")</f>
        <v>#VALUE!</v>
      </c>
      <c r="CN2" t="e">
        <f>AND(Competitor!C4,"AAAAAHv9/Fs=")</f>
        <v>#VALUE!</v>
      </c>
      <c r="CO2" t="e">
        <f>AND(Competitor!D4,"AAAAAHv9/Fw=")</f>
        <v>#VALUE!</v>
      </c>
      <c r="CP2" t="e">
        <f>AND(Competitor!E4,"AAAAAHv9/F0=")</f>
        <v>#VALUE!</v>
      </c>
      <c r="CQ2" t="e">
        <f>AND(Competitor!F4,"AAAAAHv9/F4=")</f>
        <v>#VALUE!</v>
      </c>
      <c r="CR2" t="e">
        <f>AND(Competitor!G4,"AAAAAHv9/F8=")</f>
        <v>#VALUE!</v>
      </c>
      <c r="CS2" t="e">
        <f>AND(Competitor!H4,"AAAAAHv9/GA=")</f>
        <v>#VALUE!</v>
      </c>
      <c r="CT2" t="e">
        <f>AND(Competitor!I4,"AAAAAHv9/GE=")</f>
        <v>#VALUE!</v>
      </c>
      <c r="CU2" t="e">
        <f>AND(Competitor!J4,"AAAAAHv9/GI=")</f>
        <v>#VALUE!</v>
      </c>
      <c r="CV2" t="e">
        <f>AND(Competitor!K4,"AAAAAHv9/GM=")</f>
        <v>#VALUE!</v>
      </c>
      <c r="CW2" t="e">
        <f>AND(Competitor!L4,"AAAAAHv9/GQ=")</f>
        <v>#VALUE!</v>
      </c>
      <c r="CX2" t="e">
        <f>AND(Competitor!M4,"AAAAAHv9/GU=")</f>
        <v>#VALUE!</v>
      </c>
      <c r="CY2" t="e">
        <f>AND(Competitor!N4,"AAAAAHv9/GY=")</f>
        <v>#VALUE!</v>
      </c>
      <c r="CZ2" t="e">
        <f>AND(Competitor!O4,"AAAAAHv9/Gc=")</f>
        <v>#VALUE!</v>
      </c>
      <c r="DA2" t="e">
        <f>AND(Competitor!P4,"AAAAAHv9/Gg=")</f>
        <v>#VALUE!</v>
      </c>
      <c r="DB2">
        <f>IF(Competitor!5:5,"AAAAAHv9/Gk=",0)</f>
        <v>0</v>
      </c>
      <c r="DC2" t="e">
        <f>AND(Competitor!A5,"AAAAAHv9/Go=")</f>
        <v>#VALUE!</v>
      </c>
      <c r="DD2" t="e">
        <f>AND(Competitor!B5,"AAAAAHv9/Gs=")</f>
        <v>#VALUE!</v>
      </c>
      <c r="DE2" t="e">
        <f>AND(Competitor!C5,"AAAAAHv9/Gw=")</f>
        <v>#VALUE!</v>
      </c>
      <c r="DF2" t="e">
        <f>AND(Competitor!D5,"AAAAAHv9/G0=")</f>
        <v>#VALUE!</v>
      </c>
      <c r="DG2" t="e">
        <f>AND(Competitor!E5,"AAAAAHv9/G4=")</f>
        <v>#VALUE!</v>
      </c>
      <c r="DH2" t="e">
        <f>AND(Competitor!F5,"AAAAAHv9/G8=")</f>
        <v>#VALUE!</v>
      </c>
      <c r="DI2" t="e">
        <f>AND(Competitor!G5,"AAAAAHv9/HA=")</f>
        <v>#VALUE!</v>
      </c>
      <c r="DJ2" t="e">
        <f>AND(Competitor!H5,"AAAAAHv9/HE=")</f>
        <v>#VALUE!</v>
      </c>
      <c r="DK2" t="e">
        <f>AND(Competitor!I5,"AAAAAHv9/HI=")</f>
        <v>#VALUE!</v>
      </c>
      <c r="DL2" t="e">
        <f>AND(Competitor!J5,"AAAAAHv9/HM=")</f>
        <v>#VALUE!</v>
      </c>
      <c r="DM2" t="e">
        <f>AND(Competitor!K5,"AAAAAHv9/HQ=")</f>
        <v>#VALUE!</v>
      </c>
      <c r="DN2" t="e">
        <f>AND(Competitor!L5,"AAAAAHv9/HU=")</f>
        <v>#VALUE!</v>
      </c>
      <c r="DO2" t="e">
        <f>AND(Competitor!M5,"AAAAAHv9/HY=")</f>
        <v>#VALUE!</v>
      </c>
      <c r="DP2" t="e">
        <f>AND(Competitor!N5,"AAAAAHv9/Hc=")</f>
        <v>#VALUE!</v>
      </c>
      <c r="DQ2" t="e">
        <f>AND(Competitor!O5,"AAAAAHv9/Hg=")</f>
        <v>#VALUE!</v>
      </c>
      <c r="DR2" t="e">
        <f>AND(Competitor!P5,"AAAAAHv9/Hk=")</f>
        <v>#VALUE!</v>
      </c>
      <c r="DS2">
        <f>IF(Competitor!6:6,"AAAAAHv9/Ho=",0)</f>
        <v>0</v>
      </c>
      <c r="DT2" t="e">
        <f>AND(Competitor!A6,"AAAAAHv9/Hs=")</f>
        <v>#VALUE!</v>
      </c>
      <c r="DU2" t="e">
        <f>AND(Competitor!B6,"AAAAAHv9/Hw=")</f>
        <v>#VALUE!</v>
      </c>
      <c r="DV2" t="e">
        <f>AND(Competitor!C6,"AAAAAHv9/H0=")</f>
        <v>#VALUE!</v>
      </c>
      <c r="DW2" t="e">
        <f>AND(Competitor!D6,"AAAAAHv9/H4=")</f>
        <v>#VALUE!</v>
      </c>
      <c r="DX2" t="e">
        <f>AND(Competitor!E6,"AAAAAHv9/H8=")</f>
        <v>#VALUE!</v>
      </c>
      <c r="DY2" t="e">
        <f>AND(Competitor!F6,"AAAAAHv9/IA=")</f>
        <v>#VALUE!</v>
      </c>
      <c r="DZ2" t="e">
        <f>AND(Competitor!G6,"AAAAAHv9/IE=")</f>
        <v>#VALUE!</v>
      </c>
      <c r="EA2" t="e">
        <f>AND(Competitor!H6,"AAAAAHv9/II=")</f>
        <v>#VALUE!</v>
      </c>
      <c r="EB2" t="e">
        <f>AND(Competitor!I6,"AAAAAHv9/IM=")</f>
        <v>#VALUE!</v>
      </c>
      <c r="EC2" t="e">
        <f>AND(Competitor!J6,"AAAAAHv9/IQ=")</f>
        <v>#VALUE!</v>
      </c>
      <c r="ED2" t="e">
        <f>AND(Competitor!K6,"AAAAAHv9/IU=")</f>
        <v>#VALUE!</v>
      </c>
      <c r="EE2" t="e">
        <f>AND(Competitor!L6,"AAAAAHv9/IY=")</f>
        <v>#VALUE!</v>
      </c>
      <c r="EF2" t="e">
        <f>AND(Competitor!M6,"AAAAAHv9/Ic=")</f>
        <v>#VALUE!</v>
      </c>
      <c r="EG2" t="e">
        <f>AND(Competitor!N6,"AAAAAHv9/Ig=")</f>
        <v>#VALUE!</v>
      </c>
      <c r="EH2" t="e">
        <f>AND(Competitor!O6,"AAAAAHv9/Ik=")</f>
        <v>#VALUE!</v>
      </c>
      <c r="EI2" t="e">
        <f>AND(Competitor!P6,"AAAAAHv9/Io=")</f>
        <v>#VALUE!</v>
      </c>
      <c r="EJ2">
        <f>IF(Competitor!7:7,"AAAAAHv9/Is=",0)</f>
        <v>0</v>
      </c>
      <c r="EK2" t="e">
        <f>AND(Competitor!A7,"AAAAAHv9/Iw=")</f>
        <v>#VALUE!</v>
      </c>
      <c r="EL2" t="e">
        <f>AND(Competitor!B7,"AAAAAHv9/I0=")</f>
        <v>#VALUE!</v>
      </c>
      <c r="EM2" t="e">
        <f>AND(Competitor!C7,"AAAAAHv9/I4=")</f>
        <v>#VALUE!</v>
      </c>
      <c r="EN2" t="e">
        <f>AND(Competitor!D7,"AAAAAHv9/I8=")</f>
        <v>#VALUE!</v>
      </c>
      <c r="EO2" t="e">
        <f>AND(Competitor!E7,"AAAAAHv9/JA=")</f>
        <v>#VALUE!</v>
      </c>
      <c r="EP2" t="e">
        <f>AND(Competitor!F7,"AAAAAHv9/JE=")</f>
        <v>#VALUE!</v>
      </c>
      <c r="EQ2" t="e">
        <f>AND(Competitor!G7,"AAAAAHv9/JI=")</f>
        <v>#VALUE!</v>
      </c>
      <c r="ER2" t="e">
        <f>AND(Competitor!H7,"AAAAAHv9/JM=")</f>
        <v>#VALUE!</v>
      </c>
      <c r="ES2" t="e">
        <f>AND(Competitor!I7,"AAAAAHv9/JQ=")</f>
        <v>#VALUE!</v>
      </c>
      <c r="ET2" t="e">
        <f>AND(Competitor!J7,"AAAAAHv9/JU=")</f>
        <v>#VALUE!</v>
      </c>
      <c r="EU2" t="e">
        <f>AND(Competitor!K7,"AAAAAHv9/JY=")</f>
        <v>#VALUE!</v>
      </c>
      <c r="EV2" t="e">
        <f>AND(Competitor!L7,"AAAAAHv9/Jc=")</f>
        <v>#VALUE!</v>
      </c>
      <c r="EW2" t="e">
        <f>AND(Competitor!M7,"AAAAAHv9/Jg=")</f>
        <v>#VALUE!</v>
      </c>
      <c r="EX2" t="e">
        <f>AND(Competitor!N7,"AAAAAHv9/Jk=")</f>
        <v>#VALUE!</v>
      </c>
      <c r="EY2" t="e">
        <f>AND(Competitor!O7,"AAAAAHv9/Jo=")</f>
        <v>#VALUE!</v>
      </c>
      <c r="EZ2" t="e">
        <f>AND(Competitor!P7,"AAAAAHv9/Js=")</f>
        <v>#VALUE!</v>
      </c>
      <c r="FA2">
        <f>IF(Competitor!8:8,"AAAAAHv9/Jw=",0)</f>
        <v>0</v>
      </c>
      <c r="FB2" t="e">
        <f>AND(Competitor!A8,"AAAAAHv9/J0=")</f>
        <v>#VALUE!</v>
      </c>
      <c r="FC2" t="e">
        <f>AND(Competitor!B8,"AAAAAHv9/J4=")</f>
        <v>#VALUE!</v>
      </c>
      <c r="FD2" t="e">
        <f>AND(Competitor!C8,"AAAAAHv9/J8=")</f>
        <v>#VALUE!</v>
      </c>
      <c r="FE2" t="e">
        <f>AND(Competitor!D8,"AAAAAHv9/KA=")</f>
        <v>#VALUE!</v>
      </c>
      <c r="FF2" t="e">
        <f>AND(Competitor!E8,"AAAAAHv9/KE=")</f>
        <v>#VALUE!</v>
      </c>
      <c r="FG2" t="e">
        <f>AND(Competitor!F8,"AAAAAHv9/KI=")</f>
        <v>#VALUE!</v>
      </c>
      <c r="FH2" t="e">
        <f>AND(Competitor!G8,"AAAAAHv9/KM=")</f>
        <v>#VALUE!</v>
      </c>
      <c r="FI2" t="e">
        <f>AND(Competitor!H8,"AAAAAHv9/KQ=")</f>
        <v>#VALUE!</v>
      </c>
      <c r="FJ2" t="e">
        <f>AND(Competitor!I8,"AAAAAHv9/KU=")</f>
        <v>#VALUE!</v>
      </c>
      <c r="FK2" t="e">
        <f>AND(Competitor!J8,"AAAAAHv9/KY=")</f>
        <v>#VALUE!</v>
      </c>
      <c r="FL2" t="e">
        <f>AND(Competitor!K8,"AAAAAHv9/Kc=")</f>
        <v>#VALUE!</v>
      </c>
      <c r="FM2" t="e">
        <f>AND(Competitor!L8,"AAAAAHv9/Kg=")</f>
        <v>#VALUE!</v>
      </c>
      <c r="FN2" t="e">
        <f>AND(Competitor!M8,"AAAAAHv9/Kk=")</f>
        <v>#VALUE!</v>
      </c>
      <c r="FO2" t="e">
        <f>AND(Competitor!N8,"AAAAAHv9/Ko=")</f>
        <v>#VALUE!</v>
      </c>
      <c r="FP2" t="e">
        <f>AND(Competitor!O8,"AAAAAHv9/Ks=")</f>
        <v>#VALUE!</v>
      </c>
      <c r="FQ2" t="e">
        <f>AND(Competitor!P8,"AAAAAHv9/Kw=")</f>
        <v>#VALUE!</v>
      </c>
      <c r="FR2">
        <f>IF(Competitor!9:9,"AAAAAHv9/K0=",0)</f>
        <v>0</v>
      </c>
      <c r="FS2" t="e">
        <f>AND(Competitor!A9,"AAAAAHv9/K4=")</f>
        <v>#VALUE!</v>
      </c>
      <c r="FT2" t="e">
        <f>AND(Competitor!B9,"AAAAAHv9/K8=")</f>
        <v>#VALUE!</v>
      </c>
      <c r="FU2" t="e">
        <f>AND(Competitor!C9,"AAAAAHv9/LA=")</f>
        <v>#VALUE!</v>
      </c>
      <c r="FV2" t="e">
        <f>AND(Competitor!D9,"AAAAAHv9/LE=")</f>
        <v>#VALUE!</v>
      </c>
      <c r="FW2" t="e">
        <f>AND(Competitor!E9,"AAAAAHv9/LI=")</f>
        <v>#VALUE!</v>
      </c>
      <c r="FX2" t="e">
        <f>AND(Competitor!F9,"AAAAAHv9/LM=")</f>
        <v>#VALUE!</v>
      </c>
      <c r="FY2" t="e">
        <f>AND(Competitor!G9,"AAAAAHv9/LQ=")</f>
        <v>#VALUE!</v>
      </c>
      <c r="FZ2" t="e">
        <f>AND(Competitor!H9,"AAAAAHv9/LU=")</f>
        <v>#VALUE!</v>
      </c>
      <c r="GA2" t="e">
        <f>AND(Competitor!I9,"AAAAAHv9/LY=")</f>
        <v>#VALUE!</v>
      </c>
      <c r="GB2" t="e">
        <f>AND(Competitor!J9,"AAAAAHv9/Lc=")</f>
        <v>#VALUE!</v>
      </c>
      <c r="GC2" t="e">
        <f>AND(Competitor!K9,"AAAAAHv9/Lg=")</f>
        <v>#VALUE!</v>
      </c>
      <c r="GD2" t="e">
        <f>AND(Competitor!L9,"AAAAAHv9/Lk=")</f>
        <v>#VALUE!</v>
      </c>
      <c r="GE2" t="e">
        <f>AND(Competitor!M9,"AAAAAHv9/Lo=")</f>
        <v>#VALUE!</v>
      </c>
      <c r="GF2" t="e">
        <f>AND(Competitor!N9,"AAAAAHv9/Ls=")</f>
        <v>#VALUE!</v>
      </c>
      <c r="GG2" t="e">
        <f>AND(Competitor!O9,"AAAAAHv9/Lw=")</f>
        <v>#VALUE!</v>
      </c>
      <c r="GH2" t="e">
        <f>AND(Competitor!P9,"AAAAAHv9/L0=")</f>
        <v>#VALUE!</v>
      </c>
      <c r="GI2">
        <f>IF(Competitor!10:10,"AAAAAHv9/L4=",0)</f>
        <v>0</v>
      </c>
      <c r="GJ2" t="e">
        <f>AND(Competitor!A10,"AAAAAHv9/L8=")</f>
        <v>#VALUE!</v>
      </c>
      <c r="GK2" t="e">
        <f>AND(Competitor!B10,"AAAAAHv9/MA=")</f>
        <v>#VALUE!</v>
      </c>
      <c r="GL2" t="e">
        <f>AND(Competitor!C10,"AAAAAHv9/ME=")</f>
        <v>#VALUE!</v>
      </c>
      <c r="GM2" t="e">
        <f>AND(Competitor!D10,"AAAAAHv9/MI=")</f>
        <v>#VALUE!</v>
      </c>
      <c r="GN2" t="e">
        <f>AND(Competitor!E10,"AAAAAHv9/MM=")</f>
        <v>#VALUE!</v>
      </c>
      <c r="GO2" t="e">
        <f>AND(Competitor!F10,"AAAAAHv9/MQ=")</f>
        <v>#VALUE!</v>
      </c>
      <c r="GP2" t="e">
        <f>AND(Competitor!G10,"AAAAAHv9/MU=")</f>
        <v>#VALUE!</v>
      </c>
      <c r="GQ2" t="e">
        <f>AND(Competitor!H10,"AAAAAHv9/MY=")</f>
        <v>#VALUE!</v>
      </c>
      <c r="GR2" t="e">
        <f>AND(Competitor!I10,"AAAAAHv9/Mc=")</f>
        <v>#VALUE!</v>
      </c>
      <c r="GS2" t="e">
        <f>AND(Competitor!J10,"AAAAAHv9/Mg=")</f>
        <v>#VALUE!</v>
      </c>
      <c r="GT2" t="e">
        <f>AND(Competitor!K10,"AAAAAHv9/Mk=")</f>
        <v>#VALUE!</v>
      </c>
      <c r="GU2" t="e">
        <f>AND(Competitor!L10,"AAAAAHv9/Mo=")</f>
        <v>#VALUE!</v>
      </c>
      <c r="GV2" t="e">
        <f>AND(Competitor!M10,"AAAAAHv9/Ms=")</f>
        <v>#VALUE!</v>
      </c>
      <c r="GW2" t="e">
        <f>AND(Competitor!N10,"AAAAAHv9/Mw=")</f>
        <v>#VALUE!</v>
      </c>
      <c r="GX2" t="e">
        <f>AND(Competitor!O10,"AAAAAHv9/M0=")</f>
        <v>#VALUE!</v>
      </c>
      <c r="GY2" t="e">
        <f>AND(Competitor!P10,"AAAAAHv9/M4=")</f>
        <v>#VALUE!</v>
      </c>
      <c r="GZ2">
        <f>IF(Competitor!11:11,"AAAAAHv9/M8=",0)</f>
        <v>0</v>
      </c>
      <c r="HA2" t="e">
        <f>AND(Competitor!A11,"AAAAAHv9/NA=")</f>
        <v>#VALUE!</v>
      </c>
      <c r="HB2" t="e">
        <f>AND(Competitor!B11,"AAAAAHv9/NE=")</f>
        <v>#VALUE!</v>
      </c>
      <c r="HC2" t="e">
        <f>AND(Competitor!C11,"AAAAAHv9/NI=")</f>
        <v>#VALUE!</v>
      </c>
      <c r="HD2" t="e">
        <f>AND(Competitor!D11,"AAAAAHv9/NM=")</f>
        <v>#VALUE!</v>
      </c>
      <c r="HE2" t="e">
        <f>AND(Competitor!E11,"AAAAAHv9/NQ=")</f>
        <v>#VALUE!</v>
      </c>
      <c r="HF2" t="e">
        <f>AND(Competitor!F11,"AAAAAHv9/NU=")</f>
        <v>#VALUE!</v>
      </c>
      <c r="HG2" t="e">
        <f>AND(Competitor!G11,"AAAAAHv9/NY=")</f>
        <v>#VALUE!</v>
      </c>
      <c r="HH2" t="e">
        <f>AND(Competitor!H11,"AAAAAHv9/Nc=")</f>
        <v>#VALUE!</v>
      </c>
      <c r="HI2" t="e">
        <f>AND(Competitor!I11,"AAAAAHv9/Ng=")</f>
        <v>#VALUE!</v>
      </c>
      <c r="HJ2" t="e">
        <f>AND(Competitor!J11,"AAAAAHv9/Nk=")</f>
        <v>#VALUE!</v>
      </c>
      <c r="HK2" t="e">
        <f>AND(Competitor!K11,"AAAAAHv9/No=")</f>
        <v>#VALUE!</v>
      </c>
      <c r="HL2" t="e">
        <f>AND(Competitor!L11,"AAAAAHv9/Ns=")</f>
        <v>#VALUE!</v>
      </c>
      <c r="HM2" t="e">
        <f>AND(Competitor!M11,"AAAAAHv9/Nw=")</f>
        <v>#VALUE!</v>
      </c>
      <c r="HN2" t="e">
        <f>AND(Competitor!N11,"AAAAAHv9/N0=")</f>
        <v>#VALUE!</v>
      </c>
      <c r="HO2" t="e">
        <f>AND(Competitor!O11,"AAAAAHv9/N4=")</f>
        <v>#VALUE!</v>
      </c>
      <c r="HP2" t="e">
        <f>AND(Competitor!P11,"AAAAAHv9/N8=")</f>
        <v>#VALUE!</v>
      </c>
      <c r="HQ2">
        <f>IF(Competitor!12:12,"AAAAAHv9/OA=",0)</f>
        <v>0</v>
      </c>
      <c r="HR2" t="e">
        <f>AND(Competitor!A12,"AAAAAHv9/OE=")</f>
        <v>#VALUE!</v>
      </c>
      <c r="HS2" t="e">
        <f>AND(Competitor!B12,"AAAAAHv9/OI=")</f>
        <v>#VALUE!</v>
      </c>
      <c r="HT2" t="e">
        <f>AND(Competitor!C12,"AAAAAHv9/OM=")</f>
        <v>#VALUE!</v>
      </c>
      <c r="HU2" t="e">
        <f>AND(Competitor!D12,"AAAAAHv9/OQ=")</f>
        <v>#VALUE!</v>
      </c>
      <c r="HV2" t="e">
        <f>AND(Competitor!E12,"AAAAAHv9/OU=")</f>
        <v>#VALUE!</v>
      </c>
      <c r="HW2" t="e">
        <f>AND(Competitor!F12,"AAAAAHv9/OY=")</f>
        <v>#VALUE!</v>
      </c>
      <c r="HX2" t="e">
        <f>AND(Competitor!G12,"AAAAAHv9/Oc=")</f>
        <v>#VALUE!</v>
      </c>
      <c r="HY2" t="e">
        <f>AND(Competitor!H12,"AAAAAHv9/Og=")</f>
        <v>#VALUE!</v>
      </c>
      <c r="HZ2" t="e">
        <f>AND(Competitor!I12,"AAAAAHv9/Ok=")</f>
        <v>#VALUE!</v>
      </c>
      <c r="IA2" t="e">
        <f>AND(Competitor!J12,"AAAAAHv9/Oo=")</f>
        <v>#VALUE!</v>
      </c>
      <c r="IB2" t="e">
        <f>AND(Competitor!K12,"AAAAAHv9/Os=")</f>
        <v>#VALUE!</v>
      </c>
      <c r="IC2" t="e">
        <f>AND(Competitor!L12,"AAAAAHv9/Ow=")</f>
        <v>#VALUE!</v>
      </c>
      <c r="ID2" t="e">
        <f>AND(Competitor!M12,"AAAAAHv9/O0=")</f>
        <v>#VALUE!</v>
      </c>
      <c r="IE2" t="e">
        <f>AND(Competitor!N12,"AAAAAHv9/O4=")</f>
        <v>#VALUE!</v>
      </c>
      <c r="IF2" t="e">
        <f>AND(Competitor!O12,"AAAAAHv9/O8=")</f>
        <v>#VALUE!</v>
      </c>
      <c r="IG2" t="e">
        <f>AND(Competitor!P12,"AAAAAHv9/PA=")</f>
        <v>#VALUE!</v>
      </c>
      <c r="IH2">
        <f>IF(Competitor!13:13,"AAAAAHv9/PE=",0)</f>
        <v>0</v>
      </c>
      <c r="II2" t="e">
        <f>AND(Competitor!A13,"AAAAAHv9/PI=")</f>
        <v>#VALUE!</v>
      </c>
      <c r="IJ2" t="e">
        <f>AND(Competitor!B13,"AAAAAHv9/PM=")</f>
        <v>#VALUE!</v>
      </c>
      <c r="IK2" t="e">
        <f>AND(Competitor!C13,"AAAAAHv9/PQ=")</f>
        <v>#VALUE!</v>
      </c>
      <c r="IL2" t="e">
        <f>AND(Competitor!D13,"AAAAAHv9/PU=")</f>
        <v>#VALUE!</v>
      </c>
      <c r="IM2" t="e">
        <f>AND(Competitor!E13,"AAAAAHv9/PY=")</f>
        <v>#VALUE!</v>
      </c>
      <c r="IN2" t="e">
        <f>AND(Competitor!F13,"AAAAAHv9/Pc=")</f>
        <v>#VALUE!</v>
      </c>
      <c r="IO2" t="e">
        <f>AND(Competitor!G13,"AAAAAHv9/Pg=")</f>
        <v>#VALUE!</v>
      </c>
      <c r="IP2" t="e">
        <f>AND(Competitor!H13,"AAAAAHv9/Pk=")</f>
        <v>#VALUE!</v>
      </c>
      <c r="IQ2" t="e">
        <f>AND(Competitor!I13,"AAAAAHv9/Po=")</f>
        <v>#VALUE!</v>
      </c>
      <c r="IR2" t="e">
        <f>AND(Competitor!J13,"AAAAAHv9/Ps=")</f>
        <v>#VALUE!</v>
      </c>
      <c r="IS2" t="e">
        <f>AND(Competitor!K13,"AAAAAHv9/Pw=")</f>
        <v>#VALUE!</v>
      </c>
      <c r="IT2" t="e">
        <f>AND(Competitor!L13,"AAAAAHv9/P0=")</f>
        <v>#VALUE!</v>
      </c>
      <c r="IU2" t="e">
        <f>AND(Competitor!M13,"AAAAAHv9/P4=")</f>
        <v>#VALUE!</v>
      </c>
      <c r="IV2" t="e">
        <f>AND(Competitor!N13,"AAAAAHv9/P8=")</f>
        <v>#VALUE!</v>
      </c>
    </row>
    <row r="3" spans="1:256" x14ac:dyDescent="0.25">
      <c r="A3" t="e">
        <f>AND(Competitor!O13,"AAAAAH1vvwA=")</f>
        <v>#VALUE!</v>
      </c>
      <c r="B3" t="e">
        <f>AND(Competitor!P13,"AAAAAH1vvwE=")</f>
        <v>#VALUE!</v>
      </c>
      <c r="C3">
        <f>IF(Competitor!14:14,"AAAAAH1vvwI=",0)</f>
        <v>0</v>
      </c>
      <c r="D3" t="e">
        <f>AND(Competitor!A14,"AAAAAH1vvwM=")</f>
        <v>#VALUE!</v>
      </c>
      <c r="E3" t="e">
        <f>AND(Competitor!B14,"AAAAAH1vvwQ=")</f>
        <v>#VALUE!</v>
      </c>
      <c r="F3" t="e">
        <f>AND(Competitor!C14,"AAAAAH1vvwU=")</f>
        <v>#VALUE!</v>
      </c>
      <c r="G3" t="e">
        <f>AND(Competitor!D14,"AAAAAH1vvwY=")</f>
        <v>#VALUE!</v>
      </c>
      <c r="H3" t="e">
        <f>AND(Competitor!E14,"AAAAAH1vvwc=")</f>
        <v>#VALUE!</v>
      </c>
      <c r="I3" t="e">
        <f>AND(Competitor!F14,"AAAAAH1vvwg=")</f>
        <v>#VALUE!</v>
      </c>
      <c r="J3" t="e">
        <f>AND(Competitor!G14,"AAAAAH1vvwk=")</f>
        <v>#VALUE!</v>
      </c>
      <c r="K3" t="e">
        <f>AND(Competitor!H14,"AAAAAH1vvwo=")</f>
        <v>#VALUE!</v>
      </c>
      <c r="L3" t="e">
        <f>AND(Competitor!I14,"AAAAAH1vvws=")</f>
        <v>#VALUE!</v>
      </c>
      <c r="M3" t="e">
        <f>AND(Competitor!J14,"AAAAAH1vvww=")</f>
        <v>#VALUE!</v>
      </c>
      <c r="N3" t="e">
        <f>AND(Competitor!K14,"AAAAAH1vvw0=")</f>
        <v>#VALUE!</v>
      </c>
      <c r="O3" t="e">
        <f>AND(Competitor!L14,"AAAAAH1vvw4=")</f>
        <v>#VALUE!</v>
      </c>
      <c r="P3" t="e">
        <f>AND(Competitor!M14,"AAAAAH1vvw8=")</f>
        <v>#VALUE!</v>
      </c>
      <c r="Q3" t="e">
        <f>AND(Competitor!N14,"AAAAAH1vvxA=")</f>
        <v>#VALUE!</v>
      </c>
      <c r="R3" t="e">
        <f>AND(Competitor!O14,"AAAAAH1vvxE=")</f>
        <v>#VALUE!</v>
      </c>
      <c r="S3" t="e">
        <f>AND(Competitor!P14,"AAAAAH1vvxI=")</f>
        <v>#VALUE!</v>
      </c>
      <c r="T3">
        <f>IF(Competitor!15:15,"AAAAAH1vvxM=",0)</f>
        <v>0</v>
      </c>
      <c r="U3" t="e">
        <f>AND(Competitor!A15,"AAAAAH1vvxQ=")</f>
        <v>#VALUE!</v>
      </c>
      <c r="V3" t="e">
        <f>AND(Competitor!B15,"AAAAAH1vvxU=")</f>
        <v>#VALUE!</v>
      </c>
      <c r="W3" t="e">
        <f>AND(Competitor!C15,"AAAAAH1vvxY=")</f>
        <v>#VALUE!</v>
      </c>
      <c r="X3" t="e">
        <f>AND(Competitor!D15,"AAAAAH1vvxc=")</f>
        <v>#VALUE!</v>
      </c>
      <c r="Y3" t="e">
        <f>AND(Competitor!E15,"AAAAAH1vvxg=")</f>
        <v>#VALUE!</v>
      </c>
      <c r="Z3" t="e">
        <f>AND(Competitor!F15,"AAAAAH1vvxk=")</f>
        <v>#VALUE!</v>
      </c>
      <c r="AA3" t="e">
        <f>AND(Competitor!G15,"AAAAAH1vvxo=")</f>
        <v>#VALUE!</v>
      </c>
      <c r="AB3" t="e">
        <f>AND(Competitor!H15,"AAAAAH1vvxs=")</f>
        <v>#VALUE!</v>
      </c>
      <c r="AC3" t="e">
        <f>AND(Competitor!I15,"AAAAAH1vvxw=")</f>
        <v>#VALUE!</v>
      </c>
      <c r="AD3" t="e">
        <f>AND(Competitor!J15,"AAAAAH1vvx0=")</f>
        <v>#VALUE!</v>
      </c>
      <c r="AE3" t="e">
        <f>AND(Competitor!K15,"AAAAAH1vvx4=")</f>
        <v>#VALUE!</v>
      </c>
      <c r="AF3" t="e">
        <f>AND(Competitor!L15,"AAAAAH1vvx8=")</f>
        <v>#VALUE!</v>
      </c>
      <c r="AG3" t="e">
        <f>AND(Competitor!M15,"AAAAAH1vvyA=")</f>
        <v>#VALUE!</v>
      </c>
      <c r="AH3" t="e">
        <f>AND(Competitor!N15,"AAAAAH1vvyE=")</f>
        <v>#VALUE!</v>
      </c>
      <c r="AI3" t="e">
        <f>AND(Competitor!O15,"AAAAAH1vvyI=")</f>
        <v>#VALUE!</v>
      </c>
      <c r="AJ3" t="e">
        <f>AND(Competitor!P15,"AAAAAH1vvyM=")</f>
        <v>#VALUE!</v>
      </c>
      <c r="AK3">
        <f>IF(Competitor!16:16,"AAAAAH1vvyQ=",0)</f>
        <v>0</v>
      </c>
      <c r="AL3" t="e">
        <f>AND(Competitor!A16,"AAAAAH1vvyU=")</f>
        <v>#VALUE!</v>
      </c>
      <c r="AM3" t="e">
        <f>AND(Competitor!B16,"AAAAAH1vvyY=")</f>
        <v>#VALUE!</v>
      </c>
      <c r="AN3" t="e">
        <f>AND(Competitor!C16,"AAAAAH1vvyc=")</f>
        <v>#VALUE!</v>
      </c>
      <c r="AO3" t="e">
        <f>AND(Competitor!D16,"AAAAAH1vvyg=")</f>
        <v>#VALUE!</v>
      </c>
      <c r="AP3" t="e">
        <f>AND(Competitor!E16,"AAAAAH1vvyk=")</f>
        <v>#VALUE!</v>
      </c>
      <c r="AQ3" t="e">
        <f>AND(Competitor!F16,"AAAAAH1vvyo=")</f>
        <v>#VALUE!</v>
      </c>
      <c r="AR3" t="e">
        <f>AND(Competitor!G16,"AAAAAH1vvys=")</f>
        <v>#VALUE!</v>
      </c>
      <c r="AS3" t="e">
        <f>AND(Competitor!H16,"AAAAAH1vvyw=")</f>
        <v>#VALUE!</v>
      </c>
      <c r="AT3" t="e">
        <f>AND(Competitor!I16,"AAAAAH1vvy0=")</f>
        <v>#VALUE!</v>
      </c>
      <c r="AU3" t="e">
        <f>AND(Competitor!J16,"AAAAAH1vvy4=")</f>
        <v>#VALUE!</v>
      </c>
      <c r="AV3" t="e">
        <f>AND(Competitor!K16,"AAAAAH1vvy8=")</f>
        <v>#VALUE!</v>
      </c>
      <c r="AW3" t="e">
        <f>AND(Competitor!L16,"AAAAAH1vvzA=")</f>
        <v>#VALUE!</v>
      </c>
      <c r="AX3" t="e">
        <f>AND(Competitor!M16,"AAAAAH1vvzE=")</f>
        <v>#VALUE!</v>
      </c>
      <c r="AY3" t="e">
        <f>AND(Competitor!N16,"AAAAAH1vvzI=")</f>
        <v>#VALUE!</v>
      </c>
      <c r="AZ3" t="e">
        <f>AND(Competitor!O16,"AAAAAH1vvzM=")</f>
        <v>#VALUE!</v>
      </c>
      <c r="BA3" t="e">
        <f>AND(Competitor!P16,"AAAAAH1vvzQ=")</f>
        <v>#VALUE!</v>
      </c>
      <c r="BB3">
        <f>IF(Competitor!17:17,"AAAAAH1vvzU=",0)</f>
        <v>0</v>
      </c>
      <c r="BC3" t="e">
        <f>AND(Competitor!A17,"AAAAAH1vvzY=")</f>
        <v>#VALUE!</v>
      </c>
      <c r="BD3" t="e">
        <f>AND(Competitor!B17,"AAAAAH1vvzc=")</f>
        <v>#VALUE!</v>
      </c>
      <c r="BE3" t="e">
        <f>AND(Competitor!C17,"AAAAAH1vvzg=")</f>
        <v>#VALUE!</v>
      </c>
      <c r="BF3" t="e">
        <f>AND(Competitor!D17,"AAAAAH1vvzk=")</f>
        <v>#VALUE!</v>
      </c>
      <c r="BG3" t="e">
        <f>AND(Competitor!E17,"AAAAAH1vvzo=")</f>
        <v>#VALUE!</v>
      </c>
      <c r="BH3" t="e">
        <f>AND(Competitor!F17,"AAAAAH1vvzs=")</f>
        <v>#VALUE!</v>
      </c>
      <c r="BI3" t="e">
        <f>AND(Competitor!G17,"AAAAAH1vvzw=")</f>
        <v>#VALUE!</v>
      </c>
      <c r="BJ3" t="e">
        <f>AND(Competitor!H17,"AAAAAH1vvz0=")</f>
        <v>#VALUE!</v>
      </c>
      <c r="BK3" t="e">
        <f>AND(Competitor!I17,"AAAAAH1vvz4=")</f>
        <v>#VALUE!</v>
      </c>
      <c r="BL3" t="e">
        <f>AND(Competitor!J17,"AAAAAH1vvz8=")</f>
        <v>#VALUE!</v>
      </c>
      <c r="BM3" t="e">
        <f>AND(Competitor!K17,"AAAAAH1vv0A=")</f>
        <v>#VALUE!</v>
      </c>
      <c r="BN3" t="e">
        <f>AND(Competitor!L17,"AAAAAH1vv0E=")</f>
        <v>#VALUE!</v>
      </c>
      <c r="BO3" t="e">
        <f>AND(Competitor!M17,"AAAAAH1vv0I=")</f>
        <v>#VALUE!</v>
      </c>
      <c r="BP3" t="e">
        <f>AND(Competitor!N17,"AAAAAH1vv0M=")</f>
        <v>#VALUE!</v>
      </c>
      <c r="BQ3" t="e">
        <f>AND(Competitor!O17,"AAAAAH1vv0Q=")</f>
        <v>#VALUE!</v>
      </c>
      <c r="BR3" t="e">
        <f>AND(Competitor!P17,"AAAAAH1vv0U=")</f>
        <v>#VALUE!</v>
      </c>
      <c r="BS3">
        <f>IF(Competitor!18:18,"AAAAAH1vv0Y=",0)</f>
        <v>0</v>
      </c>
      <c r="BT3" t="e">
        <f>AND(Competitor!A18,"AAAAAH1vv0c=")</f>
        <v>#VALUE!</v>
      </c>
      <c r="BU3" t="e">
        <f>AND(Competitor!B18,"AAAAAH1vv0g=")</f>
        <v>#VALUE!</v>
      </c>
      <c r="BV3" t="e">
        <f>AND(Competitor!C18,"AAAAAH1vv0k=")</f>
        <v>#VALUE!</v>
      </c>
      <c r="BW3" t="e">
        <f>AND(Competitor!D18,"AAAAAH1vv0o=")</f>
        <v>#VALUE!</v>
      </c>
      <c r="BX3" t="e">
        <f>AND(Competitor!E18,"AAAAAH1vv0s=")</f>
        <v>#VALUE!</v>
      </c>
      <c r="BY3" t="e">
        <f>AND(Competitor!F18,"AAAAAH1vv0w=")</f>
        <v>#VALUE!</v>
      </c>
      <c r="BZ3" t="e">
        <f>AND(Competitor!G18,"AAAAAH1vv00=")</f>
        <v>#VALUE!</v>
      </c>
      <c r="CA3" t="e">
        <f>AND(Competitor!H18,"AAAAAH1vv04=")</f>
        <v>#VALUE!</v>
      </c>
      <c r="CB3" t="e">
        <f>AND(Competitor!I18,"AAAAAH1vv08=")</f>
        <v>#VALUE!</v>
      </c>
      <c r="CC3" t="e">
        <f>AND(Competitor!J18,"AAAAAH1vv1A=")</f>
        <v>#VALUE!</v>
      </c>
      <c r="CD3" t="e">
        <f>AND(Competitor!K18,"AAAAAH1vv1E=")</f>
        <v>#VALUE!</v>
      </c>
      <c r="CE3" t="e">
        <f>AND(Competitor!L18,"AAAAAH1vv1I=")</f>
        <v>#VALUE!</v>
      </c>
      <c r="CF3" t="e">
        <f>AND(Competitor!M18,"AAAAAH1vv1M=")</f>
        <v>#VALUE!</v>
      </c>
      <c r="CG3" t="e">
        <f>AND(Competitor!N18,"AAAAAH1vv1Q=")</f>
        <v>#VALUE!</v>
      </c>
      <c r="CH3" t="e">
        <f>AND(Competitor!O18,"AAAAAH1vv1U=")</f>
        <v>#VALUE!</v>
      </c>
      <c r="CI3" t="e">
        <f>AND(Competitor!P18,"AAAAAH1vv1Y=")</f>
        <v>#VALUE!</v>
      </c>
      <c r="CJ3">
        <f>IF(Competitor!19:19,"AAAAAH1vv1c=",0)</f>
        <v>0</v>
      </c>
      <c r="CK3" t="e">
        <f>AND(Competitor!A19,"AAAAAH1vv1g=")</f>
        <v>#VALUE!</v>
      </c>
      <c r="CL3" t="e">
        <f>AND(Competitor!B19,"AAAAAH1vv1k=")</f>
        <v>#VALUE!</v>
      </c>
      <c r="CM3" t="e">
        <f>AND(Competitor!C19,"AAAAAH1vv1o=")</f>
        <v>#VALUE!</v>
      </c>
      <c r="CN3" t="e">
        <f>AND(Competitor!D19,"AAAAAH1vv1s=")</f>
        <v>#VALUE!</v>
      </c>
      <c r="CO3" t="e">
        <f>AND(Competitor!E19,"AAAAAH1vv1w=")</f>
        <v>#VALUE!</v>
      </c>
      <c r="CP3" t="e">
        <f>AND(Competitor!F19,"AAAAAH1vv10=")</f>
        <v>#VALUE!</v>
      </c>
      <c r="CQ3" t="e">
        <f>AND(Competitor!G19,"AAAAAH1vv14=")</f>
        <v>#VALUE!</v>
      </c>
      <c r="CR3" t="e">
        <f>AND(Competitor!H19,"AAAAAH1vv18=")</f>
        <v>#VALUE!</v>
      </c>
      <c r="CS3" t="e">
        <f>AND(Competitor!I19,"AAAAAH1vv2A=")</f>
        <v>#VALUE!</v>
      </c>
      <c r="CT3" t="e">
        <f>AND(Competitor!J19,"AAAAAH1vv2E=")</f>
        <v>#VALUE!</v>
      </c>
      <c r="CU3" t="e">
        <f>AND(Competitor!K19,"AAAAAH1vv2I=")</f>
        <v>#VALUE!</v>
      </c>
      <c r="CV3" t="e">
        <f>AND(Competitor!L19,"AAAAAH1vv2M=")</f>
        <v>#VALUE!</v>
      </c>
      <c r="CW3" t="e">
        <f>AND(Competitor!M19,"AAAAAH1vv2Q=")</f>
        <v>#VALUE!</v>
      </c>
      <c r="CX3" t="e">
        <f>AND(Competitor!N19,"AAAAAH1vv2U=")</f>
        <v>#VALUE!</v>
      </c>
      <c r="CY3" t="e">
        <f>AND(Competitor!O19,"AAAAAH1vv2Y=")</f>
        <v>#VALUE!</v>
      </c>
      <c r="CZ3" t="e">
        <f>AND(Competitor!P19,"AAAAAH1vv2c=")</f>
        <v>#VALUE!</v>
      </c>
      <c r="DA3">
        <f>IF(Competitor!20:20,"AAAAAH1vv2g=",0)</f>
        <v>0</v>
      </c>
      <c r="DB3" t="e">
        <f>AND(Competitor!A20,"AAAAAH1vv2k=")</f>
        <v>#VALUE!</v>
      </c>
      <c r="DC3" t="e">
        <f>AND(Competitor!B20,"AAAAAH1vv2o=")</f>
        <v>#VALUE!</v>
      </c>
      <c r="DD3" t="e">
        <f>AND(Competitor!C20,"AAAAAH1vv2s=")</f>
        <v>#VALUE!</v>
      </c>
      <c r="DE3" t="e">
        <f>AND(Competitor!D20,"AAAAAH1vv2w=")</f>
        <v>#VALUE!</v>
      </c>
      <c r="DF3" t="e">
        <f>AND(Competitor!E20,"AAAAAH1vv20=")</f>
        <v>#VALUE!</v>
      </c>
      <c r="DG3" t="e">
        <f>AND(Competitor!F20,"AAAAAH1vv24=")</f>
        <v>#VALUE!</v>
      </c>
      <c r="DH3" t="e">
        <f>AND(Competitor!G20,"AAAAAH1vv28=")</f>
        <v>#VALUE!</v>
      </c>
      <c r="DI3" t="e">
        <f>AND(Competitor!H20,"AAAAAH1vv3A=")</f>
        <v>#VALUE!</v>
      </c>
      <c r="DJ3" t="e">
        <f>AND(Competitor!I20,"AAAAAH1vv3E=")</f>
        <v>#VALUE!</v>
      </c>
      <c r="DK3" t="e">
        <f>AND(Competitor!J20,"AAAAAH1vv3I=")</f>
        <v>#VALUE!</v>
      </c>
      <c r="DL3" t="e">
        <f>AND(Competitor!K20,"AAAAAH1vv3M=")</f>
        <v>#VALUE!</v>
      </c>
      <c r="DM3" t="e">
        <f>AND(Competitor!L20,"AAAAAH1vv3Q=")</f>
        <v>#VALUE!</v>
      </c>
      <c r="DN3" t="e">
        <f>AND(Competitor!M20,"AAAAAH1vv3U=")</f>
        <v>#VALUE!</v>
      </c>
      <c r="DO3" t="e">
        <f>AND(Competitor!N20,"AAAAAH1vv3Y=")</f>
        <v>#VALUE!</v>
      </c>
      <c r="DP3" t="e">
        <f>AND(Competitor!O20,"AAAAAH1vv3c=")</f>
        <v>#VALUE!</v>
      </c>
      <c r="DQ3" t="e">
        <f>AND(Competitor!P20,"AAAAAH1vv3g=")</f>
        <v>#VALUE!</v>
      </c>
      <c r="DR3">
        <f>IF(Competitor!21:21,"AAAAAH1vv3k=",0)</f>
        <v>0</v>
      </c>
      <c r="DS3" t="e">
        <f>AND(Competitor!A21,"AAAAAH1vv3o=")</f>
        <v>#VALUE!</v>
      </c>
      <c r="DT3" t="e">
        <f>AND(Competitor!B21,"AAAAAH1vv3s=")</f>
        <v>#VALUE!</v>
      </c>
      <c r="DU3" t="e">
        <f>AND(Competitor!C21,"AAAAAH1vv3w=")</f>
        <v>#VALUE!</v>
      </c>
      <c r="DV3" t="e">
        <f>AND(Competitor!D21,"AAAAAH1vv30=")</f>
        <v>#VALUE!</v>
      </c>
      <c r="DW3" t="e">
        <f>AND(Competitor!E21,"AAAAAH1vv34=")</f>
        <v>#VALUE!</v>
      </c>
      <c r="DX3" t="e">
        <f>AND(Competitor!F21,"AAAAAH1vv38=")</f>
        <v>#VALUE!</v>
      </c>
      <c r="DY3" t="e">
        <f>AND(Competitor!G21,"AAAAAH1vv4A=")</f>
        <v>#VALUE!</v>
      </c>
      <c r="DZ3" t="e">
        <f>AND(Competitor!H21,"AAAAAH1vv4E=")</f>
        <v>#VALUE!</v>
      </c>
      <c r="EA3" t="e">
        <f>AND(Competitor!I21,"AAAAAH1vv4I=")</f>
        <v>#VALUE!</v>
      </c>
      <c r="EB3" t="e">
        <f>AND(Competitor!J21,"AAAAAH1vv4M=")</f>
        <v>#VALUE!</v>
      </c>
      <c r="EC3" t="e">
        <f>AND(Competitor!K21,"AAAAAH1vv4Q=")</f>
        <v>#VALUE!</v>
      </c>
      <c r="ED3" t="e">
        <f>AND(Competitor!L21,"AAAAAH1vv4U=")</f>
        <v>#VALUE!</v>
      </c>
      <c r="EE3" t="e">
        <f>AND(Competitor!M21,"AAAAAH1vv4Y=")</f>
        <v>#VALUE!</v>
      </c>
      <c r="EF3" t="e">
        <f>AND(Competitor!N21,"AAAAAH1vv4c=")</f>
        <v>#VALUE!</v>
      </c>
      <c r="EG3" t="e">
        <f>AND(Competitor!O21,"AAAAAH1vv4g=")</f>
        <v>#VALUE!</v>
      </c>
      <c r="EH3" t="e">
        <f>AND(Competitor!P21,"AAAAAH1vv4k=")</f>
        <v>#VALUE!</v>
      </c>
      <c r="EI3">
        <f>IF(Competitor!22:22,"AAAAAH1vv4o=",0)</f>
        <v>0</v>
      </c>
      <c r="EJ3" t="e">
        <f>AND(Competitor!A22,"AAAAAH1vv4s=")</f>
        <v>#VALUE!</v>
      </c>
      <c r="EK3" t="e">
        <f>AND(Competitor!B22,"AAAAAH1vv4w=")</f>
        <v>#VALUE!</v>
      </c>
      <c r="EL3" t="e">
        <f>AND(Competitor!C22,"AAAAAH1vv40=")</f>
        <v>#VALUE!</v>
      </c>
      <c r="EM3" t="e">
        <f>AND(Competitor!D22,"AAAAAH1vv44=")</f>
        <v>#VALUE!</v>
      </c>
      <c r="EN3" t="e">
        <f>AND(Competitor!E22,"AAAAAH1vv48=")</f>
        <v>#VALUE!</v>
      </c>
      <c r="EO3" t="e">
        <f>AND(Competitor!F22,"AAAAAH1vv5A=")</f>
        <v>#VALUE!</v>
      </c>
      <c r="EP3" t="e">
        <f>AND(Competitor!G22,"AAAAAH1vv5E=")</f>
        <v>#VALUE!</v>
      </c>
      <c r="EQ3" t="e">
        <f>AND(Competitor!H22,"AAAAAH1vv5I=")</f>
        <v>#VALUE!</v>
      </c>
      <c r="ER3" t="e">
        <f>AND(Competitor!I22,"AAAAAH1vv5M=")</f>
        <v>#VALUE!</v>
      </c>
      <c r="ES3" t="e">
        <f>AND(Competitor!J22,"AAAAAH1vv5Q=")</f>
        <v>#VALUE!</v>
      </c>
      <c r="ET3" t="e">
        <f>AND(Competitor!K22,"AAAAAH1vv5U=")</f>
        <v>#VALUE!</v>
      </c>
      <c r="EU3" t="e">
        <f>AND(Competitor!L22,"AAAAAH1vv5Y=")</f>
        <v>#VALUE!</v>
      </c>
      <c r="EV3" t="e">
        <f>AND(Competitor!M22,"AAAAAH1vv5c=")</f>
        <v>#VALUE!</v>
      </c>
      <c r="EW3" t="e">
        <f>AND(Competitor!N22,"AAAAAH1vv5g=")</f>
        <v>#VALUE!</v>
      </c>
      <c r="EX3" t="e">
        <f>AND(Competitor!O22,"AAAAAH1vv5k=")</f>
        <v>#VALUE!</v>
      </c>
      <c r="EY3" t="e">
        <f>AND(Competitor!P22,"AAAAAH1vv5o=")</f>
        <v>#VALUE!</v>
      </c>
      <c r="EZ3">
        <f>IF(Competitor!23:23,"AAAAAH1vv5s=",0)</f>
        <v>0</v>
      </c>
      <c r="FA3" t="e">
        <f>AND(Competitor!A23,"AAAAAH1vv5w=")</f>
        <v>#VALUE!</v>
      </c>
      <c r="FB3" t="e">
        <f>AND(Competitor!B23,"AAAAAH1vv50=")</f>
        <v>#VALUE!</v>
      </c>
      <c r="FC3" t="e">
        <f>AND(Competitor!C23,"AAAAAH1vv54=")</f>
        <v>#VALUE!</v>
      </c>
      <c r="FD3" t="e">
        <f>AND(Competitor!D23,"AAAAAH1vv58=")</f>
        <v>#VALUE!</v>
      </c>
      <c r="FE3" t="e">
        <f>AND(Competitor!E23,"AAAAAH1vv6A=")</f>
        <v>#VALUE!</v>
      </c>
      <c r="FF3" t="e">
        <f>AND(Competitor!F23,"AAAAAH1vv6E=")</f>
        <v>#VALUE!</v>
      </c>
      <c r="FG3" t="e">
        <f>AND(Competitor!G23,"AAAAAH1vv6I=")</f>
        <v>#VALUE!</v>
      </c>
      <c r="FH3" t="e">
        <f>AND(Competitor!H23,"AAAAAH1vv6M=")</f>
        <v>#VALUE!</v>
      </c>
      <c r="FI3" t="e">
        <f>AND(Competitor!I23,"AAAAAH1vv6Q=")</f>
        <v>#VALUE!</v>
      </c>
      <c r="FJ3" t="e">
        <f>AND(Competitor!J23,"AAAAAH1vv6U=")</f>
        <v>#VALUE!</v>
      </c>
      <c r="FK3" t="e">
        <f>AND(Competitor!K23,"AAAAAH1vv6Y=")</f>
        <v>#VALUE!</v>
      </c>
      <c r="FL3" t="e">
        <f>AND(Competitor!L23,"AAAAAH1vv6c=")</f>
        <v>#VALUE!</v>
      </c>
      <c r="FM3" t="e">
        <f>AND(Competitor!M23,"AAAAAH1vv6g=")</f>
        <v>#VALUE!</v>
      </c>
      <c r="FN3" t="e">
        <f>AND(Competitor!N23,"AAAAAH1vv6k=")</f>
        <v>#VALUE!</v>
      </c>
      <c r="FO3" t="e">
        <f>AND(Competitor!O23,"AAAAAH1vv6o=")</f>
        <v>#VALUE!</v>
      </c>
      <c r="FP3" t="e">
        <f>AND(Competitor!P23,"AAAAAH1vv6s=")</f>
        <v>#VALUE!</v>
      </c>
      <c r="FQ3">
        <f>IF(Competitor!24:24,"AAAAAH1vv6w=",0)</f>
        <v>0</v>
      </c>
      <c r="FR3" t="e">
        <f>AND(Competitor!A24,"AAAAAH1vv60=")</f>
        <v>#VALUE!</v>
      </c>
      <c r="FS3" t="e">
        <f>AND(Competitor!B24,"AAAAAH1vv64=")</f>
        <v>#VALUE!</v>
      </c>
      <c r="FT3" t="e">
        <f>AND(Competitor!C24,"AAAAAH1vv68=")</f>
        <v>#VALUE!</v>
      </c>
      <c r="FU3" t="e">
        <f>AND(Competitor!D24,"AAAAAH1vv7A=")</f>
        <v>#VALUE!</v>
      </c>
      <c r="FV3" t="e">
        <f>AND(Competitor!E24,"AAAAAH1vv7E=")</f>
        <v>#VALUE!</v>
      </c>
      <c r="FW3" t="e">
        <f>AND(Competitor!F24,"AAAAAH1vv7I=")</f>
        <v>#VALUE!</v>
      </c>
      <c r="FX3" t="e">
        <f>AND(Competitor!G24,"AAAAAH1vv7M=")</f>
        <v>#VALUE!</v>
      </c>
      <c r="FY3" t="e">
        <f>AND(Competitor!H24,"AAAAAH1vv7Q=")</f>
        <v>#VALUE!</v>
      </c>
      <c r="FZ3" t="e">
        <f>AND(Competitor!I24,"AAAAAH1vv7U=")</f>
        <v>#VALUE!</v>
      </c>
      <c r="GA3" t="e">
        <f>AND(Competitor!J24,"AAAAAH1vv7Y=")</f>
        <v>#VALUE!</v>
      </c>
      <c r="GB3" t="e">
        <f>AND(Competitor!K24,"AAAAAH1vv7c=")</f>
        <v>#VALUE!</v>
      </c>
      <c r="GC3" t="e">
        <f>AND(Competitor!L24,"AAAAAH1vv7g=")</f>
        <v>#VALUE!</v>
      </c>
      <c r="GD3" t="e">
        <f>AND(Competitor!M24,"AAAAAH1vv7k=")</f>
        <v>#VALUE!</v>
      </c>
      <c r="GE3" t="e">
        <f>AND(Competitor!N24,"AAAAAH1vv7o=")</f>
        <v>#VALUE!</v>
      </c>
      <c r="GF3" t="e">
        <f>AND(Competitor!O24,"AAAAAH1vv7s=")</f>
        <v>#VALUE!</v>
      </c>
      <c r="GG3" t="e">
        <f>AND(Competitor!P24,"AAAAAH1vv7w=")</f>
        <v>#VALUE!</v>
      </c>
      <c r="GH3">
        <f>IF(Competitor!25:25,"AAAAAH1vv70=",0)</f>
        <v>0</v>
      </c>
      <c r="GI3" t="e">
        <f>AND(Competitor!A25,"AAAAAH1vv74=")</f>
        <v>#VALUE!</v>
      </c>
      <c r="GJ3" t="e">
        <f>AND(Competitor!B25,"AAAAAH1vv78=")</f>
        <v>#VALUE!</v>
      </c>
      <c r="GK3" t="e">
        <f>AND(Competitor!C25,"AAAAAH1vv8A=")</f>
        <v>#VALUE!</v>
      </c>
      <c r="GL3" t="e">
        <f>AND(Competitor!D25,"AAAAAH1vv8E=")</f>
        <v>#VALUE!</v>
      </c>
      <c r="GM3" t="e">
        <f>AND(Competitor!E25,"AAAAAH1vv8I=")</f>
        <v>#VALUE!</v>
      </c>
      <c r="GN3" t="e">
        <f>AND(Competitor!F25,"AAAAAH1vv8M=")</f>
        <v>#VALUE!</v>
      </c>
      <c r="GO3" t="e">
        <f>AND(Competitor!G25,"AAAAAH1vv8Q=")</f>
        <v>#VALUE!</v>
      </c>
      <c r="GP3" t="e">
        <f>AND(Competitor!H25,"AAAAAH1vv8U=")</f>
        <v>#VALUE!</v>
      </c>
      <c r="GQ3" t="e">
        <f>AND(Competitor!I25,"AAAAAH1vv8Y=")</f>
        <v>#VALUE!</v>
      </c>
      <c r="GR3" t="e">
        <f>AND(Competitor!J25,"AAAAAH1vv8c=")</f>
        <v>#VALUE!</v>
      </c>
      <c r="GS3" t="e">
        <f>AND(Competitor!K25,"AAAAAH1vv8g=")</f>
        <v>#VALUE!</v>
      </c>
      <c r="GT3" t="e">
        <f>AND(Competitor!L25,"AAAAAH1vv8k=")</f>
        <v>#VALUE!</v>
      </c>
      <c r="GU3" t="e">
        <f>AND(Competitor!M25,"AAAAAH1vv8o=")</f>
        <v>#VALUE!</v>
      </c>
      <c r="GV3" t="e">
        <f>AND(Competitor!N25,"AAAAAH1vv8s=")</f>
        <v>#VALUE!</v>
      </c>
      <c r="GW3" t="e">
        <f>AND(Competitor!O25,"AAAAAH1vv8w=")</f>
        <v>#VALUE!</v>
      </c>
      <c r="GX3" t="e">
        <f>AND(Competitor!P25,"AAAAAH1vv80=")</f>
        <v>#VALUE!</v>
      </c>
      <c r="GY3">
        <f>IF(Competitor!26:26,"AAAAAH1vv84=",0)</f>
        <v>0</v>
      </c>
      <c r="GZ3" t="e">
        <f>AND(Competitor!A26,"AAAAAH1vv88=")</f>
        <v>#VALUE!</v>
      </c>
      <c r="HA3" t="e">
        <f>AND(Competitor!B26,"AAAAAH1vv9A=")</f>
        <v>#VALUE!</v>
      </c>
      <c r="HB3" t="e">
        <f>AND(Competitor!C26,"AAAAAH1vv9E=")</f>
        <v>#VALUE!</v>
      </c>
      <c r="HC3" t="e">
        <f>AND(Competitor!D26,"AAAAAH1vv9I=")</f>
        <v>#VALUE!</v>
      </c>
      <c r="HD3" t="e">
        <f>AND(Competitor!E26,"AAAAAH1vv9M=")</f>
        <v>#VALUE!</v>
      </c>
      <c r="HE3" t="e">
        <f>AND(Competitor!F26,"AAAAAH1vv9Q=")</f>
        <v>#VALUE!</v>
      </c>
      <c r="HF3" t="e">
        <f>AND(Competitor!G26,"AAAAAH1vv9U=")</f>
        <v>#VALUE!</v>
      </c>
      <c r="HG3" t="e">
        <f>AND(Competitor!H26,"AAAAAH1vv9Y=")</f>
        <v>#VALUE!</v>
      </c>
      <c r="HH3" t="e">
        <f>AND(Competitor!I26,"AAAAAH1vv9c=")</f>
        <v>#VALUE!</v>
      </c>
      <c r="HI3" t="e">
        <f>AND(Competitor!J26,"AAAAAH1vv9g=")</f>
        <v>#VALUE!</v>
      </c>
      <c r="HJ3" t="e">
        <f>AND(Competitor!K26,"AAAAAH1vv9k=")</f>
        <v>#VALUE!</v>
      </c>
      <c r="HK3" t="e">
        <f>AND(Competitor!L26,"AAAAAH1vv9o=")</f>
        <v>#VALUE!</v>
      </c>
      <c r="HL3" t="e">
        <f>AND(Competitor!M26,"AAAAAH1vv9s=")</f>
        <v>#VALUE!</v>
      </c>
      <c r="HM3" t="e">
        <f>AND(Competitor!N26,"AAAAAH1vv9w=")</f>
        <v>#VALUE!</v>
      </c>
      <c r="HN3" t="e">
        <f>AND(Competitor!O26,"AAAAAH1vv90=")</f>
        <v>#VALUE!</v>
      </c>
      <c r="HO3" t="e">
        <f>AND(Competitor!P26,"AAAAAH1vv94=")</f>
        <v>#VALUE!</v>
      </c>
      <c r="HP3">
        <f>IF(Competitor!27:27,"AAAAAH1vv98=",0)</f>
        <v>0</v>
      </c>
      <c r="HQ3" t="e">
        <f>AND(Competitor!A27,"AAAAAH1vv+A=")</f>
        <v>#VALUE!</v>
      </c>
      <c r="HR3" t="e">
        <f>AND(Competitor!B27,"AAAAAH1vv+E=")</f>
        <v>#VALUE!</v>
      </c>
      <c r="HS3" t="e">
        <f>AND(Competitor!C27,"AAAAAH1vv+I=")</f>
        <v>#VALUE!</v>
      </c>
      <c r="HT3" t="e">
        <f>AND(Competitor!D27,"AAAAAH1vv+M=")</f>
        <v>#VALUE!</v>
      </c>
      <c r="HU3" t="e">
        <f>AND(Competitor!E27,"AAAAAH1vv+Q=")</f>
        <v>#VALUE!</v>
      </c>
      <c r="HV3" t="e">
        <f>AND(Competitor!F27,"AAAAAH1vv+U=")</f>
        <v>#VALUE!</v>
      </c>
      <c r="HW3" t="e">
        <f>AND(Competitor!G27,"AAAAAH1vv+Y=")</f>
        <v>#VALUE!</v>
      </c>
      <c r="HX3" t="e">
        <f>AND(Competitor!H27,"AAAAAH1vv+c=")</f>
        <v>#VALUE!</v>
      </c>
      <c r="HY3" t="e">
        <f>AND(Competitor!I27,"AAAAAH1vv+g=")</f>
        <v>#VALUE!</v>
      </c>
      <c r="HZ3" t="e">
        <f>AND(Competitor!J27,"AAAAAH1vv+k=")</f>
        <v>#VALUE!</v>
      </c>
      <c r="IA3" t="e">
        <f>AND(Competitor!K27,"AAAAAH1vv+o=")</f>
        <v>#VALUE!</v>
      </c>
      <c r="IB3" t="e">
        <f>AND(Competitor!L27,"AAAAAH1vv+s=")</f>
        <v>#VALUE!</v>
      </c>
      <c r="IC3" t="e">
        <f>AND(Competitor!M27,"AAAAAH1vv+w=")</f>
        <v>#VALUE!</v>
      </c>
      <c r="ID3" t="e">
        <f>AND(Competitor!N27,"AAAAAH1vv+0=")</f>
        <v>#VALUE!</v>
      </c>
      <c r="IE3" t="e">
        <f>AND(Competitor!O27,"AAAAAH1vv+4=")</f>
        <v>#VALUE!</v>
      </c>
      <c r="IF3" t="e">
        <f>AND(Competitor!P27,"AAAAAH1vv+8=")</f>
        <v>#VALUE!</v>
      </c>
      <c r="IG3">
        <f>IF(Competitor!28:28,"AAAAAH1vv/A=",0)</f>
        <v>0</v>
      </c>
      <c r="IH3" t="e">
        <f>AND(Competitor!A28,"AAAAAH1vv/E=")</f>
        <v>#VALUE!</v>
      </c>
      <c r="II3" t="e">
        <f>AND(Competitor!B28,"AAAAAH1vv/I=")</f>
        <v>#VALUE!</v>
      </c>
      <c r="IJ3" t="e">
        <f>AND(Competitor!C28,"AAAAAH1vv/M=")</f>
        <v>#VALUE!</v>
      </c>
      <c r="IK3" t="e">
        <f>AND(Competitor!D28,"AAAAAH1vv/Q=")</f>
        <v>#VALUE!</v>
      </c>
      <c r="IL3" t="e">
        <f>AND(Competitor!E28,"AAAAAH1vv/U=")</f>
        <v>#VALUE!</v>
      </c>
      <c r="IM3" t="e">
        <f>AND(Competitor!F28,"AAAAAH1vv/Y=")</f>
        <v>#VALUE!</v>
      </c>
      <c r="IN3" t="e">
        <f>AND(Competitor!G28,"AAAAAH1vv/c=")</f>
        <v>#VALUE!</v>
      </c>
      <c r="IO3" t="e">
        <f>AND(Competitor!H28,"AAAAAH1vv/g=")</f>
        <v>#VALUE!</v>
      </c>
      <c r="IP3" t="e">
        <f>AND(Competitor!I28,"AAAAAH1vv/k=")</f>
        <v>#VALUE!</v>
      </c>
      <c r="IQ3" t="e">
        <f>AND(Competitor!J28,"AAAAAH1vv/o=")</f>
        <v>#VALUE!</v>
      </c>
      <c r="IR3" t="e">
        <f>AND(Competitor!K28,"AAAAAH1vv/s=")</f>
        <v>#VALUE!</v>
      </c>
      <c r="IS3" t="e">
        <f>AND(Competitor!L28,"AAAAAH1vv/w=")</f>
        <v>#VALUE!</v>
      </c>
      <c r="IT3" t="e">
        <f>AND(Competitor!M28,"AAAAAH1vv/0=")</f>
        <v>#VALUE!</v>
      </c>
      <c r="IU3" t="e">
        <f>AND(Competitor!N28,"AAAAAH1vv/4=")</f>
        <v>#VALUE!</v>
      </c>
      <c r="IV3" t="e">
        <f>AND(Competitor!O28,"AAAAAH1vv/8=")</f>
        <v>#VALUE!</v>
      </c>
    </row>
    <row r="4" spans="1:256" x14ac:dyDescent="0.25">
      <c r="A4" t="e">
        <f>AND(Competitor!P28,"AAAAAG/+/wA=")</f>
        <v>#VALUE!</v>
      </c>
      <c r="B4">
        <f>IF(Competitor!29:29,"AAAAAG/+/wE=",0)</f>
        <v>0</v>
      </c>
      <c r="C4" t="e">
        <f>AND(Competitor!A29,"AAAAAG/+/wI=")</f>
        <v>#VALUE!</v>
      </c>
      <c r="D4" t="e">
        <f>AND(Competitor!B29,"AAAAAG/+/wM=")</f>
        <v>#VALUE!</v>
      </c>
      <c r="E4" t="e">
        <f>AND(Competitor!C29,"AAAAAG/+/wQ=")</f>
        <v>#VALUE!</v>
      </c>
      <c r="F4" t="e">
        <f>AND(Competitor!D29,"AAAAAG/+/wU=")</f>
        <v>#VALUE!</v>
      </c>
      <c r="G4" t="e">
        <f>AND(Competitor!E29,"AAAAAG/+/wY=")</f>
        <v>#VALUE!</v>
      </c>
      <c r="H4" t="e">
        <f>AND(Competitor!F29,"AAAAAG/+/wc=")</f>
        <v>#VALUE!</v>
      </c>
      <c r="I4" t="e">
        <f>AND(Competitor!G29,"AAAAAG/+/wg=")</f>
        <v>#VALUE!</v>
      </c>
      <c r="J4" t="e">
        <f>AND(Competitor!H29,"AAAAAG/+/wk=")</f>
        <v>#VALUE!</v>
      </c>
      <c r="K4" t="e">
        <f>AND(Competitor!I29,"AAAAAG/+/wo=")</f>
        <v>#VALUE!</v>
      </c>
      <c r="L4" t="e">
        <f>AND(Competitor!J29,"AAAAAG/+/ws=")</f>
        <v>#VALUE!</v>
      </c>
      <c r="M4" t="e">
        <f>AND(Competitor!K29,"AAAAAG/+/ww=")</f>
        <v>#VALUE!</v>
      </c>
      <c r="N4" t="e">
        <f>AND(Competitor!L29,"AAAAAG/+/w0=")</f>
        <v>#VALUE!</v>
      </c>
      <c r="O4" t="e">
        <f>AND(Competitor!M29,"AAAAAG/+/w4=")</f>
        <v>#VALUE!</v>
      </c>
      <c r="P4" t="e">
        <f>AND(Competitor!N29,"AAAAAG/+/w8=")</f>
        <v>#VALUE!</v>
      </c>
      <c r="Q4" t="e">
        <f>AND(Competitor!O29,"AAAAAG/+/xA=")</f>
        <v>#VALUE!</v>
      </c>
      <c r="R4" t="e">
        <f>AND(Competitor!P29,"AAAAAG/+/xE=")</f>
        <v>#VALUE!</v>
      </c>
      <c r="S4">
        <f>IF(Competitor!30:30,"AAAAAG/+/xI=",0)</f>
        <v>0</v>
      </c>
      <c r="T4" t="e">
        <f>AND(Competitor!A30,"AAAAAG/+/xM=")</f>
        <v>#VALUE!</v>
      </c>
      <c r="U4" t="e">
        <f>AND(Competitor!B30,"AAAAAG/+/xQ=")</f>
        <v>#VALUE!</v>
      </c>
      <c r="V4" t="e">
        <f>AND(Competitor!C30,"AAAAAG/+/xU=")</f>
        <v>#VALUE!</v>
      </c>
      <c r="W4" t="e">
        <f>AND(Competitor!D30,"AAAAAG/+/xY=")</f>
        <v>#VALUE!</v>
      </c>
      <c r="X4" t="e">
        <f>AND(Competitor!E30,"AAAAAG/+/xc=")</f>
        <v>#VALUE!</v>
      </c>
      <c r="Y4" t="e">
        <f>AND(Competitor!F30,"AAAAAG/+/xg=")</f>
        <v>#VALUE!</v>
      </c>
      <c r="Z4" t="e">
        <f>AND(Competitor!G30,"AAAAAG/+/xk=")</f>
        <v>#VALUE!</v>
      </c>
      <c r="AA4" t="e">
        <f>AND(Competitor!H30,"AAAAAG/+/xo=")</f>
        <v>#VALUE!</v>
      </c>
      <c r="AB4" t="e">
        <f>AND(Competitor!I30,"AAAAAG/+/xs=")</f>
        <v>#VALUE!</v>
      </c>
      <c r="AC4" t="e">
        <f>AND(Competitor!J30,"AAAAAG/+/xw=")</f>
        <v>#VALUE!</v>
      </c>
      <c r="AD4" t="e">
        <f>AND(Competitor!K30,"AAAAAG/+/x0=")</f>
        <v>#VALUE!</v>
      </c>
      <c r="AE4" t="e">
        <f>AND(Competitor!L30,"AAAAAG/+/x4=")</f>
        <v>#VALUE!</v>
      </c>
      <c r="AF4" t="e">
        <f>AND(Competitor!M30,"AAAAAG/+/x8=")</f>
        <v>#VALUE!</v>
      </c>
      <c r="AG4" t="e">
        <f>AND(Competitor!N30,"AAAAAG/+/yA=")</f>
        <v>#VALUE!</v>
      </c>
      <c r="AH4" t="e">
        <f>AND(Competitor!O30,"AAAAAG/+/yE=")</f>
        <v>#VALUE!</v>
      </c>
      <c r="AI4" t="e">
        <f>AND(Competitor!P30,"AAAAAG/+/yI=")</f>
        <v>#VALUE!</v>
      </c>
      <c r="AJ4">
        <f>IF(Competitor!31:31,"AAAAAG/+/yM=",0)</f>
        <v>0</v>
      </c>
      <c r="AK4" t="e">
        <f>AND(Competitor!A31,"AAAAAG/+/yQ=")</f>
        <v>#VALUE!</v>
      </c>
      <c r="AL4" t="e">
        <f>AND(Competitor!B31,"AAAAAG/+/yU=")</f>
        <v>#VALUE!</v>
      </c>
      <c r="AM4" t="e">
        <f>AND(Competitor!C31,"AAAAAG/+/yY=")</f>
        <v>#VALUE!</v>
      </c>
      <c r="AN4" t="e">
        <f>AND(Competitor!D31,"AAAAAG/+/yc=")</f>
        <v>#VALUE!</v>
      </c>
      <c r="AO4" t="e">
        <f>AND(Competitor!E31,"AAAAAG/+/yg=")</f>
        <v>#VALUE!</v>
      </c>
      <c r="AP4" t="e">
        <f>AND(Competitor!F31,"AAAAAG/+/yk=")</f>
        <v>#VALUE!</v>
      </c>
      <c r="AQ4" t="e">
        <f>AND(Competitor!G31,"AAAAAG/+/yo=")</f>
        <v>#VALUE!</v>
      </c>
      <c r="AR4" t="e">
        <f>AND(Competitor!H31,"AAAAAG/+/ys=")</f>
        <v>#VALUE!</v>
      </c>
      <c r="AS4" t="e">
        <f>AND(Competitor!I31,"AAAAAG/+/yw=")</f>
        <v>#VALUE!</v>
      </c>
      <c r="AT4" t="e">
        <f>AND(Competitor!J31,"AAAAAG/+/y0=")</f>
        <v>#VALUE!</v>
      </c>
      <c r="AU4" t="e">
        <f>AND(Competitor!K31,"AAAAAG/+/y4=")</f>
        <v>#VALUE!</v>
      </c>
      <c r="AV4" t="e">
        <f>AND(Competitor!L31,"AAAAAG/+/y8=")</f>
        <v>#VALUE!</v>
      </c>
      <c r="AW4" t="e">
        <f>AND(Competitor!M31,"AAAAAG/+/zA=")</f>
        <v>#VALUE!</v>
      </c>
      <c r="AX4" t="e">
        <f>AND(Competitor!N31,"AAAAAG/+/zE=")</f>
        <v>#VALUE!</v>
      </c>
      <c r="AY4" t="e">
        <f>AND(Competitor!O31,"AAAAAG/+/zI=")</f>
        <v>#VALUE!</v>
      </c>
      <c r="AZ4" t="e">
        <f>AND(Competitor!P31,"AAAAAG/+/zM=")</f>
        <v>#VALUE!</v>
      </c>
      <c r="BA4">
        <f>IF(Competitor!32:32,"AAAAAG/+/zQ=",0)</f>
        <v>0</v>
      </c>
      <c r="BB4" t="e">
        <f>AND(Competitor!A32,"AAAAAG/+/zU=")</f>
        <v>#VALUE!</v>
      </c>
      <c r="BC4" t="e">
        <f>AND(Competitor!B32,"AAAAAG/+/zY=")</f>
        <v>#VALUE!</v>
      </c>
      <c r="BD4" t="e">
        <f>AND(Competitor!C32,"AAAAAG/+/zc=")</f>
        <v>#VALUE!</v>
      </c>
      <c r="BE4" t="e">
        <f>AND(Competitor!D32,"AAAAAG/+/zg=")</f>
        <v>#VALUE!</v>
      </c>
      <c r="BF4" t="e">
        <f>AND(Competitor!E32,"AAAAAG/+/zk=")</f>
        <v>#VALUE!</v>
      </c>
      <c r="BG4" t="e">
        <f>AND(Competitor!F32,"AAAAAG/+/zo=")</f>
        <v>#VALUE!</v>
      </c>
      <c r="BH4" t="e">
        <f>AND(Competitor!G32,"AAAAAG/+/zs=")</f>
        <v>#VALUE!</v>
      </c>
      <c r="BI4" t="e">
        <f>AND(Competitor!H32,"AAAAAG/+/zw=")</f>
        <v>#VALUE!</v>
      </c>
      <c r="BJ4" t="e">
        <f>AND(Competitor!I32,"AAAAAG/+/z0=")</f>
        <v>#VALUE!</v>
      </c>
      <c r="BK4" t="e">
        <f>AND(Competitor!J32,"AAAAAG/+/z4=")</f>
        <v>#VALUE!</v>
      </c>
      <c r="BL4" t="e">
        <f>AND(Competitor!K32,"AAAAAG/+/z8=")</f>
        <v>#VALUE!</v>
      </c>
      <c r="BM4" t="e">
        <f>AND(Competitor!L32,"AAAAAG/+/0A=")</f>
        <v>#VALUE!</v>
      </c>
      <c r="BN4" t="e">
        <f>AND(Competitor!M32,"AAAAAG/+/0E=")</f>
        <v>#VALUE!</v>
      </c>
      <c r="BO4" t="e">
        <f>AND(Competitor!N32,"AAAAAG/+/0I=")</f>
        <v>#VALUE!</v>
      </c>
      <c r="BP4" t="e">
        <f>AND(Competitor!O32,"AAAAAG/+/0M=")</f>
        <v>#VALUE!</v>
      </c>
      <c r="BQ4" t="e">
        <f>AND(Competitor!P32,"AAAAAG/+/0Q=")</f>
        <v>#VALUE!</v>
      </c>
      <c r="BR4">
        <f>IF(Competitor!33:33,"AAAAAG/+/0U=",0)</f>
        <v>0</v>
      </c>
      <c r="BS4" t="e">
        <f>AND(Competitor!A33,"AAAAAG/+/0Y=")</f>
        <v>#VALUE!</v>
      </c>
      <c r="BT4" t="e">
        <f>AND(Competitor!B33,"AAAAAG/+/0c=")</f>
        <v>#VALUE!</v>
      </c>
      <c r="BU4" t="e">
        <f>AND(Competitor!C33,"AAAAAG/+/0g=")</f>
        <v>#VALUE!</v>
      </c>
      <c r="BV4" t="e">
        <f>AND(Competitor!D33,"AAAAAG/+/0k=")</f>
        <v>#VALUE!</v>
      </c>
      <c r="BW4" t="e">
        <f>AND(Competitor!E33,"AAAAAG/+/0o=")</f>
        <v>#VALUE!</v>
      </c>
      <c r="BX4" t="e">
        <f>AND(Competitor!F33,"AAAAAG/+/0s=")</f>
        <v>#VALUE!</v>
      </c>
      <c r="BY4" t="e">
        <f>AND(Competitor!G33,"AAAAAG/+/0w=")</f>
        <v>#VALUE!</v>
      </c>
      <c r="BZ4" t="e">
        <f>AND(Competitor!H33,"AAAAAG/+/00=")</f>
        <v>#VALUE!</v>
      </c>
      <c r="CA4" t="e">
        <f>AND(Competitor!I33,"AAAAAG/+/04=")</f>
        <v>#VALUE!</v>
      </c>
      <c r="CB4" t="e">
        <f>AND(Competitor!J33,"AAAAAG/+/08=")</f>
        <v>#VALUE!</v>
      </c>
      <c r="CC4" t="e">
        <f>AND(Competitor!K33,"AAAAAG/+/1A=")</f>
        <v>#VALUE!</v>
      </c>
      <c r="CD4" t="e">
        <f>AND(Competitor!L33,"AAAAAG/+/1E=")</f>
        <v>#VALUE!</v>
      </c>
      <c r="CE4" t="e">
        <f>AND(Competitor!M33,"AAAAAG/+/1I=")</f>
        <v>#VALUE!</v>
      </c>
      <c r="CF4" t="e">
        <f>AND(Competitor!N33,"AAAAAG/+/1M=")</f>
        <v>#VALUE!</v>
      </c>
      <c r="CG4" t="e">
        <f>AND(Competitor!O33,"AAAAAG/+/1Q=")</f>
        <v>#VALUE!</v>
      </c>
      <c r="CH4" t="e">
        <f>AND(Competitor!P33,"AAAAAG/+/1U=")</f>
        <v>#VALUE!</v>
      </c>
      <c r="CI4">
        <f>IF(Competitor!34:34,"AAAAAG/+/1Y=",0)</f>
        <v>0</v>
      </c>
      <c r="CJ4" t="e">
        <f>AND(Competitor!A34,"AAAAAG/+/1c=")</f>
        <v>#VALUE!</v>
      </c>
      <c r="CK4" t="e">
        <f>AND(Competitor!B34,"AAAAAG/+/1g=")</f>
        <v>#VALUE!</v>
      </c>
      <c r="CL4" t="e">
        <f>AND(Competitor!C34,"AAAAAG/+/1k=")</f>
        <v>#VALUE!</v>
      </c>
      <c r="CM4" t="e">
        <f>AND(Competitor!D34,"AAAAAG/+/1o=")</f>
        <v>#VALUE!</v>
      </c>
      <c r="CN4" t="e">
        <f>AND(Competitor!E34,"AAAAAG/+/1s=")</f>
        <v>#VALUE!</v>
      </c>
      <c r="CO4" t="e">
        <f>AND(Competitor!F34,"AAAAAG/+/1w=")</f>
        <v>#VALUE!</v>
      </c>
      <c r="CP4" t="e">
        <f>AND(Competitor!G34,"AAAAAG/+/10=")</f>
        <v>#VALUE!</v>
      </c>
      <c r="CQ4" t="e">
        <f>AND(Competitor!H34,"AAAAAG/+/14=")</f>
        <v>#VALUE!</v>
      </c>
      <c r="CR4" t="e">
        <f>AND(Competitor!I34,"AAAAAG/+/18=")</f>
        <v>#VALUE!</v>
      </c>
      <c r="CS4" t="e">
        <f>AND(Competitor!J34,"AAAAAG/+/2A=")</f>
        <v>#VALUE!</v>
      </c>
      <c r="CT4" t="e">
        <f>AND(Competitor!K34,"AAAAAG/+/2E=")</f>
        <v>#VALUE!</v>
      </c>
      <c r="CU4" t="e">
        <f>AND(Competitor!L34,"AAAAAG/+/2I=")</f>
        <v>#VALUE!</v>
      </c>
      <c r="CV4" t="e">
        <f>AND(Competitor!M34,"AAAAAG/+/2M=")</f>
        <v>#VALUE!</v>
      </c>
      <c r="CW4" t="e">
        <f>AND(Competitor!N34,"AAAAAG/+/2Q=")</f>
        <v>#VALUE!</v>
      </c>
      <c r="CX4" t="e">
        <f>AND(Competitor!O34,"AAAAAG/+/2U=")</f>
        <v>#VALUE!</v>
      </c>
      <c r="CY4" t="e">
        <f>AND(Competitor!P34,"AAAAAG/+/2Y=")</f>
        <v>#VALUE!</v>
      </c>
      <c r="CZ4">
        <f>IF(Competitor!35:35,"AAAAAG/+/2c=",0)</f>
        <v>0</v>
      </c>
      <c r="DA4" t="e">
        <f>AND(Competitor!A35,"AAAAAG/+/2g=")</f>
        <v>#VALUE!</v>
      </c>
      <c r="DB4" t="e">
        <f>AND(Competitor!B35,"AAAAAG/+/2k=")</f>
        <v>#VALUE!</v>
      </c>
      <c r="DC4" t="e">
        <f>AND(Competitor!C35,"AAAAAG/+/2o=")</f>
        <v>#VALUE!</v>
      </c>
      <c r="DD4" t="e">
        <f>AND(Competitor!D35,"AAAAAG/+/2s=")</f>
        <v>#VALUE!</v>
      </c>
      <c r="DE4" t="e">
        <f>AND(Competitor!E35,"AAAAAG/+/2w=")</f>
        <v>#VALUE!</v>
      </c>
      <c r="DF4" t="e">
        <f>AND(Competitor!F35,"AAAAAG/+/20=")</f>
        <v>#VALUE!</v>
      </c>
      <c r="DG4" t="e">
        <f>AND(Competitor!G35,"AAAAAG/+/24=")</f>
        <v>#VALUE!</v>
      </c>
      <c r="DH4" t="e">
        <f>AND(Competitor!H35,"AAAAAG/+/28=")</f>
        <v>#VALUE!</v>
      </c>
      <c r="DI4" t="e">
        <f>AND(Competitor!I35,"AAAAAG/+/3A=")</f>
        <v>#VALUE!</v>
      </c>
      <c r="DJ4" t="e">
        <f>AND(Competitor!J35,"AAAAAG/+/3E=")</f>
        <v>#VALUE!</v>
      </c>
      <c r="DK4" t="e">
        <f>AND(Competitor!K35,"AAAAAG/+/3I=")</f>
        <v>#VALUE!</v>
      </c>
      <c r="DL4" t="e">
        <f>AND(Competitor!L35,"AAAAAG/+/3M=")</f>
        <v>#VALUE!</v>
      </c>
      <c r="DM4" t="e">
        <f>AND(Competitor!M35,"AAAAAG/+/3Q=")</f>
        <v>#VALUE!</v>
      </c>
      <c r="DN4" t="e">
        <f>AND(Competitor!N35,"AAAAAG/+/3U=")</f>
        <v>#VALUE!</v>
      </c>
      <c r="DO4" t="e">
        <f>AND(Competitor!O35,"AAAAAG/+/3Y=")</f>
        <v>#VALUE!</v>
      </c>
      <c r="DP4" t="e">
        <f>AND(Competitor!P35,"AAAAAG/+/3c=")</f>
        <v>#VALUE!</v>
      </c>
      <c r="DQ4">
        <f>IF(Competitor!36:36,"AAAAAG/+/3g=",0)</f>
        <v>0</v>
      </c>
      <c r="DR4" t="e">
        <f>AND(Competitor!A36,"AAAAAG/+/3k=")</f>
        <v>#VALUE!</v>
      </c>
      <c r="DS4" t="e">
        <f>AND(Competitor!B36,"AAAAAG/+/3o=")</f>
        <v>#VALUE!</v>
      </c>
      <c r="DT4" t="e">
        <f>AND(Competitor!C36,"AAAAAG/+/3s=")</f>
        <v>#VALUE!</v>
      </c>
      <c r="DU4" t="e">
        <f>AND(Competitor!D36,"AAAAAG/+/3w=")</f>
        <v>#VALUE!</v>
      </c>
      <c r="DV4" t="e">
        <f>AND(Competitor!E36,"AAAAAG/+/30=")</f>
        <v>#VALUE!</v>
      </c>
      <c r="DW4" t="e">
        <f>AND(Competitor!F36,"AAAAAG/+/34=")</f>
        <v>#VALUE!</v>
      </c>
      <c r="DX4" t="e">
        <f>AND(Competitor!G36,"AAAAAG/+/38=")</f>
        <v>#VALUE!</v>
      </c>
      <c r="DY4" t="e">
        <f>AND(Competitor!H36,"AAAAAG/+/4A=")</f>
        <v>#VALUE!</v>
      </c>
      <c r="DZ4" t="e">
        <f>AND(Competitor!I36,"AAAAAG/+/4E=")</f>
        <v>#VALUE!</v>
      </c>
      <c r="EA4" t="e">
        <f>AND(Competitor!J36,"AAAAAG/+/4I=")</f>
        <v>#VALUE!</v>
      </c>
      <c r="EB4" t="e">
        <f>AND(Competitor!K36,"AAAAAG/+/4M=")</f>
        <v>#VALUE!</v>
      </c>
      <c r="EC4" t="e">
        <f>AND(Competitor!L36,"AAAAAG/+/4Q=")</f>
        <v>#VALUE!</v>
      </c>
      <c r="ED4" t="e">
        <f>AND(Competitor!M36,"AAAAAG/+/4U=")</f>
        <v>#VALUE!</v>
      </c>
      <c r="EE4" t="e">
        <f>AND(Competitor!N36,"AAAAAG/+/4Y=")</f>
        <v>#VALUE!</v>
      </c>
      <c r="EF4" t="e">
        <f>AND(Competitor!O36,"AAAAAG/+/4c=")</f>
        <v>#VALUE!</v>
      </c>
      <c r="EG4" t="e">
        <f>AND(Competitor!P36,"AAAAAG/+/4g=")</f>
        <v>#VALUE!</v>
      </c>
      <c r="EH4">
        <f>IF(Competitor!37:37,"AAAAAG/+/4k=",0)</f>
        <v>0</v>
      </c>
      <c r="EI4" t="e">
        <f>AND(Competitor!A37,"AAAAAG/+/4o=")</f>
        <v>#VALUE!</v>
      </c>
      <c r="EJ4" t="e">
        <f>AND(Competitor!B37,"AAAAAG/+/4s=")</f>
        <v>#VALUE!</v>
      </c>
      <c r="EK4" t="e">
        <f>AND(Competitor!C37,"AAAAAG/+/4w=")</f>
        <v>#VALUE!</v>
      </c>
      <c r="EL4" t="e">
        <f>AND(Competitor!D37,"AAAAAG/+/40=")</f>
        <v>#VALUE!</v>
      </c>
      <c r="EM4" t="e">
        <f>AND(Competitor!E37,"AAAAAG/+/44=")</f>
        <v>#VALUE!</v>
      </c>
      <c r="EN4" t="e">
        <f>AND(Competitor!F37,"AAAAAG/+/48=")</f>
        <v>#VALUE!</v>
      </c>
      <c r="EO4" t="e">
        <f>AND(Competitor!G37,"AAAAAG/+/5A=")</f>
        <v>#VALUE!</v>
      </c>
      <c r="EP4" t="e">
        <f>AND(Competitor!H37,"AAAAAG/+/5E=")</f>
        <v>#VALUE!</v>
      </c>
      <c r="EQ4" t="e">
        <f>AND(Competitor!I37,"AAAAAG/+/5I=")</f>
        <v>#VALUE!</v>
      </c>
      <c r="ER4" t="e">
        <f>AND(Competitor!J37,"AAAAAG/+/5M=")</f>
        <v>#VALUE!</v>
      </c>
      <c r="ES4" t="e">
        <f>AND(Competitor!K37,"AAAAAG/+/5Q=")</f>
        <v>#VALUE!</v>
      </c>
      <c r="ET4" t="e">
        <f>AND(Competitor!L37,"AAAAAG/+/5U=")</f>
        <v>#VALUE!</v>
      </c>
      <c r="EU4" t="e">
        <f>AND(Competitor!M37,"AAAAAG/+/5Y=")</f>
        <v>#VALUE!</v>
      </c>
      <c r="EV4" t="e">
        <f>AND(Competitor!N37,"AAAAAG/+/5c=")</f>
        <v>#VALUE!</v>
      </c>
      <c r="EW4" t="e">
        <f>AND(Competitor!O37,"AAAAAG/+/5g=")</f>
        <v>#VALUE!</v>
      </c>
      <c r="EX4" t="e">
        <f>AND(Competitor!P37,"AAAAAG/+/5k=")</f>
        <v>#VALUE!</v>
      </c>
      <c r="EY4">
        <f>IF(Competitor!38:38,"AAAAAG/+/5o=",0)</f>
        <v>0</v>
      </c>
      <c r="EZ4" t="e">
        <f>AND(Competitor!A38,"AAAAAG/+/5s=")</f>
        <v>#VALUE!</v>
      </c>
      <c r="FA4" t="e">
        <f>AND(Competitor!B38,"AAAAAG/+/5w=")</f>
        <v>#VALUE!</v>
      </c>
      <c r="FB4" t="e">
        <f>AND(Competitor!C38,"AAAAAG/+/50=")</f>
        <v>#VALUE!</v>
      </c>
      <c r="FC4" t="e">
        <f>AND(Competitor!D38,"AAAAAG/+/54=")</f>
        <v>#VALUE!</v>
      </c>
      <c r="FD4" t="e">
        <f>AND(Competitor!E38,"AAAAAG/+/58=")</f>
        <v>#VALUE!</v>
      </c>
      <c r="FE4" t="e">
        <f>AND(Competitor!F38,"AAAAAG/+/6A=")</f>
        <v>#VALUE!</v>
      </c>
      <c r="FF4" t="e">
        <f>AND(Competitor!G38,"AAAAAG/+/6E=")</f>
        <v>#VALUE!</v>
      </c>
      <c r="FG4" t="e">
        <f>AND(Competitor!H38,"AAAAAG/+/6I=")</f>
        <v>#VALUE!</v>
      </c>
      <c r="FH4" t="e">
        <f>AND(Competitor!I38,"AAAAAG/+/6M=")</f>
        <v>#VALUE!</v>
      </c>
      <c r="FI4" t="e">
        <f>AND(Competitor!J38,"AAAAAG/+/6Q=")</f>
        <v>#VALUE!</v>
      </c>
      <c r="FJ4" t="e">
        <f>AND(Competitor!K38,"AAAAAG/+/6U=")</f>
        <v>#VALUE!</v>
      </c>
      <c r="FK4" t="e">
        <f>AND(Competitor!L38,"AAAAAG/+/6Y=")</f>
        <v>#VALUE!</v>
      </c>
      <c r="FL4" t="e">
        <f>AND(Competitor!M38,"AAAAAG/+/6c=")</f>
        <v>#VALUE!</v>
      </c>
      <c r="FM4" t="e">
        <f>AND(Competitor!N38,"AAAAAG/+/6g=")</f>
        <v>#VALUE!</v>
      </c>
      <c r="FN4" t="e">
        <f>AND(Competitor!O38,"AAAAAG/+/6k=")</f>
        <v>#VALUE!</v>
      </c>
      <c r="FO4" t="e">
        <f>AND(Competitor!P38,"AAAAAG/+/6o=")</f>
        <v>#VALUE!</v>
      </c>
      <c r="FP4">
        <f>IF(Competitor!39:39,"AAAAAG/+/6s=",0)</f>
        <v>0</v>
      </c>
      <c r="FQ4" t="e">
        <f>AND(Competitor!A39,"AAAAAG/+/6w=")</f>
        <v>#VALUE!</v>
      </c>
      <c r="FR4" t="e">
        <f>AND(Competitor!B39,"AAAAAG/+/60=")</f>
        <v>#VALUE!</v>
      </c>
      <c r="FS4" t="e">
        <f>AND(Competitor!C39,"AAAAAG/+/64=")</f>
        <v>#VALUE!</v>
      </c>
      <c r="FT4" t="e">
        <f>AND(Competitor!D39,"AAAAAG/+/68=")</f>
        <v>#VALUE!</v>
      </c>
      <c r="FU4" t="e">
        <f>AND(Competitor!E39,"AAAAAG/+/7A=")</f>
        <v>#VALUE!</v>
      </c>
      <c r="FV4" t="e">
        <f>AND(Competitor!F39,"AAAAAG/+/7E=")</f>
        <v>#VALUE!</v>
      </c>
      <c r="FW4" t="e">
        <f>AND(Competitor!G39,"AAAAAG/+/7I=")</f>
        <v>#VALUE!</v>
      </c>
      <c r="FX4" t="e">
        <f>AND(Competitor!H39,"AAAAAG/+/7M=")</f>
        <v>#VALUE!</v>
      </c>
      <c r="FY4" t="e">
        <f>AND(Competitor!I39,"AAAAAG/+/7Q=")</f>
        <v>#VALUE!</v>
      </c>
      <c r="FZ4" t="e">
        <f>AND(Competitor!J39,"AAAAAG/+/7U=")</f>
        <v>#VALUE!</v>
      </c>
      <c r="GA4" t="e">
        <f>AND(Competitor!K39,"AAAAAG/+/7Y=")</f>
        <v>#VALUE!</v>
      </c>
      <c r="GB4" t="e">
        <f>AND(Competitor!L39,"AAAAAG/+/7c=")</f>
        <v>#VALUE!</v>
      </c>
      <c r="GC4" t="e">
        <f>AND(Competitor!M39,"AAAAAG/+/7g=")</f>
        <v>#VALUE!</v>
      </c>
      <c r="GD4" t="e">
        <f>AND(Competitor!N39,"AAAAAG/+/7k=")</f>
        <v>#VALUE!</v>
      </c>
      <c r="GE4" t="e">
        <f>AND(Competitor!O39,"AAAAAG/+/7o=")</f>
        <v>#VALUE!</v>
      </c>
      <c r="GF4" t="e">
        <f>AND(Competitor!P39,"AAAAAG/+/7s=")</f>
        <v>#VALUE!</v>
      </c>
      <c r="GG4">
        <f>IF(Competitor!40:40,"AAAAAG/+/7w=",0)</f>
        <v>0</v>
      </c>
      <c r="GH4" t="e">
        <f>AND(Competitor!A40,"AAAAAG/+/70=")</f>
        <v>#VALUE!</v>
      </c>
      <c r="GI4" t="e">
        <f>AND(Competitor!B40,"AAAAAG/+/74=")</f>
        <v>#VALUE!</v>
      </c>
      <c r="GJ4" t="e">
        <f>AND(Competitor!C40,"AAAAAG/+/78=")</f>
        <v>#VALUE!</v>
      </c>
      <c r="GK4" t="e">
        <f>AND(Competitor!D40,"AAAAAG/+/8A=")</f>
        <v>#VALUE!</v>
      </c>
      <c r="GL4" t="e">
        <f>AND(Competitor!E40,"AAAAAG/+/8E=")</f>
        <v>#VALUE!</v>
      </c>
      <c r="GM4" t="e">
        <f>AND(Competitor!F40,"AAAAAG/+/8I=")</f>
        <v>#VALUE!</v>
      </c>
      <c r="GN4" t="e">
        <f>AND(Competitor!G40,"AAAAAG/+/8M=")</f>
        <v>#VALUE!</v>
      </c>
      <c r="GO4" t="e">
        <f>AND(Competitor!H40,"AAAAAG/+/8Q=")</f>
        <v>#VALUE!</v>
      </c>
      <c r="GP4" t="e">
        <f>AND(Competitor!I40,"AAAAAG/+/8U=")</f>
        <v>#VALUE!</v>
      </c>
      <c r="GQ4" t="e">
        <f>AND(Competitor!J40,"AAAAAG/+/8Y=")</f>
        <v>#VALUE!</v>
      </c>
      <c r="GR4" t="e">
        <f>AND(Competitor!K40,"AAAAAG/+/8c=")</f>
        <v>#VALUE!</v>
      </c>
      <c r="GS4" t="e">
        <f>AND(Competitor!L40,"AAAAAG/+/8g=")</f>
        <v>#VALUE!</v>
      </c>
      <c r="GT4" t="e">
        <f>AND(Competitor!M40,"AAAAAG/+/8k=")</f>
        <v>#VALUE!</v>
      </c>
      <c r="GU4" t="e">
        <f>AND(Competitor!N40,"AAAAAG/+/8o=")</f>
        <v>#VALUE!</v>
      </c>
      <c r="GV4" t="e">
        <f>AND(Competitor!O40,"AAAAAG/+/8s=")</f>
        <v>#VALUE!</v>
      </c>
      <c r="GW4" t="e">
        <f>AND(Competitor!P40,"AAAAAG/+/8w=")</f>
        <v>#VALUE!</v>
      </c>
      <c r="GX4">
        <f>IF(Competitor!41:41,"AAAAAG/+/80=",0)</f>
        <v>0</v>
      </c>
      <c r="GY4" t="e">
        <f>AND(Competitor!A41,"AAAAAG/+/84=")</f>
        <v>#VALUE!</v>
      </c>
      <c r="GZ4" t="e">
        <f>AND(Competitor!B41,"AAAAAG/+/88=")</f>
        <v>#VALUE!</v>
      </c>
      <c r="HA4" t="e">
        <f>AND(Competitor!C41,"AAAAAG/+/9A=")</f>
        <v>#VALUE!</v>
      </c>
      <c r="HB4" t="e">
        <f>AND(Competitor!D41,"AAAAAG/+/9E=")</f>
        <v>#VALUE!</v>
      </c>
      <c r="HC4" t="e">
        <f>AND(Competitor!E41,"AAAAAG/+/9I=")</f>
        <v>#VALUE!</v>
      </c>
      <c r="HD4" t="e">
        <f>AND(Competitor!F41,"AAAAAG/+/9M=")</f>
        <v>#VALUE!</v>
      </c>
      <c r="HE4" t="e">
        <f>AND(Competitor!G41,"AAAAAG/+/9Q=")</f>
        <v>#VALUE!</v>
      </c>
      <c r="HF4" t="e">
        <f>AND(Competitor!H41,"AAAAAG/+/9U=")</f>
        <v>#VALUE!</v>
      </c>
      <c r="HG4" t="e">
        <f>AND(Competitor!I41,"AAAAAG/+/9Y=")</f>
        <v>#VALUE!</v>
      </c>
      <c r="HH4" t="e">
        <f>AND(Competitor!J41,"AAAAAG/+/9c=")</f>
        <v>#VALUE!</v>
      </c>
      <c r="HI4" t="e">
        <f>AND(Competitor!K41,"AAAAAG/+/9g=")</f>
        <v>#VALUE!</v>
      </c>
      <c r="HJ4" t="e">
        <f>AND(Competitor!L41,"AAAAAG/+/9k=")</f>
        <v>#VALUE!</v>
      </c>
      <c r="HK4" t="e">
        <f>AND(Competitor!M41,"AAAAAG/+/9o=")</f>
        <v>#VALUE!</v>
      </c>
      <c r="HL4" t="e">
        <f>AND(Competitor!N41,"AAAAAG/+/9s=")</f>
        <v>#VALUE!</v>
      </c>
      <c r="HM4" t="e">
        <f>AND(Competitor!O41,"AAAAAG/+/9w=")</f>
        <v>#VALUE!</v>
      </c>
      <c r="HN4" t="e">
        <f>AND(Competitor!P41,"AAAAAG/+/90=")</f>
        <v>#VALUE!</v>
      </c>
      <c r="HO4">
        <f>IF(Competitor!42:42,"AAAAAG/+/94=",0)</f>
        <v>0</v>
      </c>
      <c r="HP4" t="e">
        <f>AND(Competitor!A42,"AAAAAG/+/98=")</f>
        <v>#VALUE!</v>
      </c>
      <c r="HQ4" t="e">
        <f>AND(Competitor!B42,"AAAAAG/+/+A=")</f>
        <v>#VALUE!</v>
      </c>
      <c r="HR4" t="e">
        <f>AND(Competitor!C42,"AAAAAG/+/+E=")</f>
        <v>#VALUE!</v>
      </c>
      <c r="HS4" t="e">
        <f>AND(Competitor!D42,"AAAAAG/+/+I=")</f>
        <v>#VALUE!</v>
      </c>
      <c r="HT4" t="e">
        <f>AND(Competitor!E42,"AAAAAG/+/+M=")</f>
        <v>#VALUE!</v>
      </c>
      <c r="HU4" t="e">
        <f>AND(Competitor!F42,"AAAAAG/+/+Q=")</f>
        <v>#VALUE!</v>
      </c>
      <c r="HV4" t="e">
        <f>AND(Competitor!G42,"AAAAAG/+/+U=")</f>
        <v>#VALUE!</v>
      </c>
      <c r="HW4" t="e">
        <f>AND(Competitor!H42,"AAAAAG/+/+Y=")</f>
        <v>#VALUE!</v>
      </c>
      <c r="HX4" t="e">
        <f>AND(Competitor!I42,"AAAAAG/+/+c=")</f>
        <v>#VALUE!</v>
      </c>
      <c r="HY4" t="e">
        <f>AND(Competitor!J42,"AAAAAG/+/+g=")</f>
        <v>#VALUE!</v>
      </c>
      <c r="HZ4" t="e">
        <f>AND(Competitor!K42,"AAAAAG/+/+k=")</f>
        <v>#VALUE!</v>
      </c>
      <c r="IA4" t="e">
        <f>AND(Competitor!L42,"AAAAAG/+/+o=")</f>
        <v>#VALUE!</v>
      </c>
      <c r="IB4" t="e">
        <f>AND(Competitor!M42,"AAAAAG/+/+s=")</f>
        <v>#VALUE!</v>
      </c>
      <c r="IC4" t="e">
        <f>AND(Competitor!N42,"AAAAAG/+/+w=")</f>
        <v>#VALUE!</v>
      </c>
      <c r="ID4" t="e">
        <f>AND(Competitor!O42,"AAAAAG/+/+0=")</f>
        <v>#VALUE!</v>
      </c>
      <c r="IE4" t="e">
        <f>AND(Competitor!P42,"AAAAAG/+/+4=")</f>
        <v>#VALUE!</v>
      </c>
      <c r="IF4">
        <f>IF(Competitor!43:43,"AAAAAG/+/+8=",0)</f>
        <v>0</v>
      </c>
      <c r="IG4" t="e">
        <f>AND(Competitor!A43,"AAAAAG/+//A=")</f>
        <v>#VALUE!</v>
      </c>
      <c r="IH4" t="e">
        <f>AND(Competitor!B43,"AAAAAG/+//E=")</f>
        <v>#VALUE!</v>
      </c>
      <c r="II4" t="e">
        <f>AND(Competitor!C43,"AAAAAG/+//I=")</f>
        <v>#VALUE!</v>
      </c>
      <c r="IJ4" t="e">
        <f>AND(Competitor!D43,"AAAAAG/+//M=")</f>
        <v>#VALUE!</v>
      </c>
      <c r="IK4" t="e">
        <f>AND(Competitor!E43,"AAAAAG/+//Q=")</f>
        <v>#VALUE!</v>
      </c>
      <c r="IL4" t="e">
        <f>AND(Competitor!F43,"AAAAAG/+//U=")</f>
        <v>#VALUE!</v>
      </c>
      <c r="IM4" t="e">
        <f>AND(Competitor!G43,"AAAAAG/+//Y=")</f>
        <v>#VALUE!</v>
      </c>
      <c r="IN4" t="e">
        <f>AND(Competitor!H43,"AAAAAG/+//c=")</f>
        <v>#VALUE!</v>
      </c>
      <c r="IO4" t="e">
        <f>AND(Competitor!I43,"AAAAAG/+//g=")</f>
        <v>#VALUE!</v>
      </c>
      <c r="IP4" t="e">
        <f>AND(Competitor!J43,"AAAAAG/+//k=")</f>
        <v>#VALUE!</v>
      </c>
      <c r="IQ4" t="e">
        <f>AND(Competitor!K43,"AAAAAG/+//o=")</f>
        <v>#VALUE!</v>
      </c>
      <c r="IR4" t="e">
        <f>AND(Competitor!L43,"AAAAAG/+//s=")</f>
        <v>#VALUE!</v>
      </c>
      <c r="IS4" t="e">
        <f>AND(Competitor!M43,"AAAAAG/+//w=")</f>
        <v>#VALUE!</v>
      </c>
      <c r="IT4" t="e">
        <f>AND(Competitor!N43,"AAAAAG/+//0=")</f>
        <v>#VALUE!</v>
      </c>
      <c r="IU4" t="e">
        <f>AND(Competitor!O43,"AAAAAG/+//4=")</f>
        <v>#VALUE!</v>
      </c>
      <c r="IV4" t="e">
        <f>AND(Competitor!P43,"AAAAAG/+//8=")</f>
        <v>#VALUE!</v>
      </c>
    </row>
    <row r="5" spans="1:256" x14ac:dyDescent="0.25">
      <c r="A5" t="str">
        <f>IF(Competitor!44:44,"AAAAAH/uUwA=",0)</f>
        <v>AAAAAH/uUwA=</v>
      </c>
      <c r="B5" t="e">
        <f>AND(Competitor!A44,"AAAAAH/uUwE=")</f>
        <v>#VALUE!</v>
      </c>
      <c r="C5" t="e">
        <f>AND(Competitor!B44,"AAAAAH/uUwI=")</f>
        <v>#VALUE!</v>
      </c>
      <c r="D5" t="e">
        <f>AND(Competitor!C44,"AAAAAH/uUwM=")</f>
        <v>#VALUE!</v>
      </c>
      <c r="E5" t="e">
        <f>AND(Competitor!D44,"AAAAAH/uUwQ=")</f>
        <v>#VALUE!</v>
      </c>
      <c r="F5" t="e">
        <f>AND(Competitor!E44,"AAAAAH/uUwU=")</f>
        <v>#VALUE!</v>
      </c>
      <c r="G5" t="e">
        <f>AND(Competitor!F44,"AAAAAH/uUwY=")</f>
        <v>#VALUE!</v>
      </c>
      <c r="H5" t="e">
        <f>AND(Competitor!G44,"AAAAAH/uUwc=")</f>
        <v>#VALUE!</v>
      </c>
      <c r="I5" t="e">
        <f>AND(Competitor!H44,"AAAAAH/uUwg=")</f>
        <v>#VALUE!</v>
      </c>
      <c r="J5" t="e">
        <f>AND(Competitor!I44,"AAAAAH/uUwk=")</f>
        <v>#VALUE!</v>
      </c>
      <c r="K5" t="e">
        <f>AND(Competitor!J44,"AAAAAH/uUwo=")</f>
        <v>#VALUE!</v>
      </c>
      <c r="L5" t="e">
        <f>AND(Competitor!K44,"AAAAAH/uUws=")</f>
        <v>#VALUE!</v>
      </c>
      <c r="M5" t="e">
        <f>AND(Competitor!L44,"AAAAAH/uUww=")</f>
        <v>#VALUE!</v>
      </c>
      <c r="N5" t="e">
        <f>AND(Competitor!M44,"AAAAAH/uUw0=")</f>
        <v>#VALUE!</v>
      </c>
      <c r="O5" t="e">
        <f>AND(Competitor!N44,"AAAAAH/uUw4=")</f>
        <v>#VALUE!</v>
      </c>
      <c r="P5" t="e">
        <f>AND(Competitor!O44,"AAAAAH/uUw8=")</f>
        <v>#VALUE!</v>
      </c>
      <c r="Q5" t="e">
        <f>AND(Competitor!P44,"AAAAAH/uUxA=")</f>
        <v>#VALUE!</v>
      </c>
      <c r="R5">
        <f>IF(Competitor!45:45,"AAAAAH/uUxE=",0)</f>
        <v>0</v>
      </c>
      <c r="S5" t="e">
        <f>AND(Competitor!A45,"AAAAAH/uUxI=")</f>
        <v>#VALUE!</v>
      </c>
      <c r="T5" t="e">
        <f>AND(Competitor!B45,"AAAAAH/uUxM=")</f>
        <v>#VALUE!</v>
      </c>
      <c r="U5" t="e">
        <f>AND(Competitor!C45,"AAAAAH/uUxQ=")</f>
        <v>#VALUE!</v>
      </c>
      <c r="V5" t="e">
        <f>AND(Competitor!D45,"AAAAAH/uUxU=")</f>
        <v>#VALUE!</v>
      </c>
      <c r="W5" t="e">
        <f>AND(Competitor!E45,"AAAAAH/uUxY=")</f>
        <v>#VALUE!</v>
      </c>
      <c r="X5" t="e">
        <f>AND(Competitor!F45,"AAAAAH/uUxc=")</f>
        <v>#VALUE!</v>
      </c>
      <c r="Y5" t="e">
        <f>AND(Competitor!G45,"AAAAAH/uUxg=")</f>
        <v>#VALUE!</v>
      </c>
      <c r="Z5" t="e">
        <f>AND(Competitor!H45,"AAAAAH/uUxk=")</f>
        <v>#VALUE!</v>
      </c>
      <c r="AA5" t="e">
        <f>AND(Competitor!I45,"AAAAAH/uUxo=")</f>
        <v>#VALUE!</v>
      </c>
      <c r="AB5" t="e">
        <f>AND(Competitor!J45,"AAAAAH/uUxs=")</f>
        <v>#VALUE!</v>
      </c>
      <c r="AC5" t="e">
        <f>AND(Competitor!K45,"AAAAAH/uUxw=")</f>
        <v>#VALUE!</v>
      </c>
      <c r="AD5" t="e">
        <f>AND(Competitor!L45,"AAAAAH/uUx0=")</f>
        <v>#VALUE!</v>
      </c>
      <c r="AE5" t="e">
        <f>AND(Competitor!M45,"AAAAAH/uUx4=")</f>
        <v>#VALUE!</v>
      </c>
      <c r="AF5" t="e">
        <f>AND(Competitor!N45,"AAAAAH/uUx8=")</f>
        <v>#VALUE!</v>
      </c>
      <c r="AG5" t="e">
        <f>AND(Competitor!O45,"AAAAAH/uUyA=")</f>
        <v>#VALUE!</v>
      </c>
      <c r="AH5" t="e">
        <f>AND(Competitor!P45,"AAAAAH/uUyE=")</f>
        <v>#VALUE!</v>
      </c>
      <c r="AI5">
        <f>IF(Competitor!46:46,"AAAAAH/uUyI=",0)</f>
        <v>0</v>
      </c>
      <c r="AJ5" t="e">
        <f>AND(Competitor!A46,"AAAAAH/uUyM=")</f>
        <v>#VALUE!</v>
      </c>
      <c r="AK5" t="e">
        <f>AND(Competitor!B46,"AAAAAH/uUyQ=")</f>
        <v>#VALUE!</v>
      </c>
      <c r="AL5" t="e">
        <f>AND(Competitor!C46,"AAAAAH/uUyU=")</f>
        <v>#VALUE!</v>
      </c>
      <c r="AM5" t="e">
        <f>AND(Competitor!D46,"AAAAAH/uUyY=")</f>
        <v>#VALUE!</v>
      </c>
      <c r="AN5" t="e">
        <f>AND(Competitor!E46,"AAAAAH/uUyc=")</f>
        <v>#VALUE!</v>
      </c>
      <c r="AO5" t="e">
        <f>AND(Competitor!F46,"AAAAAH/uUyg=")</f>
        <v>#VALUE!</v>
      </c>
      <c r="AP5" t="e">
        <f>AND(Competitor!G46,"AAAAAH/uUyk=")</f>
        <v>#VALUE!</v>
      </c>
      <c r="AQ5" t="e">
        <f>AND(Competitor!H46,"AAAAAH/uUyo=")</f>
        <v>#VALUE!</v>
      </c>
      <c r="AR5" t="e">
        <f>AND(Competitor!I46,"AAAAAH/uUys=")</f>
        <v>#VALUE!</v>
      </c>
      <c r="AS5" t="e">
        <f>AND(Competitor!J46,"AAAAAH/uUyw=")</f>
        <v>#VALUE!</v>
      </c>
      <c r="AT5" t="e">
        <f>AND(Competitor!K46,"AAAAAH/uUy0=")</f>
        <v>#VALUE!</v>
      </c>
      <c r="AU5" t="e">
        <f>AND(Competitor!L46,"AAAAAH/uUy4=")</f>
        <v>#VALUE!</v>
      </c>
      <c r="AV5" t="e">
        <f>AND(Competitor!M46,"AAAAAH/uUy8=")</f>
        <v>#VALUE!</v>
      </c>
      <c r="AW5" t="e">
        <f>AND(Competitor!N46,"AAAAAH/uUzA=")</f>
        <v>#VALUE!</v>
      </c>
      <c r="AX5" t="e">
        <f>AND(Competitor!O46,"AAAAAH/uUzE=")</f>
        <v>#VALUE!</v>
      </c>
      <c r="AY5" t="e">
        <f>AND(Competitor!P46,"AAAAAH/uUzI=")</f>
        <v>#VALUE!</v>
      </c>
      <c r="AZ5">
        <f>IF(Competitor!47:47,"AAAAAH/uUzM=",0)</f>
        <v>0</v>
      </c>
      <c r="BA5" t="e">
        <f>AND(Competitor!A47,"AAAAAH/uUzQ=")</f>
        <v>#VALUE!</v>
      </c>
      <c r="BB5" t="e">
        <f>AND(Competitor!B47,"AAAAAH/uUzU=")</f>
        <v>#VALUE!</v>
      </c>
      <c r="BC5" t="e">
        <f>AND(Competitor!C47,"AAAAAH/uUzY=")</f>
        <v>#VALUE!</v>
      </c>
      <c r="BD5" t="e">
        <f>AND(Competitor!D47,"AAAAAH/uUzc=")</f>
        <v>#VALUE!</v>
      </c>
      <c r="BE5" t="e">
        <f>AND(Competitor!E47,"AAAAAH/uUzg=")</f>
        <v>#VALUE!</v>
      </c>
      <c r="BF5" t="e">
        <f>AND(Competitor!F47,"AAAAAH/uUzk=")</f>
        <v>#VALUE!</v>
      </c>
      <c r="BG5" t="e">
        <f>AND(Competitor!G47,"AAAAAH/uUzo=")</f>
        <v>#VALUE!</v>
      </c>
      <c r="BH5" t="e">
        <f>AND(Competitor!H47,"AAAAAH/uUzs=")</f>
        <v>#VALUE!</v>
      </c>
      <c r="BI5" t="e">
        <f>AND(Competitor!I47,"AAAAAH/uUzw=")</f>
        <v>#VALUE!</v>
      </c>
      <c r="BJ5" t="e">
        <f>AND(Competitor!J47,"AAAAAH/uUz0=")</f>
        <v>#VALUE!</v>
      </c>
      <c r="BK5" t="e">
        <f>AND(Competitor!K47,"AAAAAH/uUz4=")</f>
        <v>#VALUE!</v>
      </c>
      <c r="BL5" t="e">
        <f>AND(Competitor!L47,"AAAAAH/uUz8=")</f>
        <v>#VALUE!</v>
      </c>
      <c r="BM5" t="e">
        <f>AND(Competitor!M47,"AAAAAH/uU0A=")</f>
        <v>#VALUE!</v>
      </c>
      <c r="BN5" t="e">
        <f>AND(Competitor!N47,"AAAAAH/uU0E=")</f>
        <v>#VALUE!</v>
      </c>
      <c r="BO5" t="e">
        <f>AND(Competitor!O47,"AAAAAH/uU0I=")</f>
        <v>#VALUE!</v>
      </c>
      <c r="BP5" t="e">
        <f>AND(Competitor!P47,"AAAAAH/uU0M=")</f>
        <v>#VALUE!</v>
      </c>
      <c r="BQ5">
        <f>IF(Competitor!48:48,"AAAAAH/uU0Q=",0)</f>
        <v>0</v>
      </c>
      <c r="BR5" t="e">
        <f>AND(Competitor!A48,"AAAAAH/uU0U=")</f>
        <v>#VALUE!</v>
      </c>
      <c r="BS5" t="e">
        <f>AND(Competitor!B48,"AAAAAH/uU0Y=")</f>
        <v>#VALUE!</v>
      </c>
      <c r="BT5" t="e">
        <f>AND(Competitor!C48,"AAAAAH/uU0c=")</f>
        <v>#VALUE!</v>
      </c>
      <c r="BU5" t="e">
        <f>AND(Competitor!D48,"AAAAAH/uU0g=")</f>
        <v>#VALUE!</v>
      </c>
      <c r="BV5" t="e">
        <f>AND(Competitor!E48,"AAAAAH/uU0k=")</f>
        <v>#VALUE!</v>
      </c>
      <c r="BW5" t="e">
        <f>AND(Competitor!F48,"AAAAAH/uU0o=")</f>
        <v>#VALUE!</v>
      </c>
      <c r="BX5" t="e">
        <f>AND(Competitor!G48,"AAAAAH/uU0s=")</f>
        <v>#VALUE!</v>
      </c>
      <c r="BY5" t="e">
        <f>AND(Competitor!H48,"AAAAAH/uU0w=")</f>
        <v>#VALUE!</v>
      </c>
      <c r="BZ5" t="e">
        <f>AND(Competitor!I48,"AAAAAH/uU00=")</f>
        <v>#VALUE!</v>
      </c>
      <c r="CA5" t="e">
        <f>AND(Competitor!J48,"AAAAAH/uU04=")</f>
        <v>#VALUE!</v>
      </c>
      <c r="CB5" t="e">
        <f>AND(Competitor!K48,"AAAAAH/uU08=")</f>
        <v>#VALUE!</v>
      </c>
      <c r="CC5" t="e">
        <f>AND(Competitor!L48,"AAAAAH/uU1A=")</f>
        <v>#VALUE!</v>
      </c>
      <c r="CD5" t="e">
        <f>AND(Competitor!M48,"AAAAAH/uU1E=")</f>
        <v>#VALUE!</v>
      </c>
      <c r="CE5" t="e">
        <f>AND(Competitor!N48,"AAAAAH/uU1I=")</f>
        <v>#VALUE!</v>
      </c>
      <c r="CF5" t="e">
        <f>AND(Competitor!O48,"AAAAAH/uU1M=")</f>
        <v>#VALUE!</v>
      </c>
      <c r="CG5" t="e">
        <f>AND(Competitor!P48,"AAAAAH/uU1Q=")</f>
        <v>#VALUE!</v>
      </c>
      <c r="CH5">
        <f>IF(Competitor!49:49,"AAAAAH/uU1U=",0)</f>
        <v>0</v>
      </c>
      <c r="CI5" t="e">
        <f>AND(Competitor!A49,"AAAAAH/uU1Y=")</f>
        <v>#VALUE!</v>
      </c>
      <c r="CJ5" t="e">
        <f>AND(Competitor!B49,"AAAAAH/uU1c=")</f>
        <v>#VALUE!</v>
      </c>
      <c r="CK5" t="e">
        <f>AND(Competitor!C49,"AAAAAH/uU1g=")</f>
        <v>#VALUE!</v>
      </c>
      <c r="CL5" t="e">
        <f>AND(Competitor!D49,"AAAAAH/uU1k=")</f>
        <v>#VALUE!</v>
      </c>
      <c r="CM5" t="e">
        <f>AND(Competitor!E49,"AAAAAH/uU1o=")</f>
        <v>#VALUE!</v>
      </c>
      <c r="CN5" t="e">
        <f>AND(Competitor!F49,"AAAAAH/uU1s=")</f>
        <v>#VALUE!</v>
      </c>
      <c r="CO5" t="e">
        <f>AND(Competitor!G49,"AAAAAH/uU1w=")</f>
        <v>#VALUE!</v>
      </c>
      <c r="CP5" t="e">
        <f>AND(Competitor!H49,"AAAAAH/uU10=")</f>
        <v>#VALUE!</v>
      </c>
      <c r="CQ5" t="e">
        <f>AND(Competitor!I49,"AAAAAH/uU14=")</f>
        <v>#VALUE!</v>
      </c>
      <c r="CR5" t="e">
        <f>AND(Competitor!J49,"AAAAAH/uU18=")</f>
        <v>#VALUE!</v>
      </c>
      <c r="CS5" t="e">
        <f>AND(Competitor!K49,"AAAAAH/uU2A=")</f>
        <v>#VALUE!</v>
      </c>
      <c r="CT5" t="e">
        <f>AND(Competitor!L49,"AAAAAH/uU2E=")</f>
        <v>#VALUE!</v>
      </c>
      <c r="CU5" t="e">
        <f>AND(Competitor!M49,"AAAAAH/uU2I=")</f>
        <v>#VALUE!</v>
      </c>
      <c r="CV5" t="e">
        <f>AND(Competitor!N49,"AAAAAH/uU2M=")</f>
        <v>#VALUE!</v>
      </c>
      <c r="CW5" t="e">
        <f>AND(Competitor!O49,"AAAAAH/uU2Q=")</f>
        <v>#VALUE!</v>
      </c>
      <c r="CX5" t="e">
        <f>AND(Competitor!P49,"AAAAAH/uU2U=")</f>
        <v>#VALUE!</v>
      </c>
      <c r="CY5">
        <f>IF(Competitor!50:50,"AAAAAH/uU2Y=",0)</f>
        <v>0</v>
      </c>
      <c r="CZ5" t="e">
        <f>AND(Competitor!A50,"AAAAAH/uU2c=")</f>
        <v>#VALUE!</v>
      </c>
      <c r="DA5" t="e">
        <f>AND(Competitor!B50,"AAAAAH/uU2g=")</f>
        <v>#VALUE!</v>
      </c>
      <c r="DB5" t="e">
        <f>AND(Competitor!C50,"AAAAAH/uU2k=")</f>
        <v>#VALUE!</v>
      </c>
      <c r="DC5" t="e">
        <f>AND(Competitor!D50,"AAAAAH/uU2o=")</f>
        <v>#VALUE!</v>
      </c>
      <c r="DD5" t="e">
        <f>AND(Competitor!E50,"AAAAAH/uU2s=")</f>
        <v>#VALUE!</v>
      </c>
      <c r="DE5" t="e">
        <f>AND(Competitor!F50,"AAAAAH/uU2w=")</f>
        <v>#VALUE!</v>
      </c>
      <c r="DF5" t="e">
        <f>AND(Competitor!G50,"AAAAAH/uU20=")</f>
        <v>#VALUE!</v>
      </c>
      <c r="DG5" t="e">
        <f>AND(Competitor!H50,"AAAAAH/uU24=")</f>
        <v>#VALUE!</v>
      </c>
      <c r="DH5" t="e">
        <f>AND(Competitor!I50,"AAAAAH/uU28=")</f>
        <v>#VALUE!</v>
      </c>
      <c r="DI5" t="e">
        <f>AND(Competitor!J50,"AAAAAH/uU3A=")</f>
        <v>#VALUE!</v>
      </c>
      <c r="DJ5" t="e">
        <f>AND(Competitor!K50,"AAAAAH/uU3E=")</f>
        <v>#VALUE!</v>
      </c>
      <c r="DK5" t="e">
        <f>AND(Competitor!L50,"AAAAAH/uU3I=")</f>
        <v>#VALUE!</v>
      </c>
      <c r="DL5" t="e">
        <f>AND(Competitor!M50,"AAAAAH/uU3M=")</f>
        <v>#VALUE!</v>
      </c>
      <c r="DM5" t="e">
        <f>AND(Competitor!N50,"AAAAAH/uU3Q=")</f>
        <v>#VALUE!</v>
      </c>
      <c r="DN5" t="e">
        <f>AND(Competitor!O50,"AAAAAH/uU3U=")</f>
        <v>#VALUE!</v>
      </c>
      <c r="DO5" t="e">
        <f>AND(Competitor!P50,"AAAAAH/uU3Y=")</f>
        <v>#VALUE!</v>
      </c>
      <c r="DP5">
        <f>IF(Competitor!51:51,"AAAAAH/uU3c=",0)</f>
        <v>0</v>
      </c>
      <c r="DQ5" t="e">
        <f>AND(Competitor!A51,"AAAAAH/uU3g=")</f>
        <v>#VALUE!</v>
      </c>
      <c r="DR5" t="e">
        <f>AND(Competitor!B51,"AAAAAH/uU3k=")</f>
        <v>#VALUE!</v>
      </c>
      <c r="DS5" t="e">
        <f>AND(Competitor!C51,"AAAAAH/uU3o=")</f>
        <v>#VALUE!</v>
      </c>
      <c r="DT5" t="e">
        <f>AND(Competitor!D51,"AAAAAH/uU3s=")</f>
        <v>#VALUE!</v>
      </c>
      <c r="DU5" t="e">
        <f>AND(Competitor!E51,"AAAAAH/uU3w=")</f>
        <v>#VALUE!</v>
      </c>
      <c r="DV5" t="e">
        <f>AND(Competitor!F51,"AAAAAH/uU30=")</f>
        <v>#VALUE!</v>
      </c>
      <c r="DW5" t="e">
        <f>AND(Competitor!G51,"AAAAAH/uU34=")</f>
        <v>#VALUE!</v>
      </c>
      <c r="DX5" t="e">
        <f>AND(Competitor!H51,"AAAAAH/uU38=")</f>
        <v>#VALUE!</v>
      </c>
      <c r="DY5" t="e">
        <f>AND(Competitor!I51,"AAAAAH/uU4A=")</f>
        <v>#VALUE!</v>
      </c>
      <c r="DZ5" t="e">
        <f>AND(Competitor!J51,"AAAAAH/uU4E=")</f>
        <v>#VALUE!</v>
      </c>
      <c r="EA5" t="e">
        <f>AND(Competitor!K51,"AAAAAH/uU4I=")</f>
        <v>#VALUE!</v>
      </c>
      <c r="EB5" t="e">
        <f>AND(Competitor!L51,"AAAAAH/uU4M=")</f>
        <v>#VALUE!</v>
      </c>
      <c r="EC5" t="e">
        <f>AND(Competitor!M51,"AAAAAH/uU4Q=")</f>
        <v>#VALUE!</v>
      </c>
      <c r="ED5" t="e">
        <f>AND(Competitor!N51,"AAAAAH/uU4U=")</f>
        <v>#VALUE!</v>
      </c>
      <c r="EE5" t="e">
        <f>AND(Competitor!O51,"AAAAAH/uU4Y=")</f>
        <v>#VALUE!</v>
      </c>
      <c r="EF5" t="e">
        <f>AND(Competitor!P51,"AAAAAH/uU4c=")</f>
        <v>#VALUE!</v>
      </c>
      <c r="EG5">
        <f>IF(Competitor!52:52,"AAAAAH/uU4g=",0)</f>
        <v>0</v>
      </c>
      <c r="EH5" t="e">
        <f>AND(Competitor!A52,"AAAAAH/uU4k=")</f>
        <v>#VALUE!</v>
      </c>
      <c r="EI5" t="e">
        <f>AND(Competitor!B52,"AAAAAH/uU4o=")</f>
        <v>#VALUE!</v>
      </c>
      <c r="EJ5" t="e">
        <f>AND(Competitor!C52,"AAAAAH/uU4s=")</f>
        <v>#VALUE!</v>
      </c>
      <c r="EK5" t="e">
        <f>AND(Competitor!D52,"AAAAAH/uU4w=")</f>
        <v>#VALUE!</v>
      </c>
      <c r="EL5" t="e">
        <f>AND(Competitor!E52,"AAAAAH/uU40=")</f>
        <v>#VALUE!</v>
      </c>
      <c r="EM5" t="e">
        <f>AND(Competitor!F52,"AAAAAH/uU44=")</f>
        <v>#VALUE!</v>
      </c>
      <c r="EN5" t="e">
        <f>AND(Competitor!G52,"AAAAAH/uU48=")</f>
        <v>#VALUE!</v>
      </c>
      <c r="EO5" t="e">
        <f>AND(Competitor!H52,"AAAAAH/uU5A=")</f>
        <v>#VALUE!</v>
      </c>
      <c r="EP5" t="e">
        <f>AND(Competitor!I52,"AAAAAH/uU5E=")</f>
        <v>#VALUE!</v>
      </c>
      <c r="EQ5" t="e">
        <f>AND(Competitor!J52,"AAAAAH/uU5I=")</f>
        <v>#VALUE!</v>
      </c>
      <c r="ER5" t="e">
        <f>AND(Competitor!K52,"AAAAAH/uU5M=")</f>
        <v>#VALUE!</v>
      </c>
      <c r="ES5" t="e">
        <f>AND(Competitor!L52,"AAAAAH/uU5Q=")</f>
        <v>#VALUE!</v>
      </c>
      <c r="ET5" t="e">
        <f>AND(Competitor!M52,"AAAAAH/uU5U=")</f>
        <v>#VALUE!</v>
      </c>
      <c r="EU5" t="e">
        <f>AND(Competitor!N52,"AAAAAH/uU5Y=")</f>
        <v>#VALUE!</v>
      </c>
      <c r="EV5" t="e">
        <f>AND(Competitor!O52,"AAAAAH/uU5c=")</f>
        <v>#VALUE!</v>
      </c>
      <c r="EW5" t="e">
        <f>AND(Competitor!P52,"AAAAAH/uU5g=")</f>
        <v>#VALUE!</v>
      </c>
      <c r="EX5">
        <f>IF(Competitor!53:53,"AAAAAH/uU5k=",0)</f>
        <v>0</v>
      </c>
      <c r="EY5" t="e">
        <f>AND(Competitor!A53,"AAAAAH/uU5o=")</f>
        <v>#VALUE!</v>
      </c>
      <c r="EZ5" t="e">
        <f>AND(Competitor!B53,"AAAAAH/uU5s=")</f>
        <v>#VALUE!</v>
      </c>
      <c r="FA5" t="e">
        <f>AND(Competitor!C53,"AAAAAH/uU5w=")</f>
        <v>#VALUE!</v>
      </c>
      <c r="FB5" t="e">
        <f>AND(Competitor!D53,"AAAAAH/uU50=")</f>
        <v>#VALUE!</v>
      </c>
      <c r="FC5" t="e">
        <f>AND(Competitor!E53,"AAAAAH/uU54=")</f>
        <v>#VALUE!</v>
      </c>
      <c r="FD5" t="e">
        <f>AND(Competitor!F53,"AAAAAH/uU58=")</f>
        <v>#VALUE!</v>
      </c>
      <c r="FE5" t="e">
        <f>AND(Competitor!G53,"AAAAAH/uU6A=")</f>
        <v>#VALUE!</v>
      </c>
      <c r="FF5" t="e">
        <f>AND(Competitor!H53,"AAAAAH/uU6E=")</f>
        <v>#VALUE!</v>
      </c>
      <c r="FG5" t="e">
        <f>AND(Competitor!I53,"AAAAAH/uU6I=")</f>
        <v>#VALUE!</v>
      </c>
      <c r="FH5" t="e">
        <f>AND(Competitor!J53,"AAAAAH/uU6M=")</f>
        <v>#VALUE!</v>
      </c>
      <c r="FI5" t="e">
        <f>AND(Competitor!K53,"AAAAAH/uU6Q=")</f>
        <v>#VALUE!</v>
      </c>
      <c r="FJ5" t="e">
        <f>AND(Competitor!L53,"AAAAAH/uU6U=")</f>
        <v>#VALUE!</v>
      </c>
      <c r="FK5" t="e">
        <f>AND(Competitor!M53,"AAAAAH/uU6Y=")</f>
        <v>#VALUE!</v>
      </c>
      <c r="FL5" t="e">
        <f>AND(Competitor!N53,"AAAAAH/uU6c=")</f>
        <v>#VALUE!</v>
      </c>
      <c r="FM5" t="e">
        <f>AND(Competitor!O53,"AAAAAH/uU6g=")</f>
        <v>#VALUE!</v>
      </c>
      <c r="FN5" t="e">
        <f>AND(Competitor!P53,"AAAAAH/uU6k=")</f>
        <v>#VALUE!</v>
      </c>
      <c r="FO5">
        <f>IF(Competitor!54:54,"AAAAAH/uU6o=",0)</f>
        <v>0</v>
      </c>
      <c r="FP5" t="e">
        <f>AND(Competitor!A54,"AAAAAH/uU6s=")</f>
        <v>#VALUE!</v>
      </c>
      <c r="FQ5" t="e">
        <f>AND(Competitor!B54,"AAAAAH/uU6w=")</f>
        <v>#VALUE!</v>
      </c>
      <c r="FR5" t="e">
        <f>AND(Competitor!C54,"AAAAAH/uU60=")</f>
        <v>#VALUE!</v>
      </c>
      <c r="FS5" t="e">
        <f>AND(Competitor!D54,"AAAAAH/uU64=")</f>
        <v>#VALUE!</v>
      </c>
      <c r="FT5" t="e">
        <f>AND(Competitor!E54,"AAAAAH/uU68=")</f>
        <v>#VALUE!</v>
      </c>
      <c r="FU5" t="e">
        <f>AND(Competitor!F54,"AAAAAH/uU7A=")</f>
        <v>#VALUE!</v>
      </c>
      <c r="FV5" t="e">
        <f>AND(Competitor!G54,"AAAAAH/uU7E=")</f>
        <v>#VALUE!</v>
      </c>
      <c r="FW5" t="e">
        <f>AND(Competitor!H54,"AAAAAH/uU7I=")</f>
        <v>#VALUE!</v>
      </c>
      <c r="FX5" t="e">
        <f>AND(Competitor!I54,"AAAAAH/uU7M=")</f>
        <v>#VALUE!</v>
      </c>
      <c r="FY5" t="e">
        <f>AND(Competitor!J54,"AAAAAH/uU7Q=")</f>
        <v>#VALUE!</v>
      </c>
      <c r="FZ5" t="e">
        <f>AND(Competitor!K54,"AAAAAH/uU7U=")</f>
        <v>#VALUE!</v>
      </c>
      <c r="GA5" t="e">
        <f>AND(Competitor!L54,"AAAAAH/uU7Y=")</f>
        <v>#VALUE!</v>
      </c>
      <c r="GB5" t="e">
        <f>AND(Competitor!M54,"AAAAAH/uU7c=")</f>
        <v>#VALUE!</v>
      </c>
      <c r="GC5" t="e">
        <f>AND(Competitor!N54,"AAAAAH/uU7g=")</f>
        <v>#VALUE!</v>
      </c>
      <c r="GD5" t="e">
        <f>AND(Competitor!O54,"AAAAAH/uU7k=")</f>
        <v>#VALUE!</v>
      </c>
      <c r="GE5" t="e">
        <f>AND(Competitor!P54,"AAAAAH/uU7o=")</f>
        <v>#VALUE!</v>
      </c>
      <c r="GF5">
        <f>IF(Competitor!55:55,"AAAAAH/uU7s=",0)</f>
        <v>0</v>
      </c>
      <c r="GG5" t="e">
        <f>AND(Competitor!A55,"AAAAAH/uU7w=")</f>
        <v>#VALUE!</v>
      </c>
      <c r="GH5" t="e">
        <f>AND(Competitor!B55,"AAAAAH/uU70=")</f>
        <v>#VALUE!</v>
      </c>
      <c r="GI5" t="e">
        <f>AND(Competitor!C55,"AAAAAH/uU74=")</f>
        <v>#VALUE!</v>
      </c>
      <c r="GJ5" t="e">
        <f>AND(Competitor!D55,"AAAAAH/uU78=")</f>
        <v>#VALUE!</v>
      </c>
      <c r="GK5" t="e">
        <f>AND(Competitor!E55,"AAAAAH/uU8A=")</f>
        <v>#VALUE!</v>
      </c>
      <c r="GL5" t="e">
        <f>AND(Competitor!F55,"AAAAAH/uU8E=")</f>
        <v>#VALUE!</v>
      </c>
      <c r="GM5" t="e">
        <f>AND(Competitor!G55,"AAAAAH/uU8I=")</f>
        <v>#VALUE!</v>
      </c>
      <c r="GN5" t="e">
        <f>AND(Competitor!H55,"AAAAAH/uU8M=")</f>
        <v>#VALUE!</v>
      </c>
      <c r="GO5" t="e">
        <f>AND(Competitor!I55,"AAAAAH/uU8Q=")</f>
        <v>#VALUE!</v>
      </c>
      <c r="GP5" t="e">
        <f>AND(Competitor!J55,"AAAAAH/uU8U=")</f>
        <v>#VALUE!</v>
      </c>
      <c r="GQ5" t="e">
        <f>AND(Competitor!K55,"AAAAAH/uU8Y=")</f>
        <v>#VALUE!</v>
      </c>
      <c r="GR5" t="e">
        <f>AND(Competitor!L55,"AAAAAH/uU8c=")</f>
        <v>#VALUE!</v>
      </c>
      <c r="GS5" t="e">
        <f>AND(Competitor!M55,"AAAAAH/uU8g=")</f>
        <v>#VALUE!</v>
      </c>
      <c r="GT5" t="e">
        <f>AND(Competitor!N55,"AAAAAH/uU8k=")</f>
        <v>#VALUE!</v>
      </c>
      <c r="GU5" t="e">
        <f>AND(Competitor!O55,"AAAAAH/uU8o=")</f>
        <v>#VALUE!</v>
      </c>
      <c r="GV5" t="e">
        <f>AND(Competitor!P55,"AAAAAH/uU8s=")</f>
        <v>#VALUE!</v>
      </c>
      <c r="GW5">
        <f>IF(Competitor!56:56,"AAAAAH/uU8w=",0)</f>
        <v>0</v>
      </c>
      <c r="GX5" t="e">
        <f>AND(Competitor!A56,"AAAAAH/uU80=")</f>
        <v>#VALUE!</v>
      </c>
      <c r="GY5" t="e">
        <f>AND(Competitor!B56,"AAAAAH/uU84=")</f>
        <v>#VALUE!</v>
      </c>
      <c r="GZ5" t="e">
        <f>AND(Competitor!C56,"AAAAAH/uU88=")</f>
        <v>#VALUE!</v>
      </c>
      <c r="HA5" t="e">
        <f>AND(Competitor!D56,"AAAAAH/uU9A=")</f>
        <v>#VALUE!</v>
      </c>
      <c r="HB5" t="e">
        <f>AND(Competitor!E56,"AAAAAH/uU9E=")</f>
        <v>#VALUE!</v>
      </c>
      <c r="HC5" t="e">
        <f>AND(Competitor!F56,"AAAAAH/uU9I=")</f>
        <v>#VALUE!</v>
      </c>
      <c r="HD5" t="e">
        <f>AND(Competitor!G56,"AAAAAH/uU9M=")</f>
        <v>#VALUE!</v>
      </c>
      <c r="HE5" t="e">
        <f>AND(Competitor!H56,"AAAAAH/uU9Q=")</f>
        <v>#VALUE!</v>
      </c>
      <c r="HF5" t="e">
        <f>AND(Competitor!I56,"AAAAAH/uU9U=")</f>
        <v>#VALUE!</v>
      </c>
      <c r="HG5" t="e">
        <f>AND(Competitor!J56,"AAAAAH/uU9Y=")</f>
        <v>#VALUE!</v>
      </c>
      <c r="HH5" t="e">
        <f>AND(Competitor!K56,"AAAAAH/uU9c=")</f>
        <v>#VALUE!</v>
      </c>
      <c r="HI5" t="e">
        <f>AND(Competitor!L56,"AAAAAH/uU9g=")</f>
        <v>#VALUE!</v>
      </c>
      <c r="HJ5" t="e">
        <f>AND(Competitor!M56,"AAAAAH/uU9k=")</f>
        <v>#VALUE!</v>
      </c>
      <c r="HK5" t="e">
        <f>AND(Competitor!N56,"AAAAAH/uU9o=")</f>
        <v>#VALUE!</v>
      </c>
      <c r="HL5" t="e">
        <f>AND(Competitor!O56,"AAAAAH/uU9s=")</f>
        <v>#VALUE!</v>
      </c>
      <c r="HM5" t="e">
        <f>AND(Competitor!P56,"AAAAAH/uU9w=")</f>
        <v>#VALUE!</v>
      </c>
      <c r="HN5">
        <f>IF(Competitor!57:57,"AAAAAH/uU90=",0)</f>
        <v>0</v>
      </c>
      <c r="HO5" t="e">
        <f>AND(Competitor!A57,"AAAAAH/uU94=")</f>
        <v>#VALUE!</v>
      </c>
      <c r="HP5" t="e">
        <f>AND(Competitor!B57,"AAAAAH/uU98=")</f>
        <v>#VALUE!</v>
      </c>
      <c r="HQ5" t="e">
        <f>AND(Competitor!C57,"AAAAAH/uU+A=")</f>
        <v>#VALUE!</v>
      </c>
      <c r="HR5" t="e">
        <f>AND(Competitor!D57,"AAAAAH/uU+E=")</f>
        <v>#VALUE!</v>
      </c>
      <c r="HS5" t="e">
        <f>AND(Competitor!E57,"AAAAAH/uU+I=")</f>
        <v>#VALUE!</v>
      </c>
      <c r="HT5" t="e">
        <f>AND(Competitor!F57,"AAAAAH/uU+M=")</f>
        <v>#VALUE!</v>
      </c>
      <c r="HU5" t="e">
        <f>AND(Competitor!G57,"AAAAAH/uU+Q=")</f>
        <v>#VALUE!</v>
      </c>
      <c r="HV5" t="e">
        <f>AND(Competitor!H57,"AAAAAH/uU+U=")</f>
        <v>#VALUE!</v>
      </c>
      <c r="HW5" t="e">
        <f>AND(Competitor!I57,"AAAAAH/uU+Y=")</f>
        <v>#VALUE!</v>
      </c>
      <c r="HX5" t="e">
        <f>AND(Competitor!J57,"AAAAAH/uU+c=")</f>
        <v>#VALUE!</v>
      </c>
      <c r="HY5" t="e">
        <f>AND(Competitor!K57,"AAAAAH/uU+g=")</f>
        <v>#VALUE!</v>
      </c>
      <c r="HZ5" t="e">
        <f>AND(Competitor!L57,"AAAAAH/uU+k=")</f>
        <v>#VALUE!</v>
      </c>
      <c r="IA5" t="e">
        <f>AND(Competitor!M57,"AAAAAH/uU+o=")</f>
        <v>#VALUE!</v>
      </c>
      <c r="IB5" t="e">
        <f>AND(Competitor!N57,"AAAAAH/uU+s=")</f>
        <v>#VALUE!</v>
      </c>
      <c r="IC5" t="e">
        <f>AND(Competitor!O57,"AAAAAH/uU+w=")</f>
        <v>#VALUE!</v>
      </c>
      <c r="ID5" t="e">
        <f>AND(Competitor!P57,"AAAAAH/uU+0=")</f>
        <v>#VALUE!</v>
      </c>
      <c r="IE5">
        <f>IF(Competitor!58:58,"AAAAAH/uU+4=",0)</f>
        <v>0</v>
      </c>
      <c r="IF5" t="e">
        <f>AND(Competitor!A58,"AAAAAH/uU+8=")</f>
        <v>#VALUE!</v>
      </c>
      <c r="IG5" t="e">
        <f>AND(Competitor!B58,"AAAAAH/uU/A=")</f>
        <v>#VALUE!</v>
      </c>
      <c r="IH5" t="e">
        <f>AND(Competitor!C58,"AAAAAH/uU/E=")</f>
        <v>#VALUE!</v>
      </c>
      <c r="II5" t="e">
        <f>AND(Competitor!D58,"AAAAAH/uU/I=")</f>
        <v>#VALUE!</v>
      </c>
      <c r="IJ5" t="e">
        <f>AND(Competitor!E58,"AAAAAH/uU/M=")</f>
        <v>#VALUE!</v>
      </c>
      <c r="IK5" t="e">
        <f>AND(Competitor!F58,"AAAAAH/uU/Q=")</f>
        <v>#VALUE!</v>
      </c>
      <c r="IL5" t="e">
        <f>AND(Competitor!G58,"AAAAAH/uU/U=")</f>
        <v>#VALUE!</v>
      </c>
      <c r="IM5" t="e">
        <f>AND(Competitor!H58,"AAAAAH/uU/Y=")</f>
        <v>#VALUE!</v>
      </c>
      <c r="IN5" t="e">
        <f>AND(Competitor!I58,"AAAAAH/uU/c=")</f>
        <v>#VALUE!</v>
      </c>
      <c r="IO5" t="e">
        <f>AND(Competitor!J58,"AAAAAH/uU/g=")</f>
        <v>#VALUE!</v>
      </c>
      <c r="IP5" t="e">
        <f>AND(Competitor!K58,"AAAAAH/uU/k=")</f>
        <v>#VALUE!</v>
      </c>
      <c r="IQ5" t="e">
        <f>AND(Competitor!L58,"AAAAAH/uU/o=")</f>
        <v>#VALUE!</v>
      </c>
      <c r="IR5" t="e">
        <f>AND(Competitor!M58,"AAAAAH/uU/s=")</f>
        <v>#VALUE!</v>
      </c>
      <c r="IS5" t="e">
        <f>AND(Competitor!N58,"AAAAAH/uU/w=")</f>
        <v>#VALUE!</v>
      </c>
      <c r="IT5" t="e">
        <f>AND(Competitor!O58,"AAAAAH/uU/0=")</f>
        <v>#VALUE!</v>
      </c>
      <c r="IU5" t="e">
        <f>AND(Competitor!P58,"AAAAAH/uU/4=")</f>
        <v>#VALUE!</v>
      </c>
      <c r="IV5">
        <f>IF(Competitor!59:59,"AAAAAH/uU/8=",0)</f>
        <v>0</v>
      </c>
    </row>
    <row r="6" spans="1:256" x14ac:dyDescent="0.25">
      <c r="A6" t="e">
        <f>AND(Competitor!A59,"AAAAAH3/dwA=")</f>
        <v>#VALUE!</v>
      </c>
      <c r="B6" t="e">
        <f>AND(Competitor!B59,"AAAAAH3/dwE=")</f>
        <v>#VALUE!</v>
      </c>
      <c r="C6" t="e">
        <f>AND(Competitor!C59,"AAAAAH3/dwI=")</f>
        <v>#VALUE!</v>
      </c>
      <c r="D6" t="e">
        <f>AND(Competitor!D59,"AAAAAH3/dwM=")</f>
        <v>#VALUE!</v>
      </c>
      <c r="E6" t="e">
        <f>AND(Competitor!E59,"AAAAAH3/dwQ=")</f>
        <v>#VALUE!</v>
      </c>
      <c r="F6" t="e">
        <f>AND(Competitor!F59,"AAAAAH3/dwU=")</f>
        <v>#VALUE!</v>
      </c>
      <c r="G6" t="e">
        <f>AND(Competitor!G59,"AAAAAH3/dwY=")</f>
        <v>#VALUE!</v>
      </c>
      <c r="H6" t="e">
        <f>AND(Competitor!H59,"AAAAAH3/dwc=")</f>
        <v>#VALUE!</v>
      </c>
      <c r="I6" t="e">
        <f>AND(Competitor!I59,"AAAAAH3/dwg=")</f>
        <v>#VALUE!</v>
      </c>
      <c r="J6" t="e">
        <f>AND(Competitor!J59,"AAAAAH3/dwk=")</f>
        <v>#VALUE!</v>
      </c>
      <c r="K6" t="e">
        <f>AND(Competitor!K59,"AAAAAH3/dwo=")</f>
        <v>#VALUE!</v>
      </c>
      <c r="L6" t="e">
        <f>AND(Competitor!L59,"AAAAAH3/dws=")</f>
        <v>#VALUE!</v>
      </c>
      <c r="M6" t="e">
        <f>AND(Competitor!M59,"AAAAAH3/dww=")</f>
        <v>#VALUE!</v>
      </c>
      <c r="N6" t="e">
        <f>AND(Competitor!N59,"AAAAAH3/dw0=")</f>
        <v>#VALUE!</v>
      </c>
      <c r="O6" t="e">
        <f>AND(Competitor!O59,"AAAAAH3/dw4=")</f>
        <v>#VALUE!</v>
      </c>
      <c r="P6" t="e">
        <f>AND(Competitor!P59,"AAAAAH3/dw8=")</f>
        <v>#VALUE!</v>
      </c>
      <c r="Q6">
        <f>IF(Competitor!60:60,"AAAAAH3/dxA=",0)</f>
        <v>0</v>
      </c>
      <c r="R6" t="e">
        <f>AND(Competitor!A60,"AAAAAH3/dxE=")</f>
        <v>#VALUE!</v>
      </c>
      <c r="S6" t="e">
        <f>AND(Competitor!B60,"AAAAAH3/dxI=")</f>
        <v>#VALUE!</v>
      </c>
      <c r="T6" t="e">
        <f>AND(Competitor!C60,"AAAAAH3/dxM=")</f>
        <v>#VALUE!</v>
      </c>
      <c r="U6" t="e">
        <f>AND(Competitor!D60,"AAAAAH3/dxQ=")</f>
        <v>#VALUE!</v>
      </c>
      <c r="V6" t="e">
        <f>AND(Competitor!E60,"AAAAAH3/dxU=")</f>
        <v>#VALUE!</v>
      </c>
      <c r="W6" t="e">
        <f>AND(Competitor!F60,"AAAAAH3/dxY=")</f>
        <v>#VALUE!</v>
      </c>
      <c r="X6" t="e">
        <f>AND(Competitor!G60,"AAAAAH3/dxc=")</f>
        <v>#VALUE!</v>
      </c>
      <c r="Y6" t="e">
        <f>AND(Competitor!H60,"AAAAAH3/dxg=")</f>
        <v>#VALUE!</v>
      </c>
      <c r="Z6" t="e">
        <f>AND(Competitor!I60,"AAAAAH3/dxk=")</f>
        <v>#VALUE!</v>
      </c>
      <c r="AA6" t="e">
        <f>AND(Competitor!J60,"AAAAAH3/dxo=")</f>
        <v>#VALUE!</v>
      </c>
      <c r="AB6" t="e">
        <f>AND(Competitor!K60,"AAAAAH3/dxs=")</f>
        <v>#VALUE!</v>
      </c>
      <c r="AC6" t="e">
        <f>AND(Competitor!L60,"AAAAAH3/dxw=")</f>
        <v>#VALUE!</v>
      </c>
      <c r="AD6" t="e">
        <f>AND(Competitor!M60,"AAAAAH3/dx0=")</f>
        <v>#VALUE!</v>
      </c>
      <c r="AE6" t="e">
        <f>AND(Competitor!N60,"AAAAAH3/dx4=")</f>
        <v>#VALUE!</v>
      </c>
      <c r="AF6" t="e">
        <f>AND(Competitor!O60,"AAAAAH3/dx8=")</f>
        <v>#VALUE!</v>
      </c>
      <c r="AG6" t="e">
        <f>AND(Competitor!P60,"AAAAAH3/dyA=")</f>
        <v>#VALUE!</v>
      </c>
      <c r="AH6">
        <f>IF(Competitor!61:61,"AAAAAH3/dyE=",0)</f>
        <v>0</v>
      </c>
      <c r="AI6" t="e">
        <f>AND(Competitor!A61,"AAAAAH3/dyI=")</f>
        <v>#VALUE!</v>
      </c>
      <c r="AJ6" t="e">
        <f>AND(Competitor!B61,"AAAAAH3/dyM=")</f>
        <v>#VALUE!</v>
      </c>
      <c r="AK6" t="e">
        <f>AND(Competitor!C61,"AAAAAH3/dyQ=")</f>
        <v>#VALUE!</v>
      </c>
      <c r="AL6" t="e">
        <f>AND(Competitor!D61,"AAAAAH3/dyU=")</f>
        <v>#VALUE!</v>
      </c>
      <c r="AM6" t="e">
        <f>AND(Competitor!E61,"AAAAAH3/dyY=")</f>
        <v>#VALUE!</v>
      </c>
      <c r="AN6" t="e">
        <f>AND(Competitor!F61,"AAAAAH3/dyc=")</f>
        <v>#VALUE!</v>
      </c>
      <c r="AO6" t="e">
        <f>AND(Competitor!G61,"AAAAAH3/dyg=")</f>
        <v>#VALUE!</v>
      </c>
      <c r="AP6" t="e">
        <f>AND(Competitor!H61,"AAAAAH3/dyk=")</f>
        <v>#VALUE!</v>
      </c>
      <c r="AQ6" t="e">
        <f>AND(Competitor!I61,"AAAAAH3/dyo=")</f>
        <v>#VALUE!</v>
      </c>
      <c r="AR6" t="e">
        <f>AND(Competitor!J61,"AAAAAH3/dys=")</f>
        <v>#VALUE!</v>
      </c>
      <c r="AS6" t="e">
        <f>AND(Competitor!K61,"AAAAAH3/dyw=")</f>
        <v>#VALUE!</v>
      </c>
      <c r="AT6" t="e">
        <f>AND(Competitor!L61,"AAAAAH3/dy0=")</f>
        <v>#VALUE!</v>
      </c>
      <c r="AU6" t="e">
        <f>AND(Competitor!M61,"AAAAAH3/dy4=")</f>
        <v>#VALUE!</v>
      </c>
      <c r="AV6" t="e">
        <f>AND(Competitor!N61,"AAAAAH3/dy8=")</f>
        <v>#VALUE!</v>
      </c>
      <c r="AW6" t="e">
        <f>AND(Competitor!O61,"AAAAAH3/dzA=")</f>
        <v>#VALUE!</v>
      </c>
      <c r="AX6" t="e">
        <f>AND(Competitor!P61,"AAAAAH3/dzE=")</f>
        <v>#VALUE!</v>
      </c>
      <c r="AY6">
        <f>IF(Competitor!62:62,"AAAAAH3/dzI=",0)</f>
        <v>0</v>
      </c>
      <c r="AZ6" t="e">
        <f>AND(Competitor!A62,"AAAAAH3/dzM=")</f>
        <v>#VALUE!</v>
      </c>
      <c r="BA6" t="e">
        <f>AND(Competitor!B62,"AAAAAH3/dzQ=")</f>
        <v>#VALUE!</v>
      </c>
      <c r="BB6" t="e">
        <f>AND(Competitor!C62,"AAAAAH3/dzU=")</f>
        <v>#VALUE!</v>
      </c>
      <c r="BC6" t="e">
        <f>AND(Competitor!D62,"AAAAAH3/dzY=")</f>
        <v>#VALUE!</v>
      </c>
      <c r="BD6" t="e">
        <f>AND(Competitor!E62,"AAAAAH3/dzc=")</f>
        <v>#VALUE!</v>
      </c>
      <c r="BE6" t="e">
        <f>AND(Competitor!F62,"AAAAAH3/dzg=")</f>
        <v>#VALUE!</v>
      </c>
      <c r="BF6" t="e">
        <f>AND(Competitor!G62,"AAAAAH3/dzk=")</f>
        <v>#VALUE!</v>
      </c>
      <c r="BG6" t="e">
        <f>AND(Competitor!H62,"AAAAAH3/dzo=")</f>
        <v>#VALUE!</v>
      </c>
      <c r="BH6" t="e">
        <f>AND(Competitor!I62,"AAAAAH3/dzs=")</f>
        <v>#VALUE!</v>
      </c>
      <c r="BI6" t="e">
        <f>AND(Competitor!J62,"AAAAAH3/dzw=")</f>
        <v>#VALUE!</v>
      </c>
      <c r="BJ6" t="e">
        <f>AND(Competitor!K62,"AAAAAH3/dz0=")</f>
        <v>#VALUE!</v>
      </c>
      <c r="BK6" t="e">
        <f>AND(Competitor!L62,"AAAAAH3/dz4=")</f>
        <v>#VALUE!</v>
      </c>
      <c r="BL6" t="e">
        <f>AND(Competitor!M62,"AAAAAH3/dz8=")</f>
        <v>#VALUE!</v>
      </c>
      <c r="BM6" t="e">
        <f>AND(Competitor!N62,"AAAAAH3/d0A=")</f>
        <v>#VALUE!</v>
      </c>
      <c r="BN6" t="e">
        <f>AND(Competitor!O62,"AAAAAH3/d0E=")</f>
        <v>#VALUE!</v>
      </c>
      <c r="BO6" t="e">
        <f>AND(Competitor!P62,"AAAAAH3/d0I=")</f>
        <v>#VALUE!</v>
      </c>
      <c r="BP6">
        <f>IF(Competitor!63:63,"AAAAAH3/d0M=",0)</f>
        <v>0</v>
      </c>
      <c r="BQ6" t="e">
        <f>AND(Competitor!A63,"AAAAAH3/d0Q=")</f>
        <v>#VALUE!</v>
      </c>
      <c r="BR6" t="e">
        <f>AND(Competitor!B63,"AAAAAH3/d0U=")</f>
        <v>#VALUE!</v>
      </c>
      <c r="BS6" t="e">
        <f>AND(Competitor!C63,"AAAAAH3/d0Y=")</f>
        <v>#VALUE!</v>
      </c>
      <c r="BT6" t="e">
        <f>AND(Competitor!D63,"AAAAAH3/d0c=")</f>
        <v>#VALUE!</v>
      </c>
      <c r="BU6" t="e">
        <f>AND(Competitor!E63,"AAAAAH3/d0g=")</f>
        <v>#VALUE!</v>
      </c>
      <c r="BV6" t="e">
        <f>AND(Competitor!F63,"AAAAAH3/d0k=")</f>
        <v>#VALUE!</v>
      </c>
      <c r="BW6" t="e">
        <f>AND(Competitor!G63,"AAAAAH3/d0o=")</f>
        <v>#VALUE!</v>
      </c>
      <c r="BX6" t="e">
        <f>AND(Competitor!H63,"AAAAAH3/d0s=")</f>
        <v>#VALUE!</v>
      </c>
      <c r="BY6" t="e">
        <f>AND(Competitor!I63,"AAAAAH3/d0w=")</f>
        <v>#VALUE!</v>
      </c>
      <c r="BZ6" t="e">
        <f>AND(Competitor!J63,"AAAAAH3/d00=")</f>
        <v>#VALUE!</v>
      </c>
      <c r="CA6" t="e">
        <f>AND(Competitor!K63,"AAAAAH3/d04=")</f>
        <v>#VALUE!</v>
      </c>
      <c r="CB6" t="e">
        <f>AND(Competitor!L63,"AAAAAH3/d08=")</f>
        <v>#VALUE!</v>
      </c>
      <c r="CC6" t="e">
        <f>AND(Competitor!M63,"AAAAAH3/d1A=")</f>
        <v>#VALUE!</v>
      </c>
      <c r="CD6" t="e">
        <f>AND(Competitor!N63,"AAAAAH3/d1E=")</f>
        <v>#VALUE!</v>
      </c>
      <c r="CE6" t="e">
        <f>AND(Competitor!O63,"AAAAAH3/d1I=")</f>
        <v>#VALUE!</v>
      </c>
      <c r="CF6" t="e">
        <f>AND(Competitor!P63,"AAAAAH3/d1M=")</f>
        <v>#VALUE!</v>
      </c>
      <c r="CG6">
        <f>IF(Competitor!64:64,"AAAAAH3/d1Q=",0)</f>
        <v>0</v>
      </c>
      <c r="CH6" t="e">
        <f>AND(Competitor!A64,"AAAAAH3/d1U=")</f>
        <v>#VALUE!</v>
      </c>
      <c r="CI6" t="e">
        <f>AND(Competitor!B64,"AAAAAH3/d1Y=")</f>
        <v>#VALUE!</v>
      </c>
      <c r="CJ6" t="e">
        <f>AND(Competitor!C64,"AAAAAH3/d1c=")</f>
        <v>#VALUE!</v>
      </c>
      <c r="CK6" t="e">
        <f>AND(Competitor!D64,"AAAAAH3/d1g=")</f>
        <v>#VALUE!</v>
      </c>
      <c r="CL6" t="e">
        <f>AND(Competitor!E64,"AAAAAH3/d1k=")</f>
        <v>#VALUE!</v>
      </c>
      <c r="CM6" t="e">
        <f>AND(Competitor!F64,"AAAAAH3/d1o=")</f>
        <v>#VALUE!</v>
      </c>
      <c r="CN6" t="e">
        <f>AND(Competitor!G64,"AAAAAH3/d1s=")</f>
        <v>#VALUE!</v>
      </c>
      <c r="CO6" t="e">
        <f>AND(Competitor!H64,"AAAAAH3/d1w=")</f>
        <v>#VALUE!</v>
      </c>
      <c r="CP6" t="e">
        <f>AND(Competitor!I64,"AAAAAH3/d10=")</f>
        <v>#VALUE!</v>
      </c>
      <c r="CQ6" t="e">
        <f>AND(Competitor!J64,"AAAAAH3/d14=")</f>
        <v>#VALUE!</v>
      </c>
      <c r="CR6" t="e">
        <f>AND(Competitor!K64,"AAAAAH3/d18=")</f>
        <v>#VALUE!</v>
      </c>
      <c r="CS6" t="e">
        <f>AND(Competitor!L64,"AAAAAH3/d2A=")</f>
        <v>#VALUE!</v>
      </c>
      <c r="CT6" t="e">
        <f>AND(Competitor!M64,"AAAAAH3/d2E=")</f>
        <v>#VALUE!</v>
      </c>
      <c r="CU6" t="e">
        <f>AND(Competitor!N64,"AAAAAH3/d2I=")</f>
        <v>#VALUE!</v>
      </c>
      <c r="CV6" t="e">
        <f>AND(Competitor!O64,"AAAAAH3/d2M=")</f>
        <v>#VALUE!</v>
      </c>
      <c r="CW6" t="e">
        <f>AND(Competitor!P64,"AAAAAH3/d2Q=")</f>
        <v>#VALUE!</v>
      </c>
      <c r="CX6">
        <f>IF(Competitor!65:65,"AAAAAH3/d2U=",0)</f>
        <v>0</v>
      </c>
      <c r="CY6" t="e">
        <f>AND(Competitor!A65,"AAAAAH3/d2Y=")</f>
        <v>#VALUE!</v>
      </c>
      <c r="CZ6" t="e">
        <f>AND(Competitor!B65,"AAAAAH3/d2c=")</f>
        <v>#VALUE!</v>
      </c>
      <c r="DA6" t="e">
        <f>AND(Competitor!C65,"AAAAAH3/d2g=")</f>
        <v>#VALUE!</v>
      </c>
      <c r="DB6" t="e">
        <f>AND(Competitor!D65,"AAAAAH3/d2k=")</f>
        <v>#VALUE!</v>
      </c>
      <c r="DC6" t="e">
        <f>AND(Competitor!E65,"AAAAAH3/d2o=")</f>
        <v>#VALUE!</v>
      </c>
      <c r="DD6" t="e">
        <f>AND(Competitor!F65,"AAAAAH3/d2s=")</f>
        <v>#VALUE!</v>
      </c>
      <c r="DE6" t="e">
        <f>AND(Competitor!G65,"AAAAAH3/d2w=")</f>
        <v>#VALUE!</v>
      </c>
      <c r="DF6" t="e">
        <f>AND(Competitor!H65,"AAAAAH3/d20=")</f>
        <v>#VALUE!</v>
      </c>
      <c r="DG6" t="e">
        <f>AND(Competitor!I65,"AAAAAH3/d24=")</f>
        <v>#VALUE!</v>
      </c>
      <c r="DH6" t="e">
        <f>AND(Competitor!J65,"AAAAAH3/d28=")</f>
        <v>#VALUE!</v>
      </c>
      <c r="DI6" t="e">
        <f>AND(Competitor!K65,"AAAAAH3/d3A=")</f>
        <v>#VALUE!</v>
      </c>
      <c r="DJ6" t="e">
        <f>AND(Competitor!L65,"AAAAAH3/d3E=")</f>
        <v>#VALUE!</v>
      </c>
      <c r="DK6" t="e">
        <f>AND(Competitor!M65,"AAAAAH3/d3I=")</f>
        <v>#VALUE!</v>
      </c>
      <c r="DL6" t="e">
        <f>AND(Competitor!N65,"AAAAAH3/d3M=")</f>
        <v>#VALUE!</v>
      </c>
      <c r="DM6" t="e">
        <f>AND(Competitor!O65,"AAAAAH3/d3Q=")</f>
        <v>#VALUE!</v>
      </c>
      <c r="DN6" t="e">
        <f>AND(Competitor!P65,"AAAAAH3/d3U=")</f>
        <v>#VALUE!</v>
      </c>
      <c r="DO6">
        <f>IF(Competitor!66:66,"AAAAAH3/d3Y=",0)</f>
        <v>0</v>
      </c>
      <c r="DP6" t="e">
        <f>AND(Competitor!A66,"AAAAAH3/d3c=")</f>
        <v>#VALUE!</v>
      </c>
      <c r="DQ6" t="e">
        <f>AND(Competitor!B66,"AAAAAH3/d3g=")</f>
        <v>#VALUE!</v>
      </c>
      <c r="DR6" t="e">
        <f>AND(Competitor!C66,"AAAAAH3/d3k=")</f>
        <v>#VALUE!</v>
      </c>
      <c r="DS6" t="e">
        <f>AND(Competitor!D66,"AAAAAH3/d3o=")</f>
        <v>#VALUE!</v>
      </c>
      <c r="DT6" t="e">
        <f>AND(Competitor!E66,"AAAAAH3/d3s=")</f>
        <v>#VALUE!</v>
      </c>
      <c r="DU6" t="e">
        <f>AND(Competitor!F66,"AAAAAH3/d3w=")</f>
        <v>#VALUE!</v>
      </c>
      <c r="DV6" t="e">
        <f>AND(Competitor!G66,"AAAAAH3/d30=")</f>
        <v>#VALUE!</v>
      </c>
      <c r="DW6" t="e">
        <f>AND(Competitor!H66,"AAAAAH3/d34=")</f>
        <v>#VALUE!</v>
      </c>
      <c r="DX6" t="e">
        <f>AND(Competitor!I66,"AAAAAH3/d38=")</f>
        <v>#VALUE!</v>
      </c>
      <c r="DY6" t="e">
        <f>AND(Competitor!J66,"AAAAAH3/d4A=")</f>
        <v>#VALUE!</v>
      </c>
      <c r="DZ6" t="e">
        <f>AND(Competitor!K66,"AAAAAH3/d4E=")</f>
        <v>#VALUE!</v>
      </c>
      <c r="EA6" t="e">
        <f>AND(Competitor!L66,"AAAAAH3/d4I=")</f>
        <v>#VALUE!</v>
      </c>
      <c r="EB6" t="e">
        <f>AND(Competitor!M66,"AAAAAH3/d4M=")</f>
        <v>#VALUE!</v>
      </c>
      <c r="EC6" t="e">
        <f>AND(Competitor!N66,"AAAAAH3/d4Q=")</f>
        <v>#VALUE!</v>
      </c>
      <c r="ED6" t="e">
        <f>AND(Competitor!O66,"AAAAAH3/d4U=")</f>
        <v>#VALUE!</v>
      </c>
      <c r="EE6" t="e">
        <f>AND(Competitor!P66,"AAAAAH3/d4Y=")</f>
        <v>#VALUE!</v>
      </c>
      <c r="EF6">
        <f>IF(Competitor!67:67,"AAAAAH3/d4c=",0)</f>
        <v>0</v>
      </c>
      <c r="EG6" t="e">
        <f>AND(Competitor!A67,"AAAAAH3/d4g=")</f>
        <v>#VALUE!</v>
      </c>
      <c r="EH6" t="e">
        <f>AND(Competitor!B67,"AAAAAH3/d4k=")</f>
        <v>#VALUE!</v>
      </c>
      <c r="EI6" t="e">
        <f>AND(Competitor!C67,"AAAAAH3/d4o=")</f>
        <v>#VALUE!</v>
      </c>
      <c r="EJ6" t="e">
        <f>AND(Competitor!D67,"AAAAAH3/d4s=")</f>
        <v>#VALUE!</v>
      </c>
      <c r="EK6" t="e">
        <f>AND(Competitor!E67,"AAAAAH3/d4w=")</f>
        <v>#VALUE!</v>
      </c>
      <c r="EL6" t="e">
        <f>AND(Competitor!F67,"AAAAAH3/d40=")</f>
        <v>#VALUE!</v>
      </c>
      <c r="EM6" t="e">
        <f>AND(Competitor!G67,"AAAAAH3/d44=")</f>
        <v>#VALUE!</v>
      </c>
      <c r="EN6" t="e">
        <f>AND(Competitor!H67,"AAAAAH3/d48=")</f>
        <v>#VALUE!</v>
      </c>
      <c r="EO6" t="e">
        <f>AND(Competitor!I67,"AAAAAH3/d5A=")</f>
        <v>#VALUE!</v>
      </c>
      <c r="EP6" t="e">
        <f>AND(Competitor!J67,"AAAAAH3/d5E=")</f>
        <v>#VALUE!</v>
      </c>
      <c r="EQ6" t="e">
        <f>AND(Competitor!K67,"AAAAAH3/d5I=")</f>
        <v>#VALUE!</v>
      </c>
      <c r="ER6" t="e">
        <f>AND(Competitor!L67,"AAAAAH3/d5M=")</f>
        <v>#VALUE!</v>
      </c>
      <c r="ES6" t="e">
        <f>AND(Competitor!M67,"AAAAAH3/d5Q=")</f>
        <v>#VALUE!</v>
      </c>
      <c r="ET6" t="e">
        <f>AND(Competitor!N67,"AAAAAH3/d5U=")</f>
        <v>#VALUE!</v>
      </c>
      <c r="EU6" t="e">
        <f>AND(Competitor!O67,"AAAAAH3/d5Y=")</f>
        <v>#VALUE!</v>
      </c>
      <c r="EV6" t="e">
        <f>AND(Competitor!P67,"AAAAAH3/d5c=")</f>
        <v>#VALUE!</v>
      </c>
      <c r="EW6">
        <f>IF(Competitor!68:68,"AAAAAH3/d5g=",0)</f>
        <v>0</v>
      </c>
      <c r="EX6" t="e">
        <f>AND(Competitor!A68,"AAAAAH3/d5k=")</f>
        <v>#VALUE!</v>
      </c>
      <c r="EY6" t="e">
        <f>AND(Competitor!B68,"AAAAAH3/d5o=")</f>
        <v>#VALUE!</v>
      </c>
      <c r="EZ6" t="e">
        <f>AND(Competitor!C68,"AAAAAH3/d5s=")</f>
        <v>#VALUE!</v>
      </c>
      <c r="FA6" t="e">
        <f>AND(Competitor!D68,"AAAAAH3/d5w=")</f>
        <v>#VALUE!</v>
      </c>
      <c r="FB6" t="e">
        <f>AND(Competitor!E68,"AAAAAH3/d50=")</f>
        <v>#VALUE!</v>
      </c>
      <c r="FC6" t="e">
        <f>AND(Competitor!F68,"AAAAAH3/d54=")</f>
        <v>#VALUE!</v>
      </c>
      <c r="FD6" t="e">
        <f>AND(Competitor!G68,"AAAAAH3/d58=")</f>
        <v>#VALUE!</v>
      </c>
      <c r="FE6" t="e">
        <f>AND(Competitor!H68,"AAAAAH3/d6A=")</f>
        <v>#VALUE!</v>
      </c>
      <c r="FF6" t="e">
        <f>AND(Competitor!I68,"AAAAAH3/d6E=")</f>
        <v>#VALUE!</v>
      </c>
      <c r="FG6" t="e">
        <f>AND(Competitor!J68,"AAAAAH3/d6I=")</f>
        <v>#VALUE!</v>
      </c>
      <c r="FH6" t="e">
        <f>AND(Competitor!K68,"AAAAAH3/d6M=")</f>
        <v>#VALUE!</v>
      </c>
      <c r="FI6" t="e">
        <f>AND(Competitor!L68,"AAAAAH3/d6Q=")</f>
        <v>#VALUE!</v>
      </c>
      <c r="FJ6" t="e">
        <f>AND(Competitor!M68,"AAAAAH3/d6U=")</f>
        <v>#VALUE!</v>
      </c>
      <c r="FK6" t="e">
        <f>AND(Competitor!N68,"AAAAAH3/d6Y=")</f>
        <v>#VALUE!</v>
      </c>
      <c r="FL6" t="e">
        <f>AND(Competitor!O68,"AAAAAH3/d6c=")</f>
        <v>#VALUE!</v>
      </c>
      <c r="FM6" t="e">
        <f>AND(Competitor!P68,"AAAAAH3/d6g=")</f>
        <v>#VALUE!</v>
      </c>
      <c r="FN6">
        <f>IF(Competitor!69:69,"AAAAAH3/d6k=",0)</f>
        <v>0</v>
      </c>
      <c r="FO6" t="e">
        <f>AND(Competitor!A69,"AAAAAH3/d6o=")</f>
        <v>#VALUE!</v>
      </c>
      <c r="FP6" t="e">
        <f>AND(Competitor!B69,"AAAAAH3/d6s=")</f>
        <v>#VALUE!</v>
      </c>
      <c r="FQ6" t="e">
        <f>AND(Competitor!C69,"AAAAAH3/d6w=")</f>
        <v>#VALUE!</v>
      </c>
      <c r="FR6" t="e">
        <f>AND(Competitor!D69,"AAAAAH3/d60=")</f>
        <v>#VALUE!</v>
      </c>
      <c r="FS6" t="e">
        <f>AND(Competitor!E69,"AAAAAH3/d64=")</f>
        <v>#VALUE!</v>
      </c>
      <c r="FT6" t="e">
        <f>AND(Competitor!F69,"AAAAAH3/d68=")</f>
        <v>#VALUE!</v>
      </c>
      <c r="FU6" t="e">
        <f>AND(Competitor!G69,"AAAAAH3/d7A=")</f>
        <v>#VALUE!</v>
      </c>
      <c r="FV6" t="e">
        <f>AND(Competitor!H69,"AAAAAH3/d7E=")</f>
        <v>#VALUE!</v>
      </c>
      <c r="FW6" t="e">
        <f>AND(Competitor!I69,"AAAAAH3/d7I=")</f>
        <v>#VALUE!</v>
      </c>
      <c r="FX6" t="e">
        <f>AND(Competitor!J69,"AAAAAH3/d7M=")</f>
        <v>#VALUE!</v>
      </c>
      <c r="FY6" t="e">
        <f>AND(Competitor!K69,"AAAAAH3/d7Q=")</f>
        <v>#VALUE!</v>
      </c>
      <c r="FZ6" t="e">
        <f>AND(Competitor!L69,"AAAAAH3/d7U=")</f>
        <v>#VALUE!</v>
      </c>
      <c r="GA6" t="e">
        <f>AND(Competitor!M69,"AAAAAH3/d7Y=")</f>
        <v>#VALUE!</v>
      </c>
      <c r="GB6" t="e">
        <f>AND(Competitor!N69,"AAAAAH3/d7c=")</f>
        <v>#VALUE!</v>
      </c>
      <c r="GC6" t="e">
        <f>AND(Competitor!O69,"AAAAAH3/d7g=")</f>
        <v>#VALUE!</v>
      </c>
      <c r="GD6" t="e">
        <f>AND(Competitor!P69,"AAAAAH3/d7k=")</f>
        <v>#VALUE!</v>
      </c>
      <c r="GE6">
        <f>IF(Competitor!70:70,"AAAAAH3/d7o=",0)</f>
        <v>0</v>
      </c>
      <c r="GF6" t="e">
        <f>AND(Competitor!A70,"AAAAAH3/d7s=")</f>
        <v>#VALUE!</v>
      </c>
      <c r="GG6" t="e">
        <f>AND(Competitor!B70,"AAAAAH3/d7w=")</f>
        <v>#VALUE!</v>
      </c>
      <c r="GH6" t="e">
        <f>AND(Competitor!C70,"AAAAAH3/d70=")</f>
        <v>#VALUE!</v>
      </c>
      <c r="GI6" t="e">
        <f>AND(Competitor!D70,"AAAAAH3/d74=")</f>
        <v>#VALUE!</v>
      </c>
      <c r="GJ6" t="e">
        <f>AND(Competitor!E70,"AAAAAH3/d78=")</f>
        <v>#VALUE!</v>
      </c>
      <c r="GK6" t="e">
        <f>AND(Competitor!F70,"AAAAAH3/d8A=")</f>
        <v>#VALUE!</v>
      </c>
      <c r="GL6" t="e">
        <f>AND(Competitor!G70,"AAAAAH3/d8E=")</f>
        <v>#VALUE!</v>
      </c>
      <c r="GM6" t="e">
        <f>AND(Competitor!H70,"AAAAAH3/d8I=")</f>
        <v>#VALUE!</v>
      </c>
      <c r="GN6" t="e">
        <f>AND(Competitor!I70,"AAAAAH3/d8M=")</f>
        <v>#VALUE!</v>
      </c>
      <c r="GO6" t="e">
        <f>AND(Competitor!J70,"AAAAAH3/d8Q=")</f>
        <v>#VALUE!</v>
      </c>
      <c r="GP6" t="e">
        <f>AND(Competitor!K70,"AAAAAH3/d8U=")</f>
        <v>#VALUE!</v>
      </c>
      <c r="GQ6" t="e">
        <f>AND(Competitor!L70,"AAAAAH3/d8Y=")</f>
        <v>#VALUE!</v>
      </c>
      <c r="GR6" t="e">
        <f>AND(Competitor!M70,"AAAAAH3/d8c=")</f>
        <v>#VALUE!</v>
      </c>
      <c r="GS6" t="e">
        <f>AND(Competitor!N70,"AAAAAH3/d8g=")</f>
        <v>#VALUE!</v>
      </c>
      <c r="GT6" t="e">
        <f>AND(Competitor!O70,"AAAAAH3/d8k=")</f>
        <v>#VALUE!</v>
      </c>
      <c r="GU6" t="e">
        <f>AND(Competitor!P70,"AAAAAH3/d8o=")</f>
        <v>#VALUE!</v>
      </c>
      <c r="GV6">
        <f>IF(Competitor!71:71,"AAAAAH3/d8s=",0)</f>
        <v>0</v>
      </c>
      <c r="GW6" t="e">
        <f>AND(Competitor!A71,"AAAAAH3/d8w=")</f>
        <v>#VALUE!</v>
      </c>
      <c r="GX6" t="e">
        <f>AND(Competitor!B71,"AAAAAH3/d80=")</f>
        <v>#VALUE!</v>
      </c>
      <c r="GY6" t="e">
        <f>AND(Competitor!C71,"AAAAAH3/d84=")</f>
        <v>#VALUE!</v>
      </c>
      <c r="GZ6" t="e">
        <f>AND(Competitor!D71,"AAAAAH3/d88=")</f>
        <v>#VALUE!</v>
      </c>
      <c r="HA6" t="e">
        <f>AND(Competitor!E71,"AAAAAH3/d9A=")</f>
        <v>#VALUE!</v>
      </c>
      <c r="HB6" t="e">
        <f>AND(Competitor!F71,"AAAAAH3/d9E=")</f>
        <v>#VALUE!</v>
      </c>
      <c r="HC6" t="e">
        <f>AND(Competitor!G71,"AAAAAH3/d9I=")</f>
        <v>#VALUE!</v>
      </c>
      <c r="HD6" t="e">
        <f>AND(Competitor!H71,"AAAAAH3/d9M=")</f>
        <v>#VALUE!</v>
      </c>
      <c r="HE6" t="e">
        <f>AND(Competitor!I71,"AAAAAH3/d9Q=")</f>
        <v>#VALUE!</v>
      </c>
      <c r="HF6" t="e">
        <f>AND(Competitor!J71,"AAAAAH3/d9U=")</f>
        <v>#VALUE!</v>
      </c>
      <c r="HG6" t="e">
        <f>AND(Competitor!K71,"AAAAAH3/d9Y=")</f>
        <v>#VALUE!</v>
      </c>
      <c r="HH6" t="e">
        <f>AND(Competitor!L71,"AAAAAH3/d9c=")</f>
        <v>#VALUE!</v>
      </c>
      <c r="HI6" t="e">
        <f>AND(Competitor!M71,"AAAAAH3/d9g=")</f>
        <v>#VALUE!</v>
      </c>
      <c r="HJ6" t="e">
        <f>AND(Competitor!N71,"AAAAAH3/d9k=")</f>
        <v>#VALUE!</v>
      </c>
      <c r="HK6" t="e">
        <f>AND(Competitor!O71,"AAAAAH3/d9o=")</f>
        <v>#VALUE!</v>
      </c>
      <c r="HL6" t="e">
        <f>AND(Competitor!P71,"AAAAAH3/d9s=")</f>
        <v>#VALUE!</v>
      </c>
      <c r="HM6">
        <f>IF(Competitor!72:72,"AAAAAH3/d9w=",0)</f>
        <v>0</v>
      </c>
      <c r="HN6" t="e">
        <f>AND(Competitor!A72,"AAAAAH3/d90=")</f>
        <v>#VALUE!</v>
      </c>
      <c r="HO6" t="e">
        <f>AND(Competitor!B72,"AAAAAH3/d94=")</f>
        <v>#VALUE!</v>
      </c>
      <c r="HP6" t="e">
        <f>AND(Competitor!C72,"AAAAAH3/d98=")</f>
        <v>#VALUE!</v>
      </c>
      <c r="HQ6" t="e">
        <f>AND(Competitor!D72,"AAAAAH3/d+A=")</f>
        <v>#VALUE!</v>
      </c>
      <c r="HR6" t="e">
        <f>AND(Competitor!E72,"AAAAAH3/d+E=")</f>
        <v>#VALUE!</v>
      </c>
      <c r="HS6" t="e">
        <f>AND(Competitor!F72,"AAAAAH3/d+I=")</f>
        <v>#VALUE!</v>
      </c>
      <c r="HT6" t="e">
        <f>AND(Competitor!G72,"AAAAAH3/d+M=")</f>
        <v>#VALUE!</v>
      </c>
      <c r="HU6" t="e">
        <f>AND(Competitor!H72,"AAAAAH3/d+Q=")</f>
        <v>#VALUE!</v>
      </c>
      <c r="HV6" t="e">
        <f>AND(Competitor!I72,"AAAAAH3/d+U=")</f>
        <v>#VALUE!</v>
      </c>
      <c r="HW6" t="e">
        <f>AND(Competitor!J72,"AAAAAH3/d+Y=")</f>
        <v>#VALUE!</v>
      </c>
      <c r="HX6" t="e">
        <f>AND(Competitor!K72,"AAAAAH3/d+c=")</f>
        <v>#VALUE!</v>
      </c>
      <c r="HY6" t="e">
        <f>AND(Competitor!L72,"AAAAAH3/d+g=")</f>
        <v>#VALUE!</v>
      </c>
      <c r="HZ6" t="e">
        <f>AND(Competitor!M72,"AAAAAH3/d+k=")</f>
        <v>#VALUE!</v>
      </c>
      <c r="IA6" t="e">
        <f>AND(Competitor!N72,"AAAAAH3/d+o=")</f>
        <v>#VALUE!</v>
      </c>
      <c r="IB6" t="e">
        <f>AND(Competitor!O72,"AAAAAH3/d+s=")</f>
        <v>#VALUE!</v>
      </c>
      <c r="IC6" t="e">
        <f>AND(Competitor!P72,"AAAAAH3/d+w=")</f>
        <v>#VALUE!</v>
      </c>
      <c r="ID6">
        <f>IF(Competitor!73:73,"AAAAAH3/d+0=",0)</f>
        <v>0</v>
      </c>
      <c r="IE6" t="e">
        <f>AND(Competitor!A73,"AAAAAH3/d+4=")</f>
        <v>#VALUE!</v>
      </c>
      <c r="IF6" t="e">
        <f>AND(Competitor!B73,"AAAAAH3/d+8=")</f>
        <v>#VALUE!</v>
      </c>
      <c r="IG6" t="e">
        <f>AND(Competitor!C73,"AAAAAH3/d/A=")</f>
        <v>#VALUE!</v>
      </c>
      <c r="IH6" t="e">
        <f>AND(Competitor!D73,"AAAAAH3/d/E=")</f>
        <v>#VALUE!</v>
      </c>
      <c r="II6" t="e">
        <f>AND(Competitor!E73,"AAAAAH3/d/I=")</f>
        <v>#VALUE!</v>
      </c>
      <c r="IJ6" t="e">
        <f>AND(Competitor!F73,"AAAAAH3/d/M=")</f>
        <v>#VALUE!</v>
      </c>
      <c r="IK6" t="e">
        <f>AND(Competitor!G73,"AAAAAH3/d/Q=")</f>
        <v>#VALUE!</v>
      </c>
      <c r="IL6" t="e">
        <f>AND(Competitor!H73,"AAAAAH3/d/U=")</f>
        <v>#VALUE!</v>
      </c>
      <c r="IM6" t="e">
        <f>AND(Competitor!I73,"AAAAAH3/d/Y=")</f>
        <v>#VALUE!</v>
      </c>
      <c r="IN6" t="e">
        <f>AND(Competitor!J73,"AAAAAH3/d/c=")</f>
        <v>#VALUE!</v>
      </c>
      <c r="IO6" t="e">
        <f>AND(Competitor!K73,"AAAAAH3/d/g=")</f>
        <v>#VALUE!</v>
      </c>
      <c r="IP6" t="e">
        <f>AND(Competitor!L73,"AAAAAH3/d/k=")</f>
        <v>#VALUE!</v>
      </c>
      <c r="IQ6" t="e">
        <f>AND(Competitor!M73,"AAAAAH3/d/o=")</f>
        <v>#VALUE!</v>
      </c>
      <c r="IR6" t="e">
        <f>AND(Competitor!N73,"AAAAAH3/d/s=")</f>
        <v>#VALUE!</v>
      </c>
      <c r="IS6" t="e">
        <f>AND(Competitor!O73,"AAAAAH3/d/w=")</f>
        <v>#VALUE!</v>
      </c>
      <c r="IT6" t="e">
        <f>AND(Competitor!P73,"AAAAAH3/d/0=")</f>
        <v>#VALUE!</v>
      </c>
      <c r="IU6">
        <f>IF(Competitor!74:74,"AAAAAH3/d/4=",0)</f>
        <v>0</v>
      </c>
      <c r="IV6" t="e">
        <f>AND(Competitor!A74,"AAAAAH3/d/8=")</f>
        <v>#VALUE!</v>
      </c>
    </row>
    <row r="7" spans="1:256" x14ac:dyDescent="0.25">
      <c r="A7" t="e">
        <f>AND(Competitor!B74,"AAAAAF/x6wA=")</f>
        <v>#VALUE!</v>
      </c>
      <c r="B7" t="e">
        <f>AND(Competitor!C74,"AAAAAF/x6wE=")</f>
        <v>#VALUE!</v>
      </c>
      <c r="C7" t="e">
        <f>AND(Competitor!D74,"AAAAAF/x6wI=")</f>
        <v>#VALUE!</v>
      </c>
      <c r="D7" t="e">
        <f>AND(Competitor!E74,"AAAAAF/x6wM=")</f>
        <v>#VALUE!</v>
      </c>
      <c r="E7" t="e">
        <f>AND(Competitor!F74,"AAAAAF/x6wQ=")</f>
        <v>#VALUE!</v>
      </c>
      <c r="F7" t="e">
        <f>AND(Competitor!G74,"AAAAAF/x6wU=")</f>
        <v>#VALUE!</v>
      </c>
      <c r="G7" t="e">
        <f>AND(Competitor!H74,"AAAAAF/x6wY=")</f>
        <v>#VALUE!</v>
      </c>
      <c r="H7" t="e">
        <f>AND(Competitor!I74,"AAAAAF/x6wc=")</f>
        <v>#VALUE!</v>
      </c>
      <c r="I7" t="e">
        <f>AND(Competitor!J74,"AAAAAF/x6wg=")</f>
        <v>#VALUE!</v>
      </c>
      <c r="J7" t="e">
        <f>AND(Competitor!K74,"AAAAAF/x6wk=")</f>
        <v>#VALUE!</v>
      </c>
      <c r="K7" t="e">
        <f>AND(Competitor!L74,"AAAAAF/x6wo=")</f>
        <v>#VALUE!</v>
      </c>
      <c r="L7" t="e">
        <f>AND(Competitor!M74,"AAAAAF/x6ws=")</f>
        <v>#VALUE!</v>
      </c>
      <c r="M7" t="e">
        <f>AND(Competitor!N74,"AAAAAF/x6ww=")</f>
        <v>#VALUE!</v>
      </c>
      <c r="N7" t="e">
        <f>AND(Competitor!O74,"AAAAAF/x6w0=")</f>
        <v>#VALUE!</v>
      </c>
      <c r="O7" t="e">
        <f>AND(Competitor!P74,"AAAAAF/x6w4=")</f>
        <v>#VALUE!</v>
      </c>
      <c r="P7">
        <f>IF(Competitor!75:75,"AAAAAF/x6w8=",0)</f>
        <v>0</v>
      </c>
      <c r="Q7" t="e">
        <f>AND(Competitor!A75,"AAAAAF/x6xA=")</f>
        <v>#VALUE!</v>
      </c>
      <c r="R7" t="e">
        <f>AND(Competitor!B75,"AAAAAF/x6xE=")</f>
        <v>#VALUE!</v>
      </c>
      <c r="S7" t="e">
        <f>AND(Competitor!C75,"AAAAAF/x6xI=")</f>
        <v>#VALUE!</v>
      </c>
      <c r="T7" t="e">
        <f>AND(Competitor!D75,"AAAAAF/x6xM=")</f>
        <v>#VALUE!</v>
      </c>
      <c r="U7" t="e">
        <f>AND(Competitor!E75,"AAAAAF/x6xQ=")</f>
        <v>#VALUE!</v>
      </c>
      <c r="V7" t="e">
        <f>AND(Competitor!F75,"AAAAAF/x6xU=")</f>
        <v>#VALUE!</v>
      </c>
      <c r="W7" t="e">
        <f>AND(Competitor!G75,"AAAAAF/x6xY=")</f>
        <v>#VALUE!</v>
      </c>
      <c r="X7" t="e">
        <f>AND(Competitor!H75,"AAAAAF/x6xc=")</f>
        <v>#VALUE!</v>
      </c>
      <c r="Y7" t="e">
        <f>AND(Competitor!I75,"AAAAAF/x6xg=")</f>
        <v>#VALUE!</v>
      </c>
      <c r="Z7" t="e">
        <f>AND(Competitor!J75,"AAAAAF/x6xk=")</f>
        <v>#VALUE!</v>
      </c>
      <c r="AA7" t="e">
        <f>AND(Competitor!K75,"AAAAAF/x6xo=")</f>
        <v>#VALUE!</v>
      </c>
      <c r="AB7" t="e">
        <f>AND(Competitor!L75,"AAAAAF/x6xs=")</f>
        <v>#VALUE!</v>
      </c>
      <c r="AC7" t="e">
        <f>AND(Competitor!M75,"AAAAAF/x6xw=")</f>
        <v>#VALUE!</v>
      </c>
      <c r="AD7" t="e">
        <f>AND(Competitor!N75,"AAAAAF/x6x0=")</f>
        <v>#VALUE!</v>
      </c>
      <c r="AE7" t="e">
        <f>AND(Competitor!O75,"AAAAAF/x6x4=")</f>
        <v>#VALUE!</v>
      </c>
      <c r="AF7" t="e">
        <f>AND(Competitor!P75,"AAAAAF/x6x8=")</f>
        <v>#VALUE!</v>
      </c>
      <c r="AG7">
        <f>IF(Competitor!76:76,"AAAAAF/x6yA=",0)</f>
        <v>0</v>
      </c>
      <c r="AH7" t="e">
        <f>AND(Competitor!A76,"AAAAAF/x6yE=")</f>
        <v>#VALUE!</v>
      </c>
      <c r="AI7" t="e">
        <f>AND(Competitor!B76,"AAAAAF/x6yI=")</f>
        <v>#VALUE!</v>
      </c>
      <c r="AJ7" t="e">
        <f>AND(Competitor!C76,"AAAAAF/x6yM=")</f>
        <v>#VALUE!</v>
      </c>
      <c r="AK7" t="e">
        <f>AND(Competitor!D76,"AAAAAF/x6yQ=")</f>
        <v>#VALUE!</v>
      </c>
      <c r="AL7" t="e">
        <f>AND(Competitor!E76,"AAAAAF/x6yU=")</f>
        <v>#VALUE!</v>
      </c>
      <c r="AM7" t="e">
        <f>AND(Competitor!F76,"AAAAAF/x6yY=")</f>
        <v>#VALUE!</v>
      </c>
      <c r="AN7" t="e">
        <f>AND(Competitor!G76,"AAAAAF/x6yc=")</f>
        <v>#VALUE!</v>
      </c>
      <c r="AO7" t="e">
        <f>AND(Competitor!H76,"AAAAAF/x6yg=")</f>
        <v>#VALUE!</v>
      </c>
      <c r="AP7" t="e">
        <f>AND(Competitor!I76,"AAAAAF/x6yk=")</f>
        <v>#VALUE!</v>
      </c>
      <c r="AQ7" t="e">
        <f>AND(Competitor!J76,"AAAAAF/x6yo=")</f>
        <v>#VALUE!</v>
      </c>
      <c r="AR7" t="e">
        <f>AND(Competitor!K76,"AAAAAF/x6ys=")</f>
        <v>#VALUE!</v>
      </c>
      <c r="AS7" t="e">
        <f>AND(Competitor!L76,"AAAAAF/x6yw=")</f>
        <v>#VALUE!</v>
      </c>
      <c r="AT7" t="e">
        <f>AND(Competitor!M76,"AAAAAF/x6y0=")</f>
        <v>#VALUE!</v>
      </c>
      <c r="AU7" t="e">
        <f>AND(Competitor!N76,"AAAAAF/x6y4=")</f>
        <v>#VALUE!</v>
      </c>
      <c r="AV7" t="e">
        <f>AND(Competitor!O76,"AAAAAF/x6y8=")</f>
        <v>#VALUE!</v>
      </c>
      <c r="AW7" t="e">
        <f>AND(Competitor!P76,"AAAAAF/x6zA=")</f>
        <v>#VALUE!</v>
      </c>
      <c r="AX7" t="str">
        <f>IF(Competitor!A:A,"AAAAAF/x6zE=",0)</f>
        <v>AAAAAF/x6zE=</v>
      </c>
      <c r="AY7">
        <f>IF(Competitor!B:B,"AAAAAF/x6zI=",0)</f>
        <v>0</v>
      </c>
      <c r="AZ7">
        <f>IF(Competitor!C:C,"AAAAAF/x6zM=",0)</f>
        <v>0</v>
      </c>
      <c r="BA7">
        <f>IF(Competitor!D:D,"AAAAAF/x6zQ=",0)</f>
        <v>0</v>
      </c>
      <c r="BB7">
        <f>IF(Competitor!E:E,"AAAAAF/x6zU=",0)</f>
        <v>0</v>
      </c>
      <c r="BC7">
        <f>IF(Competitor!F:F,"AAAAAF/x6zY=",0)</f>
        <v>0</v>
      </c>
      <c r="BD7" t="e">
        <f>IF(Competitor!G:G,"AAAAAF/x6zc=",0)</f>
        <v>#VALUE!</v>
      </c>
      <c r="BE7" t="e">
        <f>IF(Competitor!H:H,"AAAAAF/x6zg=",0)</f>
        <v>#VALUE!</v>
      </c>
      <c r="BF7">
        <f>IF(Competitor!I:I,"AAAAAF/x6zk=",0)</f>
        <v>0</v>
      </c>
      <c r="BG7">
        <f>IF(Competitor!J:J,"AAAAAF/x6zo=",0)</f>
        <v>0</v>
      </c>
      <c r="BH7">
        <f>IF(Competitor!K:K,"AAAAAF/x6zs=",0)</f>
        <v>0</v>
      </c>
      <c r="BI7">
        <f>IF(Competitor!L:L,"AAAAAF/x6zw=",0)</f>
        <v>0</v>
      </c>
      <c r="BJ7">
        <f>IF(Competitor!M:M,"AAAAAF/x6z0=",0)</f>
        <v>0</v>
      </c>
      <c r="BK7" t="str">
        <f ca="1">IF(Competitor!N:N,"AAAAAF/x6z4=",0)</f>
        <v>AAAAAF/x6z4=</v>
      </c>
      <c r="BL7">
        <f>IF(Competitor!O:O,"AAAAAF/x6z8=",0)</f>
        <v>0</v>
      </c>
      <c r="BM7">
        <f>IF(Competitor!P:P,"AAAAAF/x60A=",0)</f>
        <v>0</v>
      </c>
      <c r="BN7">
        <f>IF('Group Team Show'!1:1,"AAAAAF/x60E=",0)</f>
        <v>0</v>
      </c>
      <c r="BO7" t="e">
        <f>AND('Group Team Show'!A1,"AAAAAF/x60I=")</f>
        <v>#VALUE!</v>
      </c>
      <c r="BP7" t="e">
        <f>AND('Group Team Show'!B1,"AAAAAF/x60M=")</f>
        <v>#VALUE!</v>
      </c>
      <c r="BQ7" t="e">
        <f>AND('Group Team Show'!C1,"AAAAAF/x60Q=")</f>
        <v>#VALUE!</v>
      </c>
      <c r="BR7" t="e">
        <f>AND('Group Team Show'!D1,"AAAAAF/x60U=")</f>
        <v>#VALUE!</v>
      </c>
      <c r="BS7" t="e">
        <f>AND('Group Team Show'!E1,"AAAAAF/x60Y=")</f>
        <v>#VALUE!</v>
      </c>
      <c r="BT7" t="e">
        <f>AND('Group Team Show'!F1,"AAAAAF/x60c=")</f>
        <v>#VALUE!</v>
      </c>
      <c r="BU7" t="e">
        <f>AND('Group Team Show'!G1,"AAAAAF/x60g=")</f>
        <v>#VALUE!</v>
      </c>
      <c r="BV7" t="e">
        <f>AND('Group Team Show'!H1,"AAAAAF/x60k=")</f>
        <v>#VALUE!</v>
      </c>
      <c r="BW7" t="e">
        <f>AND('Group Team Show'!I1,"AAAAAF/x60o=")</f>
        <v>#VALUE!</v>
      </c>
      <c r="BX7" t="e">
        <f>AND('Group Team Show'!J1,"AAAAAF/x60s=")</f>
        <v>#VALUE!</v>
      </c>
      <c r="BY7" t="e">
        <f>AND('Group Team Show'!K1,"AAAAAF/x60w=")</f>
        <v>#VALUE!</v>
      </c>
      <c r="BZ7" t="e">
        <f>AND('Group Team Show'!L1,"AAAAAF/x600=")</f>
        <v>#VALUE!</v>
      </c>
      <c r="CA7" t="e">
        <f>AND('Group Team Show'!M1,"AAAAAF/x604=")</f>
        <v>#VALUE!</v>
      </c>
      <c r="CB7">
        <f>IF('Group Team Show'!3:3,"AAAAAF/x608=",0)</f>
        <v>0</v>
      </c>
      <c r="CC7" t="e">
        <f>AND('Group Team Show'!A3,"AAAAAF/x61A=")</f>
        <v>#VALUE!</v>
      </c>
      <c r="CD7" t="e">
        <f>AND('Group Team Show'!B3,"AAAAAF/x61E=")</f>
        <v>#VALUE!</v>
      </c>
      <c r="CE7" t="e">
        <f>AND('Group Team Show'!C3,"AAAAAF/x61I=")</f>
        <v>#VALUE!</v>
      </c>
      <c r="CF7" t="e">
        <f>AND('Group Team Show'!D3,"AAAAAF/x61M=")</f>
        <v>#VALUE!</v>
      </c>
      <c r="CG7" t="e">
        <f>AND('Group Team Show'!E3,"AAAAAF/x61Q=")</f>
        <v>#VALUE!</v>
      </c>
      <c r="CH7" t="e">
        <f>AND('Group Team Show'!F3,"AAAAAF/x61U=")</f>
        <v>#VALUE!</v>
      </c>
      <c r="CI7" t="e">
        <f>AND('Group Team Show'!G3,"AAAAAF/x61Y=")</f>
        <v>#VALUE!</v>
      </c>
      <c r="CJ7" t="e">
        <f>AND('Group Team Show'!H3,"AAAAAF/x61c=")</f>
        <v>#VALUE!</v>
      </c>
      <c r="CK7" t="e">
        <f>AND('Group Team Show'!I3,"AAAAAF/x61g=")</f>
        <v>#VALUE!</v>
      </c>
      <c r="CL7" t="e">
        <f>AND('Group Team Show'!J3,"AAAAAF/x61k=")</f>
        <v>#VALUE!</v>
      </c>
      <c r="CM7" t="e">
        <f>AND('Group Team Show'!K3,"AAAAAF/x61o=")</f>
        <v>#VALUE!</v>
      </c>
      <c r="CN7" t="e">
        <f>AND('Group Team Show'!L3,"AAAAAF/x61s=")</f>
        <v>#VALUE!</v>
      </c>
      <c r="CO7" t="e">
        <f>AND('Group Team Show'!M3,"AAAAAF/x61w=")</f>
        <v>#VALUE!</v>
      </c>
      <c r="CP7">
        <f>IF('Group Team Show'!6:6,"AAAAAF/x610=",0)</f>
        <v>0</v>
      </c>
      <c r="CQ7" t="e">
        <f>AND('Group Team Show'!A6,"AAAAAF/x614=")</f>
        <v>#VALUE!</v>
      </c>
      <c r="CR7" t="e">
        <f>AND('Group Team Show'!B6,"AAAAAF/x618=")</f>
        <v>#VALUE!</v>
      </c>
      <c r="CS7" t="e">
        <f>AND('Group Team Show'!C6,"AAAAAF/x62A=")</f>
        <v>#VALUE!</v>
      </c>
      <c r="CT7" t="e">
        <f>AND('Group Team Show'!D6,"AAAAAF/x62E=")</f>
        <v>#VALUE!</v>
      </c>
      <c r="CU7" t="e">
        <f>AND('Group Team Show'!E6,"AAAAAF/x62I=")</f>
        <v>#VALUE!</v>
      </c>
      <c r="CV7" t="e">
        <f>AND('Group Team Show'!F6,"AAAAAF/x62M=")</f>
        <v>#VALUE!</v>
      </c>
      <c r="CW7" t="e">
        <f>AND('Group Team Show'!G6,"AAAAAF/x62Q=")</f>
        <v>#VALUE!</v>
      </c>
      <c r="CX7" t="e">
        <f>AND('Group Team Show'!H6,"AAAAAF/x62U=")</f>
        <v>#VALUE!</v>
      </c>
      <c r="CY7" t="e">
        <f>AND('Group Team Show'!I6,"AAAAAF/x62Y=")</f>
        <v>#VALUE!</v>
      </c>
      <c r="CZ7" t="e">
        <f>AND('Group Team Show'!J6,"AAAAAF/x62c=")</f>
        <v>#VALUE!</v>
      </c>
      <c r="DA7" t="e">
        <f>AND('Group Team Show'!K6,"AAAAAF/x62g=")</f>
        <v>#VALUE!</v>
      </c>
      <c r="DB7" t="e">
        <f>AND('Group Team Show'!L6,"AAAAAF/x62k=")</f>
        <v>#VALUE!</v>
      </c>
      <c r="DC7" t="e">
        <f>AND('Group Team Show'!M6,"AAAAAF/x62o=")</f>
        <v>#VALUE!</v>
      </c>
      <c r="DD7">
        <f>IF('Group Team Show'!7:7,"AAAAAF/x62s=",0)</f>
        <v>0</v>
      </c>
      <c r="DE7" t="e">
        <f>AND('Group Team Show'!A7,"AAAAAF/x62w=")</f>
        <v>#VALUE!</v>
      </c>
      <c r="DF7" t="e">
        <f>AND('Group Team Show'!B7,"AAAAAF/x620=")</f>
        <v>#VALUE!</v>
      </c>
      <c r="DG7" t="e">
        <f>AND('Group Team Show'!C7,"AAAAAF/x624=")</f>
        <v>#VALUE!</v>
      </c>
      <c r="DH7" t="e">
        <f>AND('Group Team Show'!D7,"AAAAAF/x628=")</f>
        <v>#VALUE!</v>
      </c>
      <c r="DI7" t="e">
        <f>AND('Group Team Show'!E7,"AAAAAF/x63A=")</f>
        <v>#VALUE!</v>
      </c>
      <c r="DJ7" t="e">
        <f>AND('Group Team Show'!F7,"AAAAAF/x63E=")</f>
        <v>#VALUE!</v>
      </c>
      <c r="DK7" t="e">
        <f>AND('Group Team Show'!G7,"AAAAAF/x63I=")</f>
        <v>#VALUE!</v>
      </c>
      <c r="DL7" t="e">
        <f>AND('Group Team Show'!H7,"AAAAAF/x63M=")</f>
        <v>#VALUE!</v>
      </c>
      <c r="DM7" t="e">
        <f>AND('Group Team Show'!I7,"AAAAAF/x63Q=")</f>
        <v>#VALUE!</v>
      </c>
      <c r="DN7" t="e">
        <f>AND('Group Team Show'!J7,"AAAAAF/x63U=")</f>
        <v>#VALUE!</v>
      </c>
      <c r="DO7" t="e">
        <f>AND('Group Team Show'!K7,"AAAAAF/x63Y=")</f>
        <v>#VALUE!</v>
      </c>
      <c r="DP7" t="e">
        <f>AND('Group Team Show'!L7,"AAAAAF/x63c=")</f>
        <v>#VALUE!</v>
      </c>
      <c r="DQ7" t="e">
        <f>AND('Group Team Show'!M7,"AAAAAF/x63g=")</f>
        <v>#VALUE!</v>
      </c>
      <c r="DR7">
        <f>IF('Group Team Show'!8:8,"AAAAAF/x63k=",0)</f>
        <v>0</v>
      </c>
      <c r="DS7" t="e">
        <f>AND('Group Team Show'!A8,"AAAAAF/x63o=")</f>
        <v>#VALUE!</v>
      </c>
      <c r="DT7" t="e">
        <f>AND('Group Team Show'!B8,"AAAAAF/x63s=")</f>
        <v>#VALUE!</v>
      </c>
      <c r="DU7" t="e">
        <f>AND('Group Team Show'!C8,"AAAAAF/x63w=")</f>
        <v>#VALUE!</v>
      </c>
      <c r="DV7" t="e">
        <f>AND('Group Team Show'!D8,"AAAAAF/x630=")</f>
        <v>#VALUE!</v>
      </c>
      <c r="DW7" t="e">
        <f>AND('Group Team Show'!E8,"AAAAAF/x634=")</f>
        <v>#VALUE!</v>
      </c>
      <c r="DX7" t="e">
        <f>AND('Group Team Show'!F8,"AAAAAF/x638=")</f>
        <v>#VALUE!</v>
      </c>
      <c r="DY7" t="e">
        <f>AND('Group Team Show'!G8,"AAAAAF/x64A=")</f>
        <v>#VALUE!</v>
      </c>
      <c r="DZ7" t="e">
        <f>AND('Group Team Show'!H8,"AAAAAF/x64E=")</f>
        <v>#VALUE!</v>
      </c>
      <c r="EA7" t="e">
        <f>AND('Group Team Show'!I8,"AAAAAF/x64I=")</f>
        <v>#VALUE!</v>
      </c>
      <c r="EB7" t="e">
        <f>AND('Group Team Show'!J8,"AAAAAF/x64M=")</f>
        <v>#VALUE!</v>
      </c>
      <c r="EC7" t="e">
        <f>AND('Group Team Show'!K8,"AAAAAF/x64Q=")</f>
        <v>#VALUE!</v>
      </c>
      <c r="ED7" t="e">
        <f>AND('Group Team Show'!L8,"AAAAAF/x64U=")</f>
        <v>#VALUE!</v>
      </c>
      <c r="EE7" t="e">
        <f>AND('Group Team Show'!M8,"AAAAAF/x64Y=")</f>
        <v>#VALUE!</v>
      </c>
      <c r="EF7">
        <f>IF('Group Team Show'!9:9,"AAAAAF/x64c=",0)</f>
        <v>0</v>
      </c>
      <c r="EG7" t="e">
        <f>AND('Group Team Show'!A9,"AAAAAF/x64g=")</f>
        <v>#VALUE!</v>
      </c>
      <c r="EH7" t="e">
        <f>AND('Group Team Show'!B9,"AAAAAF/x64k=")</f>
        <v>#VALUE!</v>
      </c>
      <c r="EI7" t="e">
        <f>AND('Group Team Show'!C9,"AAAAAF/x64o=")</f>
        <v>#VALUE!</v>
      </c>
      <c r="EJ7" t="e">
        <f>AND('Group Team Show'!D9,"AAAAAF/x64s=")</f>
        <v>#VALUE!</v>
      </c>
      <c r="EK7" t="e">
        <f>AND('Group Team Show'!E9,"AAAAAF/x64w=")</f>
        <v>#VALUE!</v>
      </c>
      <c r="EL7" t="e">
        <f>AND('Group Team Show'!F9,"AAAAAF/x640=")</f>
        <v>#VALUE!</v>
      </c>
      <c r="EM7" t="e">
        <f>AND('Group Team Show'!G9,"AAAAAF/x644=")</f>
        <v>#VALUE!</v>
      </c>
      <c r="EN7" t="e">
        <f>AND('Group Team Show'!H9,"AAAAAF/x648=")</f>
        <v>#VALUE!</v>
      </c>
      <c r="EO7" t="e">
        <f>AND('Group Team Show'!I9,"AAAAAF/x65A=")</f>
        <v>#VALUE!</v>
      </c>
      <c r="EP7" t="e">
        <f>AND('Group Team Show'!J9,"AAAAAF/x65E=")</f>
        <v>#VALUE!</v>
      </c>
      <c r="EQ7" t="e">
        <f>AND('Group Team Show'!K9,"AAAAAF/x65I=")</f>
        <v>#VALUE!</v>
      </c>
      <c r="ER7" t="e">
        <f>AND('Group Team Show'!L9,"AAAAAF/x65M=")</f>
        <v>#VALUE!</v>
      </c>
      <c r="ES7" t="e">
        <f>AND('Group Team Show'!M9,"AAAAAF/x65Q=")</f>
        <v>#VALUE!</v>
      </c>
      <c r="ET7">
        <f>IF('Group Team Show'!10:10,"AAAAAF/x65U=",0)</f>
        <v>0</v>
      </c>
      <c r="EU7" t="e">
        <f>AND('Group Team Show'!A10,"AAAAAF/x65Y=")</f>
        <v>#VALUE!</v>
      </c>
      <c r="EV7" t="e">
        <f>AND('Group Team Show'!B10,"AAAAAF/x65c=")</f>
        <v>#VALUE!</v>
      </c>
      <c r="EW7" t="e">
        <f>AND('Group Team Show'!C10,"AAAAAF/x65g=")</f>
        <v>#VALUE!</v>
      </c>
      <c r="EX7" t="e">
        <f>AND('Group Team Show'!D10,"AAAAAF/x65k=")</f>
        <v>#VALUE!</v>
      </c>
      <c r="EY7" t="e">
        <f>AND('Group Team Show'!E10,"AAAAAF/x65o=")</f>
        <v>#VALUE!</v>
      </c>
      <c r="EZ7" t="e">
        <f>AND('Group Team Show'!F10,"AAAAAF/x65s=")</f>
        <v>#VALUE!</v>
      </c>
      <c r="FA7" t="e">
        <f>AND('Group Team Show'!G10,"AAAAAF/x65w=")</f>
        <v>#VALUE!</v>
      </c>
      <c r="FB7" t="e">
        <f>AND('Group Team Show'!H10,"AAAAAF/x650=")</f>
        <v>#VALUE!</v>
      </c>
      <c r="FC7" t="e">
        <f>AND('Group Team Show'!I10,"AAAAAF/x654=")</f>
        <v>#VALUE!</v>
      </c>
      <c r="FD7" t="e">
        <f>AND('Group Team Show'!J10,"AAAAAF/x658=")</f>
        <v>#VALUE!</v>
      </c>
      <c r="FE7" t="e">
        <f>AND('Group Team Show'!K10,"AAAAAF/x66A=")</f>
        <v>#VALUE!</v>
      </c>
      <c r="FF7" t="e">
        <f>AND('Group Team Show'!L10,"AAAAAF/x66E=")</f>
        <v>#VALUE!</v>
      </c>
      <c r="FG7" t="e">
        <f>AND('Group Team Show'!M10,"AAAAAF/x66I=")</f>
        <v>#VALUE!</v>
      </c>
      <c r="FH7">
        <f>IF('Group Team Show'!11:11,"AAAAAF/x66M=",0)</f>
        <v>0</v>
      </c>
      <c r="FI7" t="e">
        <f>AND('Group Team Show'!A11,"AAAAAF/x66Q=")</f>
        <v>#VALUE!</v>
      </c>
      <c r="FJ7" t="e">
        <f>AND('Group Team Show'!B11,"AAAAAF/x66U=")</f>
        <v>#VALUE!</v>
      </c>
      <c r="FK7" t="e">
        <f>AND('Group Team Show'!C11,"AAAAAF/x66Y=")</f>
        <v>#VALUE!</v>
      </c>
      <c r="FL7" t="e">
        <f>AND('Group Team Show'!D11,"AAAAAF/x66c=")</f>
        <v>#VALUE!</v>
      </c>
      <c r="FM7" t="e">
        <f>AND('Group Team Show'!E11,"AAAAAF/x66g=")</f>
        <v>#VALUE!</v>
      </c>
      <c r="FN7" t="e">
        <f>AND('Group Team Show'!F11,"AAAAAF/x66k=")</f>
        <v>#VALUE!</v>
      </c>
      <c r="FO7" t="e">
        <f>AND('Group Team Show'!G11,"AAAAAF/x66o=")</f>
        <v>#VALUE!</v>
      </c>
      <c r="FP7" t="e">
        <f>AND('Group Team Show'!H11,"AAAAAF/x66s=")</f>
        <v>#VALUE!</v>
      </c>
      <c r="FQ7" t="e">
        <f>AND('Group Team Show'!I11,"AAAAAF/x66w=")</f>
        <v>#VALUE!</v>
      </c>
      <c r="FR7" t="e">
        <f>AND('Group Team Show'!J11,"AAAAAF/x660=")</f>
        <v>#VALUE!</v>
      </c>
      <c r="FS7" t="e">
        <f>AND('Group Team Show'!K11,"AAAAAF/x664=")</f>
        <v>#VALUE!</v>
      </c>
      <c r="FT7" t="e">
        <f>AND('Group Team Show'!L11,"AAAAAF/x668=")</f>
        <v>#VALUE!</v>
      </c>
      <c r="FU7" t="e">
        <f>AND('Group Team Show'!M11,"AAAAAF/x67A=")</f>
        <v>#VALUE!</v>
      </c>
      <c r="FV7">
        <f>IF('Group Team Show'!12:12,"AAAAAF/x67E=",0)</f>
        <v>0</v>
      </c>
      <c r="FW7" t="e">
        <f>AND('Group Team Show'!A12,"AAAAAF/x67I=")</f>
        <v>#VALUE!</v>
      </c>
      <c r="FX7" t="e">
        <f>AND('Group Team Show'!B12,"AAAAAF/x67M=")</f>
        <v>#VALUE!</v>
      </c>
      <c r="FY7" t="e">
        <f>AND('Group Team Show'!C12,"AAAAAF/x67Q=")</f>
        <v>#VALUE!</v>
      </c>
      <c r="FZ7" t="e">
        <f>AND('Group Team Show'!D12,"AAAAAF/x67U=")</f>
        <v>#VALUE!</v>
      </c>
      <c r="GA7" t="e">
        <f>AND('Group Team Show'!E12,"AAAAAF/x67Y=")</f>
        <v>#VALUE!</v>
      </c>
      <c r="GB7" t="e">
        <f>AND('Group Team Show'!F12,"AAAAAF/x67c=")</f>
        <v>#VALUE!</v>
      </c>
      <c r="GC7" t="e">
        <f>AND('Group Team Show'!G12,"AAAAAF/x67g=")</f>
        <v>#VALUE!</v>
      </c>
      <c r="GD7" t="e">
        <f>AND('Group Team Show'!H12,"AAAAAF/x67k=")</f>
        <v>#VALUE!</v>
      </c>
      <c r="GE7" t="e">
        <f>AND('Group Team Show'!I12,"AAAAAF/x67o=")</f>
        <v>#VALUE!</v>
      </c>
      <c r="GF7" t="e">
        <f>AND('Group Team Show'!J12,"AAAAAF/x67s=")</f>
        <v>#VALUE!</v>
      </c>
      <c r="GG7" t="e">
        <f>AND('Group Team Show'!K12,"AAAAAF/x67w=")</f>
        <v>#VALUE!</v>
      </c>
      <c r="GH7" t="e">
        <f>AND('Group Team Show'!L12,"AAAAAF/x670=")</f>
        <v>#VALUE!</v>
      </c>
      <c r="GI7" t="e">
        <f>AND('Group Team Show'!M12,"AAAAAF/x674=")</f>
        <v>#VALUE!</v>
      </c>
      <c r="GJ7">
        <f>IF('Group Team Show'!13:13,"AAAAAF/x678=",0)</f>
        <v>0</v>
      </c>
      <c r="GK7" t="e">
        <f>AND('Group Team Show'!A13,"AAAAAF/x68A=")</f>
        <v>#VALUE!</v>
      </c>
      <c r="GL7" t="e">
        <f>AND('Group Team Show'!B13,"AAAAAF/x68E=")</f>
        <v>#VALUE!</v>
      </c>
      <c r="GM7" t="e">
        <f>AND('Group Team Show'!C13,"AAAAAF/x68I=")</f>
        <v>#VALUE!</v>
      </c>
      <c r="GN7" t="e">
        <f>AND('Group Team Show'!D13,"AAAAAF/x68M=")</f>
        <v>#VALUE!</v>
      </c>
      <c r="GO7" t="e">
        <f>AND('Group Team Show'!E13,"AAAAAF/x68Q=")</f>
        <v>#VALUE!</v>
      </c>
      <c r="GP7" t="e">
        <f>AND('Group Team Show'!F13,"AAAAAF/x68U=")</f>
        <v>#VALUE!</v>
      </c>
      <c r="GQ7" t="e">
        <f>AND('Group Team Show'!G13,"AAAAAF/x68Y=")</f>
        <v>#VALUE!</v>
      </c>
      <c r="GR7" t="e">
        <f>AND('Group Team Show'!H13,"AAAAAF/x68c=")</f>
        <v>#VALUE!</v>
      </c>
      <c r="GS7" t="e">
        <f>AND('Group Team Show'!I13,"AAAAAF/x68g=")</f>
        <v>#VALUE!</v>
      </c>
      <c r="GT7" t="e">
        <f>AND('Group Team Show'!J13,"AAAAAF/x68k=")</f>
        <v>#VALUE!</v>
      </c>
      <c r="GU7" t="e">
        <f>AND('Group Team Show'!K13,"AAAAAF/x68o=")</f>
        <v>#VALUE!</v>
      </c>
      <c r="GV7" t="e">
        <f>AND('Group Team Show'!L13,"AAAAAF/x68s=")</f>
        <v>#VALUE!</v>
      </c>
      <c r="GW7" t="e">
        <f>AND('Group Team Show'!M13,"AAAAAF/x68w=")</f>
        <v>#VALUE!</v>
      </c>
      <c r="GX7">
        <f>IF('Group Team Show'!14:14,"AAAAAF/x680=",0)</f>
        <v>0</v>
      </c>
      <c r="GY7" t="e">
        <f>AND('Group Team Show'!A14,"AAAAAF/x684=")</f>
        <v>#VALUE!</v>
      </c>
      <c r="GZ7" t="e">
        <f>AND('Group Team Show'!B14,"AAAAAF/x688=")</f>
        <v>#VALUE!</v>
      </c>
      <c r="HA7" t="e">
        <f>AND('Group Team Show'!C14,"AAAAAF/x69A=")</f>
        <v>#VALUE!</v>
      </c>
      <c r="HB7" t="e">
        <f>AND('Group Team Show'!D14,"AAAAAF/x69E=")</f>
        <v>#VALUE!</v>
      </c>
      <c r="HC7" t="e">
        <f>AND('Group Team Show'!E14,"AAAAAF/x69I=")</f>
        <v>#VALUE!</v>
      </c>
      <c r="HD7" t="e">
        <f>AND('Group Team Show'!F14,"AAAAAF/x69M=")</f>
        <v>#VALUE!</v>
      </c>
      <c r="HE7" t="e">
        <f>AND('Group Team Show'!G14,"AAAAAF/x69Q=")</f>
        <v>#VALUE!</v>
      </c>
      <c r="HF7" t="e">
        <f>AND('Group Team Show'!H14,"AAAAAF/x69U=")</f>
        <v>#VALUE!</v>
      </c>
      <c r="HG7" t="e">
        <f>AND('Group Team Show'!I14,"AAAAAF/x69Y=")</f>
        <v>#VALUE!</v>
      </c>
      <c r="HH7" t="e">
        <f>AND('Group Team Show'!J14,"AAAAAF/x69c=")</f>
        <v>#VALUE!</v>
      </c>
      <c r="HI7" t="e">
        <f>AND('Group Team Show'!K14,"AAAAAF/x69g=")</f>
        <v>#VALUE!</v>
      </c>
      <c r="HJ7" t="e">
        <f>AND('Group Team Show'!L14,"AAAAAF/x69k=")</f>
        <v>#VALUE!</v>
      </c>
      <c r="HK7" t="e">
        <f>AND('Group Team Show'!M14,"AAAAAF/x69o=")</f>
        <v>#VALUE!</v>
      </c>
      <c r="HL7">
        <f>IF('Group Team Show'!15:15,"AAAAAF/x69s=",0)</f>
        <v>0</v>
      </c>
      <c r="HM7" t="e">
        <f>AND('Group Team Show'!A15,"AAAAAF/x69w=")</f>
        <v>#VALUE!</v>
      </c>
      <c r="HN7" t="e">
        <f>AND('Group Team Show'!B15,"AAAAAF/x690=")</f>
        <v>#VALUE!</v>
      </c>
      <c r="HO7" t="e">
        <f>AND('Group Team Show'!C15,"AAAAAF/x694=")</f>
        <v>#VALUE!</v>
      </c>
      <c r="HP7" t="e">
        <f>AND('Group Team Show'!D15,"AAAAAF/x698=")</f>
        <v>#VALUE!</v>
      </c>
      <c r="HQ7" t="e">
        <f>AND('Group Team Show'!E15,"AAAAAF/x6+A=")</f>
        <v>#VALUE!</v>
      </c>
      <c r="HR7" t="e">
        <f>AND('Group Team Show'!F15,"AAAAAF/x6+E=")</f>
        <v>#VALUE!</v>
      </c>
      <c r="HS7" t="e">
        <f>AND('Group Team Show'!G15,"AAAAAF/x6+I=")</f>
        <v>#VALUE!</v>
      </c>
      <c r="HT7" t="e">
        <f>AND('Group Team Show'!H15,"AAAAAF/x6+M=")</f>
        <v>#VALUE!</v>
      </c>
      <c r="HU7" t="e">
        <f>AND('Group Team Show'!I15,"AAAAAF/x6+Q=")</f>
        <v>#VALUE!</v>
      </c>
      <c r="HV7" t="e">
        <f>AND('Group Team Show'!J15,"AAAAAF/x6+U=")</f>
        <v>#VALUE!</v>
      </c>
      <c r="HW7" t="e">
        <f>AND('Group Team Show'!K15,"AAAAAF/x6+Y=")</f>
        <v>#VALUE!</v>
      </c>
      <c r="HX7" t="e">
        <f>AND('Group Team Show'!L15,"AAAAAF/x6+c=")</f>
        <v>#VALUE!</v>
      </c>
      <c r="HY7" t="e">
        <f>AND('Group Team Show'!M15,"AAAAAF/x6+g=")</f>
        <v>#VALUE!</v>
      </c>
      <c r="HZ7">
        <f>IF('Group Team Show'!16:16,"AAAAAF/x6+k=",0)</f>
        <v>0</v>
      </c>
      <c r="IA7" t="e">
        <f>AND('Group Team Show'!A16,"AAAAAF/x6+o=")</f>
        <v>#VALUE!</v>
      </c>
      <c r="IB7" t="e">
        <f>AND('Group Team Show'!B16,"AAAAAF/x6+s=")</f>
        <v>#VALUE!</v>
      </c>
      <c r="IC7" t="e">
        <f>AND('Group Team Show'!C16,"AAAAAF/x6+w=")</f>
        <v>#VALUE!</v>
      </c>
      <c r="ID7" t="e">
        <f>AND('Group Team Show'!D16,"AAAAAF/x6+0=")</f>
        <v>#VALUE!</v>
      </c>
      <c r="IE7" t="e">
        <f>AND('Group Team Show'!E16,"AAAAAF/x6+4=")</f>
        <v>#VALUE!</v>
      </c>
      <c r="IF7" t="e">
        <f>AND('Group Team Show'!F16,"AAAAAF/x6+8=")</f>
        <v>#VALUE!</v>
      </c>
      <c r="IG7" t="e">
        <f>AND('Group Team Show'!G16,"AAAAAF/x6/A=")</f>
        <v>#VALUE!</v>
      </c>
      <c r="IH7" t="e">
        <f>AND('Group Team Show'!H16,"AAAAAF/x6/E=")</f>
        <v>#VALUE!</v>
      </c>
      <c r="II7" t="e">
        <f>AND('Group Team Show'!I16,"AAAAAF/x6/I=")</f>
        <v>#VALUE!</v>
      </c>
      <c r="IJ7" t="e">
        <f>AND('Group Team Show'!J16,"AAAAAF/x6/M=")</f>
        <v>#VALUE!</v>
      </c>
      <c r="IK7" t="e">
        <f>AND('Group Team Show'!K16,"AAAAAF/x6/Q=")</f>
        <v>#VALUE!</v>
      </c>
      <c r="IL7" t="e">
        <f>AND('Group Team Show'!L16,"AAAAAF/x6/U=")</f>
        <v>#VALUE!</v>
      </c>
      <c r="IM7" t="e">
        <f>AND('Group Team Show'!M16,"AAAAAF/x6/Y=")</f>
        <v>#VALUE!</v>
      </c>
      <c r="IN7">
        <f>IF('Group Team Show'!17:17,"AAAAAF/x6/c=",0)</f>
        <v>0</v>
      </c>
      <c r="IO7" t="e">
        <f>AND('Group Team Show'!A17,"AAAAAF/x6/g=")</f>
        <v>#VALUE!</v>
      </c>
      <c r="IP7" t="e">
        <f>AND('Group Team Show'!B17,"AAAAAF/x6/k=")</f>
        <v>#VALUE!</v>
      </c>
      <c r="IQ7" t="e">
        <f>AND('Group Team Show'!C17,"AAAAAF/x6/o=")</f>
        <v>#VALUE!</v>
      </c>
      <c r="IR7" t="e">
        <f>AND('Group Team Show'!D17,"AAAAAF/x6/s=")</f>
        <v>#VALUE!</v>
      </c>
      <c r="IS7" t="e">
        <f>AND('Group Team Show'!E17,"AAAAAF/x6/w=")</f>
        <v>#VALUE!</v>
      </c>
      <c r="IT7" t="e">
        <f>AND('Group Team Show'!F17,"AAAAAF/x6/0=")</f>
        <v>#VALUE!</v>
      </c>
      <c r="IU7" t="e">
        <f>AND('Group Team Show'!G17,"AAAAAF/x6/4=")</f>
        <v>#VALUE!</v>
      </c>
      <c r="IV7" t="e">
        <f>AND('Group Team Show'!H17,"AAAAAF/x6/8=")</f>
        <v>#VALUE!</v>
      </c>
    </row>
    <row r="8" spans="1:256" x14ac:dyDescent="0.25">
      <c r="A8" t="e">
        <f>AND('Group Team Show'!I17,"AAAAADz7/wA=")</f>
        <v>#VALUE!</v>
      </c>
      <c r="B8" t="e">
        <f>AND('Group Team Show'!J17,"AAAAADz7/wE=")</f>
        <v>#VALUE!</v>
      </c>
      <c r="C8" t="e">
        <f>AND('Group Team Show'!K17,"AAAAADz7/wI=")</f>
        <v>#VALUE!</v>
      </c>
      <c r="D8" t="e">
        <f>AND('Group Team Show'!L17,"AAAAADz7/wM=")</f>
        <v>#VALUE!</v>
      </c>
      <c r="E8" t="e">
        <f>AND('Group Team Show'!M17,"AAAAADz7/wQ=")</f>
        <v>#VALUE!</v>
      </c>
      <c r="F8" t="e">
        <f>IF('Group Team Show'!18:18,"AAAAADz7/wU=",0)</f>
        <v>#VALUE!</v>
      </c>
      <c r="G8" t="e">
        <f>AND('Group Team Show'!A18,"AAAAADz7/wY=")</f>
        <v>#VALUE!</v>
      </c>
      <c r="H8" t="e">
        <f>AND('Group Team Show'!B18,"AAAAADz7/wc=")</f>
        <v>#VALUE!</v>
      </c>
      <c r="I8" t="e">
        <f>AND('Group Team Show'!C18,"AAAAADz7/wg=")</f>
        <v>#VALUE!</v>
      </c>
      <c r="J8" t="e">
        <f>AND('Group Team Show'!D18,"AAAAADz7/wk=")</f>
        <v>#VALUE!</v>
      </c>
      <c r="K8" t="e">
        <f>AND('Group Team Show'!E18,"AAAAADz7/wo=")</f>
        <v>#VALUE!</v>
      </c>
      <c r="L8" t="e">
        <f>AND('Group Team Show'!F18,"AAAAADz7/ws=")</f>
        <v>#VALUE!</v>
      </c>
      <c r="M8" t="e">
        <f>AND('Group Team Show'!G18,"AAAAADz7/ww=")</f>
        <v>#VALUE!</v>
      </c>
      <c r="N8" t="e">
        <f>AND('Group Team Show'!H18,"AAAAADz7/w0=")</f>
        <v>#VALUE!</v>
      </c>
      <c r="O8" t="e">
        <f>AND('Group Team Show'!I18,"AAAAADz7/w4=")</f>
        <v>#VALUE!</v>
      </c>
      <c r="P8" t="e">
        <f>AND('Group Team Show'!J18,"AAAAADz7/w8=")</f>
        <v>#VALUE!</v>
      </c>
      <c r="Q8" t="e">
        <f>AND('Group Team Show'!K18,"AAAAADz7/xA=")</f>
        <v>#VALUE!</v>
      </c>
      <c r="R8" t="e">
        <f>AND('Group Team Show'!L18,"AAAAADz7/xE=")</f>
        <v>#VALUE!</v>
      </c>
      <c r="S8" t="e">
        <f>AND('Group Team Show'!M18,"AAAAADz7/xI=")</f>
        <v>#VALUE!</v>
      </c>
      <c r="T8">
        <f>IF('Group Team Show'!19:19,"AAAAADz7/xM=",0)</f>
        <v>0</v>
      </c>
      <c r="U8" t="e">
        <f>AND('Group Team Show'!A19,"AAAAADz7/xQ=")</f>
        <v>#VALUE!</v>
      </c>
      <c r="V8" t="e">
        <f>AND('Group Team Show'!B19,"AAAAADz7/xU=")</f>
        <v>#VALUE!</v>
      </c>
      <c r="W8" t="e">
        <f>AND('Group Team Show'!C19,"AAAAADz7/xY=")</f>
        <v>#VALUE!</v>
      </c>
      <c r="X8" t="e">
        <f>AND('Group Team Show'!D19,"AAAAADz7/xc=")</f>
        <v>#VALUE!</v>
      </c>
      <c r="Y8" t="e">
        <f>AND('Group Team Show'!E19,"AAAAADz7/xg=")</f>
        <v>#VALUE!</v>
      </c>
      <c r="Z8" t="e">
        <f>AND('Group Team Show'!F19,"AAAAADz7/xk=")</f>
        <v>#VALUE!</v>
      </c>
      <c r="AA8" t="e">
        <f>AND('Group Team Show'!G19,"AAAAADz7/xo=")</f>
        <v>#VALUE!</v>
      </c>
      <c r="AB8" t="e">
        <f>AND('Group Team Show'!H19,"AAAAADz7/xs=")</f>
        <v>#VALUE!</v>
      </c>
      <c r="AC8" t="e">
        <f>AND('Group Team Show'!I19,"AAAAADz7/xw=")</f>
        <v>#VALUE!</v>
      </c>
      <c r="AD8" t="e">
        <f>AND('Group Team Show'!J19,"AAAAADz7/x0=")</f>
        <v>#VALUE!</v>
      </c>
      <c r="AE8" t="e">
        <f>AND('Group Team Show'!K19,"AAAAADz7/x4=")</f>
        <v>#VALUE!</v>
      </c>
      <c r="AF8" t="e">
        <f>AND('Group Team Show'!L19,"AAAAADz7/x8=")</f>
        <v>#VALUE!</v>
      </c>
      <c r="AG8" t="e">
        <f>AND('Group Team Show'!M19,"AAAAADz7/yA=")</f>
        <v>#VALUE!</v>
      </c>
      <c r="AH8">
        <f>IF('Group Team Show'!20:20,"AAAAADz7/yE=",0)</f>
        <v>0</v>
      </c>
      <c r="AI8" t="e">
        <f>AND('Group Team Show'!A20,"AAAAADz7/yI=")</f>
        <v>#VALUE!</v>
      </c>
      <c r="AJ8" t="e">
        <f>AND('Group Team Show'!B20,"AAAAADz7/yM=")</f>
        <v>#VALUE!</v>
      </c>
      <c r="AK8" t="e">
        <f>AND('Group Team Show'!C20,"AAAAADz7/yQ=")</f>
        <v>#VALUE!</v>
      </c>
      <c r="AL8" t="e">
        <f>AND('Group Team Show'!D20,"AAAAADz7/yU=")</f>
        <v>#VALUE!</v>
      </c>
      <c r="AM8" t="e">
        <f>AND('Group Team Show'!E20,"AAAAADz7/yY=")</f>
        <v>#VALUE!</v>
      </c>
      <c r="AN8" t="e">
        <f>AND('Group Team Show'!F20,"AAAAADz7/yc=")</f>
        <v>#VALUE!</v>
      </c>
      <c r="AO8" t="e">
        <f>AND('Group Team Show'!G20,"AAAAADz7/yg=")</f>
        <v>#VALUE!</v>
      </c>
      <c r="AP8" t="e">
        <f>AND('Group Team Show'!H20,"AAAAADz7/yk=")</f>
        <v>#VALUE!</v>
      </c>
      <c r="AQ8" t="e">
        <f>AND('Group Team Show'!I20,"AAAAADz7/yo=")</f>
        <v>#VALUE!</v>
      </c>
      <c r="AR8" t="e">
        <f>AND('Group Team Show'!J20,"AAAAADz7/ys=")</f>
        <v>#VALUE!</v>
      </c>
      <c r="AS8" t="e">
        <f>AND('Group Team Show'!K20,"AAAAADz7/yw=")</f>
        <v>#VALUE!</v>
      </c>
      <c r="AT8" t="e">
        <f>AND('Group Team Show'!L20,"AAAAADz7/y0=")</f>
        <v>#VALUE!</v>
      </c>
      <c r="AU8" t="e">
        <f>AND('Group Team Show'!M20,"AAAAADz7/y4=")</f>
        <v>#VALUE!</v>
      </c>
      <c r="AV8">
        <f>IF('Group Team Show'!21:21,"AAAAADz7/y8=",0)</f>
        <v>0</v>
      </c>
      <c r="AW8" t="e">
        <f>AND('Group Team Show'!A21,"AAAAADz7/zA=")</f>
        <v>#VALUE!</v>
      </c>
      <c r="AX8" t="e">
        <f>AND('Group Team Show'!B21,"AAAAADz7/zE=")</f>
        <v>#VALUE!</v>
      </c>
      <c r="AY8" t="e">
        <f>AND('Group Team Show'!C21,"AAAAADz7/zI=")</f>
        <v>#VALUE!</v>
      </c>
      <c r="AZ8" t="e">
        <f>AND('Group Team Show'!D21,"AAAAADz7/zM=")</f>
        <v>#VALUE!</v>
      </c>
      <c r="BA8" t="e">
        <f>AND('Group Team Show'!E21,"AAAAADz7/zQ=")</f>
        <v>#VALUE!</v>
      </c>
      <c r="BB8" t="e">
        <f>AND('Group Team Show'!F21,"AAAAADz7/zU=")</f>
        <v>#VALUE!</v>
      </c>
      <c r="BC8" t="e">
        <f>AND('Group Team Show'!G21,"AAAAADz7/zY=")</f>
        <v>#VALUE!</v>
      </c>
      <c r="BD8" t="e">
        <f>AND('Group Team Show'!H21,"AAAAADz7/zc=")</f>
        <v>#VALUE!</v>
      </c>
      <c r="BE8" t="e">
        <f>AND('Group Team Show'!I21,"AAAAADz7/zg=")</f>
        <v>#VALUE!</v>
      </c>
      <c r="BF8" t="e">
        <f>AND('Group Team Show'!J21,"AAAAADz7/zk=")</f>
        <v>#VALUE!</v>
      </c>
      <c r="BG8" t="e">
        <f>AND('Group Team Show'!K21,"AAAAADz7/zo=")</f>
        <v>#VALUE!</v>
      </c>
      <c r="BH8" t="e">
        <f>AND('Group Team Show'!L21,"AAAAADz7/zs=")</f>
        <v>#VALUE!</v>
      </c>
      <c r="BI8" t="e">
        <f>AND('Group Team Show'!M21,"AAAAADz7/zw=")</f>
        <v>#VALUE!</v>
      </c>
      <c r="BJ8">
        <f>IF('Group Team Show'!22:22,"AAAAADz7/z0=",0)</f>
        <v>0</v>
      </c>
      <c r="BK8" t="e">
        <f>AND('Group Team Show'!A22,"AAAAADz7/z4=")</f>
        <v>#VALUE!</v>
      </c>
      <c r="BL8" t="e">
        <f>AND('Group Team Show'!B22,"AAAAADz7/z8=")</f>
        <v>#VALUE!</v>
      </c>
      <c r="BM8" t="e">
        <f>AND('Group Team Show'!C22,"AAAAADz7/0A=")</f>
        <v>#VALUE!</v>
      </c>
      <c r="BN8" t="e">
        <f>AND('Group Team Show'!D22,"AAAAADz7/0E=")</f>
        <v>#VALUE!</v>
      </c>
      <c r="BO8" t="e">
        <f>AND('Group Team Show'!E22,"AAAAADz7/0I=")</f>
        <v>#VALUE!</v>
      </c>
      <c r="BP8" t="e">
        <f>AND('Group Team Show'!F22,"AAAAADz7/0M=")</f>
        <v>#VALUE!</v>
      </c>
      <c r="BQ8" t="e">
        <f>AND('Group Team Show'!G22,"AAAAADz7/0Q=")</f>
        <v>#VALUE!</v>
      </c>
      <c r="BR8" t="e">
        <f>AND('Group Team Show'!H22,"AAAAADz7/0U=")</f>
        <v>#VALUE!</v>
      </c>
      <c r="BS8" t="e">
        <f>AND('Group Team Show'!I22,"AAAAADz7/0Y=")</f>
        <v>#VALUE!</v>
      </c>
      <c r="BT8" t="e">
        <f>AND('Group Team Show'!J22,"AAAAADz7/0c=")</f>
        <v>#VALUE!</v>
      </c>
      <c r="BU8" t="e">
        <f>AND('Group Team Show'!K22,"AAAAADz7/0g=")</f>
        <v>#VALUE!</v>
      </c>
      <c r="BV8" t="e">
        <f>AND('Group Team Show'!L22,"AAAAADz7/0k=")</f>
        <v>#VALUE!</v>
      </c>
      <c r="BW8" t="e">
        <f>AND('Group Team Show'!M22,"AAAAADz7/0o=")</f>
        <v>#VALUE!</v>
      </c>
      <c r="BX8">
        <f>IF('Group Team Show'!23:23,"AAAAADz7/0s=",0)</f>
        <v>0</v>
      </c>
      <c r="BY8" t="e">
        <f>AND('Group Team Show'!A23,"AAAAADz7/0w=")</f>
        <v>#VALUE!</v>
      </c>
      <c r="BZ8" t="e">
        <f>AND('Group Team Show'!B23,"AAAAADz7/00=")</f>
        <v>#VALUE!</v>
      </c>
      <c r="CA8" t="e">
        <f>AND('Group Team Show'!C23,"AAAAADz7/04=")</f>
        <v>#VALUE!</v>
      </c>
      <c r="CB8" t="e">
        <f>AND('Group Team Show'!D23,"AAAAADz7/08=")</f>
        <v>#VALUE!</v>
      </c>
      <c r="CC8" t="e">
        <f>AND('Group Team Show'!E23,"AAAAADz7/1A=")</f>
        <v>#VALUE!</v>
      </c>
      <c r="CD8" t="e">
        <f>AND('Group Team Show'!F23,"AAAAADz7/1E=")</f>
        <v>#VALUE!</v>
      </c>
      <c r="CE8" t="e">
        <f>AND('Group Team Show'!G23,"AAAAADz7/1I=")</f>
        <v>#VALUE!</v>
      </c>
      <c r="CF8" t="e">
        <f>AND('Group Team Show'!H23,"AAAAADz7/1M=")</f>
        <v>#VALUE!</v>
      </c>
      <c r="CG8" t="e">
        <f>AND('Group Team Show'!I23,"AAAAADz7/1Q=")</f>
        <v>#VALUE!</v>
      </c>
      <c r="CH8" t="e">
        <f>AND('Group Team Show'!J23,"AAAAADz7/1U=")</f>
        <v>#VALUE!</v>
      </c>
      <c r="CI8" t="e">
        <f>AND('Group Team Show'!K23,"AAAAADz7/1Y=")</f>
        <v>#VALUE!</v>
      </c>
      <c r="CJ8" t="e">
        <f>AND('Group Team Show'!L23,"AAAAADz7/1c=")</f>
        <v>#VALUE!</v>
      </c>
      <c r="CK8" t="e">
        <f>AND('Group Team Show'!M23,"AAAAADz7/1g=")</f>
        <v>#VALUE!</v>
      </c>
      <c r="CL8">
        <f>IF('Group Team Show'!24:24,"AAAAADz7/1k=",0)</f>
        <v>0</v>
      </c>
      <c r="CM8" t="e">
        <f>AND('Group Team Show'!A24,"AAAAADz7/1o=")</f>
        <v>#VALUE!</v>
      </c>
      <c r="CN8" t="e">
        <f>AND('Group Team Show'!B24,"AAAAADz7/1s=")</f>
        <v>#VALUE!</v>
      </c>
      <c r="CO8" t="e">
        <f>AND('Group Team Show'!C24,"AAAAADz7/1w=")</f>
        <v>#VALUE!</v>
      </c>
      <c r="CP8" t="e">
        <f>AND('Group Team Show'!D24,"AAAAADz7/10=")</f>
        <v>#VALUE!</v>
      </c>
      <c r="CQ8" t="e">
        <f>AND('Group Team Show'!E24,"AAAAADz7/14=")</f>
        <v>#VALUE!</v>
      </c>
      <c r="CR8" t="e">
        <f>AND('Group Team Show'!F24,"AAAAADz7/18=")</f>
        <v>#VALUE!</v>
      </c>
      <c r="CS8" t="e">
        <f>AND('Group Team Show'!G24,"AAAAADz7/2A=")</f>
        <v>#VALUE!</v>
      </c>
      <c r="CT8" t="e">
        <f>AND('Group Team Show'!H24,"AAAAADz7/2E=")</f>
        <v>#VALUE!</v>
      </c>
      <c r="CU8" t="e">
        <f>AND('Group Team Show'!I24,"AAAAADz7/2I=")</f>
        <v>#VALUE!</v>
      </c>
      <c r="CV8" t="e">
        <f>AND('Group Team Show'!J24,"AAAAADz7/2M=")</f>
        <v>#VALUE!</v>
      </c>
      <c r="CW8" t="e">
        <f>AND('Group Team Show'!K24,"AAAAADz7/2Q=")</f>
        <v>#VALUE!</v>
      </c>
      <c r="CX8" t="e">
        <f>AND('Group Team Show'!L24,"AAAAADz7/2U=")</f>
        <v>#VALUE!</v>
      </c>
      <c r="CY8" t="e">
        <f>AND('Group Team Show'!M24,"AAAAADz7/2Y=")</f>
        <v>#VALUE!</v>
      </c>
      <c r="CZ8">
        <f>IF('Group Team Show'!25:25,"AAAAADz7/2c=",0)</f>
        <v>0</v>
      </c>
      <c r="DA8" t="e">
        <f>AND('Group Team Show'!A25,"AAAAADz7/2g=")</f>
        <v>#VALUE!</v>
      </c>
      <c r="DB8" t="e">
        <f>AND('Group Team Show'!B25,"AAAAADz7/2k=")</f>
        <v>#VALUE!</v>
      </c>
      <c r="DC8" t="e">
        <f>AND('Group Team Show'!C25,"AAAAADz7/2o=")</f>
        <v>#VALUE!</v>
      </c>
      <c r="DD8" t="e">
        <f>AND('Group Team Show'!D25,"AAAAADz7/2s=")</f>
        <v>#VALUE!</v>
      </c>
      <c r="DE8" t="e">
        <f>AND('Group Team Show'!E25,"AAAAADz7/2w=")</f>
        <v>#VALUE!</v>
      </c>
      <c r="DF8" t="e">
        <f>AND('Group Team Show'!F25,"AAAAADz7/20=")</f>
        <v>#VALUE!</v>
      </c>
      <c r="DG8" t="e">
        <f>AND('Group Team Show'!G25,"AAAAADz7/24=")</f>
        <v>#VALUE!</v>
      </c>
      <c r="DH8" t="e">
        <f>AND('Group Team Show'!H25,"AAAAADz7/28=")</f>
        <v>#VALUE!</v>
      </c>
      <c r="DI8" t="e">
        <f>AND('Group Team Show'!I25,"AAAAADz7/3A=")</f>
        <v>#VALUE!</v>
      </c>
      <c r="DJ8" t="e">
        <f>AND('Group Team Show'!J25,"AAAAADz7/3E=")</f>
        <v>#VALUE!</v>
      </c>
      <c r="DK8" t="e">
        <f>AND('Group Team Show'!K25,"AAAAADz7/3I=")</f>
        <v>#VALUE!</v>
      </c>
      <c r="DL8" t="e">
        <f>AND('Group Team Show'!L25,"AAAAADz7/3M=")</f>
        <v>#VALUE!</v>
      </c>
      <c r="DM8" t="e">
        <f>AND('Group Team Show'!M25,"AAAAADz7/3Q=")</f>
        <v>#VALUE!</v>
      </c>
      <c r="DN8">
        <f>IF('Group Team Show'!26:26,"AAAAADz7/3U=",0)</f>
        <v>0</v>
      </c>
      <c r="DO8" t="e">
        <f>AND('Group Team Show'!A26,"AAAAADz7/3Y=")</f>
        <v>#VALUE!</v>
      </c>
      <c r="DP8" t="e">
        <f>AND('Group Team Show'!B26,"AAAAADz7/3c=")</f>
        <v>#VALUE!</v>
      </c>
      <c r="DQ8" t="e">
        <f>AND('Group Team Show'!C26,"AAAAADz7/3g=")</f>
        <v>#VALUE!</v>
      </c>
      <c r="DR8" t="e">
        <f>AND('Group Team Show'!D26,"AAAAADz7/3k=")</f>
        <v>#VALUE!</v>
      </c>
      <c r="DS8" t="e">
        <f>AND('Group Team Show'!E26,"AAAAADz7/3o=")</f>
        <v>#VALUE!</v>
      </c>
      <c r="DT8" t="e">
        <f>AND('Group Team Show'!F26,"AAAAADz7/3s=")</f>
        <v>#VALUE!</v>
      </c>
      <c r="DU8" t="e">
        <f>AND('Group Team Show'!G26,"AAAAADz7/3w=")</f>
        <v>#VALUE!</v>
      </c>
      <c r="DV8" t="e">
        <f>AND('Group Team Show'!H26,"AAAAADz7/30=")</f>
        <v>#VALUE!</v>
      </c>
      <c r="DW8" t="e">
        <f>AND('Group Team Show'!I26,"AAAAADz7/34=")</f>
        <v>#VALUE!</v>
      </c>
      <c r="DX8" t="e">
        <f>AND('Group Team Show'!J26,"AAAAADz7/38=")</f>
        <v>#VALUE!</v>
      </c>
      <c r="DY8" t="e">
        <f>AND('Group Team Show'!K26,"AAAAADz7/4A=")</f>
        <v>#VALUE!</v>
      </c>
      <c r="DZ8" t="e">
        <f>AND('Group Team Show'!L26,"AAAAADz7/4E=")</f>
        <v>#VALUE!</v>
      </c>
      <c r="EA8" t="e">
        <f>AND('Group Team Show'!M26,"AAAAADz7/4I=")</f>
        <v>#VALUE!</v>
      </c>
      <c r="EB8">
        <f>IF('Group Team Show'!27:27,"AAAAADz7/4M=",0)</f>
        <v>0</v>
      </c>
      <c r="EC8" t="e">
        <f>AND('Group Team Show'!A27,"AAAAADz7/4Q=")</f>
        <v>#VALUE!</v>
      </c>
      <c r="ED8" t="e">
        <f>AND('Group Team Show'!B27,"AAAAADz7/4U=")</f>
        <v>#VALUE!</v>
      </c>
      <c r="EE8" t="e">
        <f>AND('Group Team Show'!C27,"AAAAADz7/4Y=")</f>
        <v>#VALUE!</v>
      </c>
      <c r="EF8" t="e">
        <f>AND('Group Team Show'!D27,"AAAAADz7/4c=")</f>
        <v>#VALUE!</v>
      </c>
      <c r="EG8" t="e">
        <f>AND('Group Team Show'!E27,"AAAAADz7/4g=")</f>
        <v>#VALUE!</v>
      </c>
      <c r="EH8" t="e">
        <f>AND('Group Team Show'!F27,"AAAAADz7/4k=")</f>
        <v>#VALUE!</v>
      </c>
      <c r="EI8" t="e">
        <f>AND('Group Team Show'!G27,"AAAAADz7/4o=")</f>
        <v>#VALUE!</v>
      </c>
      <c r="EJ8" t="e">
        <f>AND('Group Team Show'!H27,"AAAAADz7/4s=")</f>
        <v>#VALUE!</v>
      </c>
      <c r="EK8" t="e">
        <f>AND('Group Team Show'!I27,"AAAAADz7/4w=")</f>
        <v>#VALUE!</v>
      </c>
      <c r="EL8" t="e">
        <f>AND('Group Team Show'!J27,"AAAAADz7/40=")</f>
        <v>#VALUE!</v>
      </c>
      <c r="EM8" t="e">
        <f>AND('Group Team Show'!K27,"AAAAADz7/44=")</f>
        <v>#VALUE!</v>
      </c>
      <c r="EN8" t="e">
        <f>AND('Group Team Show'!L27,"AAAAADz7/48=")</f>
        <v>#VALUE!</v>
      </c>
      <c r="EO8" t="e">
        <f>AND('Group Team Show'!M27,"AAAAADz7/5A=")</f>
        <v>#VALUE!</v>
      </c>
      <c r="EP8">
        <f>IF('Group Team Show'!28:28,"AAAAADz7/5E=",0)</f>
        <v>0</v>
      </c>
      <c r="EQ8" t="e">
        <f>AND('Group Team Show'!A28,"AAAAADz7/5I=")</f>
        <v>#VALUE!</v>
      </c>
      <c r="ER8" t="e">
        <f>AND('Group Team Show'!B28,"AAAAADz7/5M=")</f>
        <v>#VALUE!</v>
      </c>
      <c r="ES8" t="e">
        <f>AND('Group Team Show'!C28,"AAAAADz7/5Q=")</f>
        <v>#VALUE!</v>
      </c>
      <c r="ET8" t="e">
        <f>AND('Group Team Show'!D28,"AAAAADz7/5U=")</f>
        <v>#VALUE!</v>
      </c>
      <c r="EU8" t="e">
        <f>AND('Group Team Show'!E28,"AAAAADz7/5Y=")</f>
        <v>#VALUE!</v>
      </c>
      <c r="EV8" t="e">
        <f>AND('Group Team Show'!F28,"AAAAADz7/5c=")</f>
        <v>#VALUE!</v>
      </c>
      <c r="EW8" t="e">
        <f>AND('Group Team Show'!G28,"AAAAADz7/5g=")</f>
        <v>#VALUE!</v>
      </c>
      <c r="EX8" t="e">
        <f>AND('Group Team Show'!H28,"AAAAADz7/5k=")</f>
        <v>#VALUE!</v>
      </c>
      <c r="EY8" t="e">
        <f>AND('Group Team Show'!I28,"AAAAADz7/5o=")</f>
        <v>#VALUE!</v>
      </c>
      <c r="EZ8" t="e">
        <f>AND('Group Team Show'!J28,"AAAAADz7/5s=")</f>
        <v>#VALUE!</v>
      </c>
      <c r="FA8" t="e">
        <f>AND('Group Team Show'!K28,"AAAAADz7/5w=")</f>
        <v>#VALUE!</v>
      </c>
      <c r="FB8" t="e">
        <f>AND('Group Team Show'!L28,"AAAAADz7/50=")</f>
        <v>#VALUE!</v>
      </c>
      <c r="FC8" t="e">
        <f>AND('Group Team Show'!M28,"AAAAADz7/54=")</f>
        <v>#VALUE!</v>
      </c>
      <c r="FD8">
        <f>IF('Group Team Show'!29:29,"AAAAADz7/58=",0)</f>
        <v>0</v>
      </c>
      <c r="FE8" t="e">
        <f>AND('Group Team Show'!A29,"AAAAADz7/6A=")</f>
        <v>#VALUE!</v>
      </c>
      <c r="FF8" t="e">
        <f>AND('Group Team Show'!B29,"AAAAADz7/6E=")</f>
        <v>#VALUE!</v>
      </c>
      <c r="FG8" t="e">
        <f>AND('Group Team Show'!C29,"AAAAADz7/6I=")</f>
        <v>#VALUE!</v>
      </c>
      <c r="FH8" t="e">
        <f>AND('Group Team Show'!D29,"AAAAADz7/6M=")</f>
        <v>#VALUE!</v>
      </c>
      <c r="FI8" t="e">
        <f>AND('Group Team Show'!E29,"AAAAADz7/6Q=")</f>
        <v>#VALUE!</v>
      </c>
      <c r="FJ8" t="e">
        <f>AND('Group Team Show'!F29,"AAAAADz7/6U=")</f>
        <v>#VALUE!</v>
      </c>
      <c r="FK8" t="e">
        <f>AND('Group Team Show'!G29,"AAAAADz7/6Y=")</f>
        <v>#VALUE!</v>
      </c>
      <c r="FL8" t="e">
        <f>AND('Group Team Show'!H29,"AAAAADz7/6c=")</f>
        <v>#VALUE!</v>
      </c>
      <c r="FM8" t="e">
        <f>AND('Group Team Show'!I29,"AAAAADz7/6g=")</f>
        <v>#VALUE!</v>
      </c>
      <c r="FN8" t="e">
        <f>AND('Group Team Show'!J29,"AAAAADz7/6k=")</f>
        <v>#VALUE!</v>
      </c>
      <c r="FO8" t="e">
        <f>AND('Group Team Show'!K29,"AAAAADz7/6o=")</f>
        <v>#VALUE!</v>
      </c>
      <c r="FP8" t="e">
        <f>AND('Group Team Show'!L29,"AAAAADz7/6s=")</f>
        <v>#VALUE!</v>
      </c>
      <c r="FQ8" t="e">
        <f>AND('Group Team Show'!M29,"AAAAADz7/6w=")</f>
        <v>#VALUE!</v>
      </c>
      <c r="FR8">
        <f>IF('Group Team Show'!30:30,"AAAAADz7/60=",0)</f>
        <v>0</v>
      </c>
      <c r="FS8" t="e">
        <f>AND('Group Team Show'!A30,"AAAAADz7/64=")</f>
        <v>#VALUE!</v>
      </c>
      <c r="FT8" t="e">
        <f>AND('Group Team Show'!B30,"AAAAADz7/68=")</f>
        <v>#VALUE!</v>
      </c>
      <c r="FU8" t="e">
        <f>AND('Group Team Show'!C30,"AAAAADz7/7A=")</f>
        <v>#VALUE!</v>
      </c>
      <c r="FV8" t="e">
        <f>AND('Group Team Show'!D30,"AAAAADz7/7E=")</f>
        <v>#VALUE!</v>
      </c>
      <c r="FW8" t="e">
        <f>AND('Group Team Show'!E30,"AAAAADz7/7I=")</f>
        <v>#VALUE!</v>
      </c>
      <c r="FX8" t="e">
        <f>AND('Group Team Show'!F30,"AAAAADz7/7M=")</f>
        <v>#VALUE!</v>
      </c>
      <c r="FY8" t="e">
        <f>AND('Group Team Show'!G30,"AAAAADz7/7Q=")</f>
        <v>#VALUE!</v>
      </c>
      <c r="FZ8" t="e">
        <f>AND('Group Team Show'!H30,"AAAAADz7/7U=")</f>
        <v>#VALUE!</v>
      </c>
      <c r="GA8" t="e">
        <f>AND('Group Team Show'!I30,"AAAAADz7/7Y=")</f>
        <v>#VALUE!</v>
      </c>
      <c r="GB8" t="e">
        <f>AND('Group Team Show'!J30,"AAAAADz7/7c=")</f>
        <v>#VALUE!</v>
      </c>
      <c r="GC8" t="e">
        <f>AND('Group Team Show'!K30,"AAAAADz7/7g=")</f>
        <v>#VALUE!</v>
      </c>
      <c r="GD8" t="e">
        <f>AND('Group Team Show'!L30,"AAAAADz7/7k=")</f>
        <v>#VALUE!</v>
      </c>
      <c r="GE8" t="e">
        <f>AND('Group Team Show'!M30,"AAAAADz7/7o=")</f>
        <v>#VALUE!</v>
      </c>
      <c r="GF8">
        <f>IF('Group Team Show'!31:31,"AAAAADz7/7s=",0)</f>
        <v>0</v>
      </c>
      <c r="GG8" t="e">
        <f>AND('Group Team Show'!A31,"AAAAADz7/7w=")</f>
        <v>#VALUE!</v>
      </c>
      <c r="GH8" t="e">
        <f>AND('Group Team Show'!B31,"AAAAADz7/70=")</f>
        <v>#VALUE!</v>
      </c>
      <c r="GI8" t="e">
        <f>AND('Group Team Show'!C31,"AAAAADz7/74=")</f>
        <v>#VALUE!</v>
      </c>
      <c r="GJ8" t="e">
        <f>AND('Group Team Show'!D31,"AAAAADz7/78=")</f>
        <v>#VALUE!</v>
      </c>
      <c r="GK8" t="e">
        <f>AND('Group Team Show'!E31,"AAAAADz7/8A=")</f>
        <v>#VALUE!</v>
      </c>
      <c r="GL8" t="e">
        <f>AND('Group Team Show'!F31,"AAAAADz7/8E=")</f>
        <v>#VALUE!</v>
      </c>
      <c r="GM8" t="e">
        <f>AND('Group Team Show'!G31,"AAAAADz7/8I=")</f>
        <v>#VALUE!</v>
      </c>
      <c r="GN8" t="e">
        <f>AND('Group Team Show'!H31,"AAAAADz7/8M=")</f>
        <v>#VALUE!</v>
      </c>
      <c r="GO8" t="e">
        <f>AND('Group Team Show'!I31,"AAAAADz7/8Q=")</f>
        <v>#VALUE!</v>
      </c>
      <c r="GP8" t="e">
        <f>AND('Group Team Show'!J31,"AAAAADz7/8U=")</f>
        <v>#VALUE!</v>
      </c>
      <c r="GQ8" t="e">
        <f>AND('Group Team Show'!K31,"AAAAADz7/8Y=")</f>
        <v>#VALUE!</v>
      </c>
      <c r="GR8" t="e">
        <f>AND('Group Team Show'!L31,"AAAAADz7/8c=")</f>
        <v>#VALUE!</v>
      </c>
      <c r="GS8" t="e">
        <f>AND('Group Team Show'!M31,"AAAAADz7/8g=")</f>
        <v>#VALUE!</v>
      </c>
      <c r="GT8">
        <f>IF('Group Team Show'!32:32,"AAAAADz7/8k=",0)</f>
        <v>0</v>
      </c>
      <c r="GU8" t="e">
        <f>AND('Group Team Show'!A32,"AAAAADz7/8o=")</f>
        <v>#VALUE!</v>
      </c>
      <c r="GV8" t="e">
        <f>AND('Group Team Show'!B32,"AAAAADz7/8s=")</f>
        <v>#VALUE!</v>
      </c>
      <c r="GW8" t="e">
        <f>AND('Group Team Show'!C32,"AAAAADz7/8w=")</f>
        <v>#VALUE!</v>
      </c>
      <c r="GX8" t="e">
        <f>AND('Group Team Show'!D32,"AAAAADz7/80=")</f>
        <v>#VALUE!</v>
      </c>
      <c r="GY8" t="e">
        <f>AND('Group Team Show'!E32,"AAAAADz7/84=")</f>
        <v>#VALUE!</v>
      </c>
      <c r="GZ8" t="e">
        <f>AND('Group Team Show'!F32,"AAAAADz7/88=")</f>
        <v>#VALUE!</v>
      </c>
      <c r="HA8" t="e">
        <f>AND('Group Team Show'!G32,"AAAAADz7/9A=")</f>
        <v>#VALUE!</v>
      </c>
      <c r="HB8" t="e">
        <f>AND('Group Team Show'!H32,"AAAAADz7/9E=")</f>
        <v>#VALUE!</v>
      </c>
      <c r="HC8" t="e">
        <f>AND('Group Team Show'!I32,"AAAAADz7/9I=")</f>
        <v>#VALUE!</v>
      </c>
      <c r="HD8" t="e">
        <f>AND('Group Team Show'!J32,"AAAAADz7/9M=")</f>
        <v>#VALUE!</v>
      </c>
      <c r="HE8" t="e">
        <f>AND('Group Team Show'!K32,"AAAAADz7/9Q=")</f>
        <v>#VALUE!</v>
      </c>
      <c r="HF8" t="e">
        <f>AND('Group Team Show'!L32,"AAAAADz7/9U=")</f>
        <v>#VALUE!</v>
      </c>
      <c r="HG8" t="e">
        <f>AND('Group Team Show'!M32,"AAAAADz7/9Y=")</f>
        <v>#VALUE!</v>
      </c>
      <c r="HH8">
        <f>IF('Group Team Show'!33:33,"AAAAADz7/9c=",0)</f>
        <v>0</v>
      </c>
      <c r="HI8" t="e">
        <f>AND('Group Team Show'!A33,"AAAAADz7/9g=")</f>
        <v>#VALUE!</v>
      </c>
      <c r="HJ8" t="e">
        <f>AND('Group Team Show'!B33,"AAAAADz7/9k=")</f>
        <v>#VALUE!</v>
      </c>
      <c r="HK8" t="e">
        <f>AND('Group Team Show'!C33,"AAAAADz7/9o=")</f>
        <v>#VALUE!</v>
      </c>
      <c r="HL8" t="e">
        <f>AND('Group Team Show'!D33,"AAAAADz7/9s=")</f>
        <v>#VALUE!</v>
      </c>
      <c r="HM8" t="e">
        <f>AND('Group Team Show'!E33,"AAAAADz7/9w=")</f>
        <v>#VALUE!</v>
      </c>
      <c r="HN8" t="e">
        <f>AND('Group Team Show'!F33,"AAAAADz7/90=")</f>
        <v>#VALUE!</v>
      </c>
      <c r="HO8" t="e">
        <f>AND('Group Team Show'!G33,"AAAAADz7/94=")</f>
        <v>#VALUE!</v>
      </c>
      <c r="HP8" t="e">
        <f>AND('Group Team Show'!H33,"AAAAADz7/98=")</f>
        <v>#VALUE!</v>
      </c>
      <c r="HQ8" t="e">
        <f>AND('Group Team Show'!I33,"AAAAADz7/+A=")</f>
        <v>#VALUE!</v>
      </c>
      <c r="HR8" t="e">
        <f>AND('Group Team Show'!J33,"AAAAADz7/+E=")</f>
        <v>#VALUE!</v>
      </c>
      <c r="HS8" t="e">
        <f>AND('Group Team Show'!K33,"AAAAADz7/+I=")</f>
        <v>#VALUE!</v>
      </c>
      <c r="HT8" t="e">
        <f>AND('Group Team Show'!L33,"AAAAADz7/+M=")</f>
        <v>#VALUE!</v>
      </c>
      <c r="HU8" t="e">
        <f>AND('Group Team Show'!M33,"AAAAADz7/+Q=")</f>
        <v>#VALUE!</v>
      </c>
      <c r="HV8">
        <f>IF('Group Team Show'!34:34,"AAAAADz7/+U=",0)</f>
        <v>0</v>
      </c>
      <c r="HW8" t="e">
        <f>AND('Group Team Show'!A34,"AAAAADz7/+Y=")</f>
        <v>#VALUE!</v>
      </c>
      <c r="HX8" t="e">
        <f>AND('Group Team Show'!B34,"AAAAADz7/+c=")</f>
        <v>#VALUE!</v>
      </c>
      <c r="HY8" t="e">
        <f>AND('Group Team Show'!C34,"AAAAADz7/+g=")</f>
        <v>#VALUE!</v>
      </c>
      <c r="HZ8" t="e">
        <f>AND('Group Team Show'!D34,"AAAAADz7/+k=")</f>
        <v>#VALUE!</v>
      </c>
      <c r="IA8" t="e">
        <f>AND('Group Team Show'!E34,"AAAAADz7/+o=")</f>
        <v>#VALUE!</v>
      </c>
      <c r="IB8" t="e">
        <f>AND('Group Team Show'!F34,"AAAAADz7/+s=")</f>
        <v>#VALUE!</v>
      </c>
      <c r="IC8" t="e">
        <f>AND('Group Team Show'!G34,"AAAAADz7/+w=")</f>
        <v>#VALUE!</v>
      </c>
      <c r="ID8" t="e">
        <f>AND('Group Team Show'!H34,"AAAAADz7/+0=")</f>
        <v>#VALUE!</v>
      </c>
      <c r="IE8" t="e">
        <f>AND('Group Team Show'!I34,"AAAAADz7/+4=")</f>
        <v>#VALUE!</v>
      </c>
      <c r="IF8" t="e">
        <f>AND('Group Team Show'!J34,"AAAAADz7/+8=")</f>
        <v>#VALUE!</v>
      </c>
      <c r="IG8" t="e">
        <f>AND('Group Team Show'!K34,"AAAAADz7//A=")</f>
        <v>#VALUE!</v>
      </c>
      <c r="IH8" t="e">
        <f>AND('Group Team Show'!L34,"AAAAADz7//E=")</f>
        <v>#VALUE!</v>
      </c>
      <c r="II8" t="e">
        <f>AND('Group Team Show'!M34,"AAAAADz7//I=")</f>
        <v>#VALUE!</v>
      </c>
      <c r="IJ8">
        <f>IF('Group Team Show'!35:35,"AAAAADz7//M=",0)</f>
        <v>0</v>
      </c>
      <c r="IK8" t="e">
        <f>AND('Group Team Show'!A35,"AAAAADz7//Q=")</f>
        <v>#VALUE!</v>
      </c>
      <c r="IL8" t="e">
        <f>AND('Group Team Show'!B35,"AAAAADz7//U=")</f>
        <v>#VALUE!</v>
      </c>
      <c r="IM8" t="e">
        <f>AND('Group Team Show'!C35,"AAAAADz7//Y=")</f>
        <v>#VALUE!</v>
      </c>
      <c r="IN8" t="e">
        <f>AND('Group Team Show'!D35,"AAAAADz7//c=")</f>
        <v>#VALUE!</v>
      </c>
      <c r="IO8" t="e">
        <f>AND('Group Team Show'!E35,"AAAAADz7//g=")</f>
        <v>#VALUE!</v>
      </c>
      <c r="IP8" t="e">
        <f>AND('Group Team Show'!F35,"AAAAADz7//k=")</f>
        <v>#VALUE!</v>
      </c>
      <c r="IQ8" t="e">
        <f>AND('Group Team Show'!G35,"AAAAADz7//o=")</f>
        <v>#VALUE!</v>
      </c>
      <c r="IR8" t="e">
        <f>AND('Group Team Show'!H35,"AAAAADz7//s=")</f>
        <v>#VALUE!</v>
      </c>
      <c r="IS8" t="e">
        <f>AND('Group Team Show'!I35,"AAAAADz7//w=")</f>
        <v>#VALUE!</v>
      </c>
      <c r="IT8" t="e">
        <f>AND('Group Team Show'!J35,"AAAAADz7//0=")</f>
        <v>#VALUE!</v>
      </c>
      <c r="IU8" t="e">
        <f>AND('Group Team Show'!K35,"AAAAADz7//4=")</f>
        <v>#VALUE!</v>
      </c>
      <c r="IV8" t="e">
        <f>AND('Group Team Show'!L35,"AAAAADz7//8=")</f>
        <v>#VALUE!</v>
      </c>
    </row>
    <row r="9" spans="1:256" x14ac:dyDescent="0.25">
      <c r="A9" t="e">
        <f>AND('Group Team Show'!M35,"AAAAAE0vbgA=")</f>
        <v>#VALUE!</v>
      </c>
      <c r="B9">
        <f>IF('Group Team Show'!36:36,"AAAAAE0vbgE=",0)</f>
        <v>0</v>
      </c>
      <c r="C9" t="e">
        <f>AND('Group Team Show'!A36,"AAAAAE0vbgI=")</f>
        <v>#VALUE!</v>
      </c>
      <c r="D9" t="e">
        <f>AND('Group Team Show'!B36,"AAAAAE0vbgM=")</f>
        <v>#VALUE!</v>
      </c>
      <c r="E9" t="e">
        <f>AND('Group Team Show'!C36,"AAAAAE0vbgQ=")</f>
        <v>#VALUE!</v>
      </c>
      <c r="F9" t="e">
        <f>AND('Group Team Show'!D36,"AAAAAE0vbgU=")</f>
        <v>#VALUE!</v>
      </c>
      <c r="G9" t="e">
        <f>AND('Group Team Show'!E36,"AAAAAE0vbgY=")</f>
        <v>#VALUE!</v>
      </c>
      <c r="H9" t="e">
        <f>AND('Group Team Show'!F36,"AAAAAE0vbgc=")</f>
        <v>#VALUE!</v>
      </c>
      <c r="I9" t="e">
        <f>AND('Group Team Show'!G36,"AAAAAE0vbgg=")</f>
        <v>#VALUE!</v>
      </c>
      <c r="J9" t="e">
        <f>AND('Group Team Show'!H36,"AAAAAE0vbgk=")</f>
        <v>#VALUE!</v>
      </c>
      <c r="K9" t="e">
        <f>AND('Group Team Show'!I36,"AAAAAE0vbgo=")</f>
        <v>#VALUE!</v>
      </c>
      <c r="L9" t="e">
        <f>AND('Group Team Show'!J36,"AAAAAE0vbgs=")</f>
        <v>#VALUE!</v>
      </c>
      <c r="M9" t="e">
        <f>AND('Group Team Show'!K36,"AAAAAE0vbgw=")</f>
        <v>#VALUE!</v>
      </c>
      <c r="N9" t="e">
        <f>AND('Group Team Show'!L36,"AAAAAE0vbg0=")</f>
        <v>#VALUE!</v>
      </c>
      <c r="O9" t="e">
        <f>AND('Group Team Show'!M36,"AAAAAE0vbg4=")</f>
        <v>#VALUE!</v>
      </c>
      <c r="P9">
        <f>IF('Group Team Show'!37:37,"AAAAAE0vbg8=",0)</f>
        <v>0</v>
      </c>
      <c r="Q9" t="e">
        <f>AND('Group Team Show'!A37,"AAAAAE0vbhA=")</f>
        <v>#VALUE!</v>
      </c>
      <c r="R9" t="e">
        <f>AND('Group Team Show'!B37,"AAAAAE0vbhE=")</f>
        <v>#VALUE!</v>
      </c>
      <c r="S9" t="e">
        <f>AND('Group Team Show'!C37,"AAAAAE0vbhI=")</f>
        <v>#VALUE!</v>
      </c>
      <c r="T9" t="e">
        <f>AND('Group Team Show'!D37,"AAAAAE0vbhM=")</f>
        <v>#VALUE!</v>
      </c>
      <c r="U9" t="e">
        <f>AND('Group Team Show'!E37,"AAAAAE0vbhQ=")</f>
        <v>#VALUE!</v>
      </c>
      <c r="V9" t="e">
        <f>AND('Group Team Show'!F37,"AAAAAE0vbhU=")</f>
        <v>#VALUE!</v>
      </c>
      <c r="W9" t="e">
        <f>AND('Group Team Show'!G37,"AAAAAE0vbhY=")</f>
        <v>#VALUE!</v>
      </c>
      <c r="X9" t="e">
        <f>AND('Group Team Show'!H37,"AAAAAE0vbhc=")</f>
        <v>#VALUE!</v>
      </c>
      <c r="Y9" t="e">
        <f>AND('Group Team Show'!I37,"AAAAAE0vbhg=")</f>
        <v>#VALUE!</v>
      </c>
      <c r="Z9" t="e">
        <f>AND('Group Team Show'!J37,"AAAAAE0vbhk=")</f>
        <v>#VALUE!</v>
      </c>
      <c r="AA9" t="e">
        <f>AND('Group Team Show'!K37,"AAAAAE0vbho=")</f>
        <v>#VALUE!</v>
      </c>
      <c r="AB9" t="e">
        <f>AND('Group Team Show'!L37,"AAAAAE0vbhs=")</f>
        <v>#VALUE!</v>
      </c>
      <c r="AC9" t="e">
        <f>AND('Group Team Show'!M37,"AAAAAE0vbhw=")</f>
        <v>#VALUE!</v>
      </c>
      <c r="AD9" t="str">
        <f>IF('Group Team Show'!A:A,"AAAAAE0vbh0=",0)</f>
        <v>AAAAAE0vbh0=</v>
      </c>
      <c r="AE9" t="e">
        <f>IF('Group Team Show'!B:B,"AAAAAE0vbh4=",0)</f>
        <v>#VALUE!</v>
      </c>
      <c r="AF9" t="e">
        <f>IF('Group Team Show'!C:C,"AAAAAE0vbh8=",0)</f>
        <v>#VALUE!</v>
      </c>
      <c r="AG9">
        <f>IF('Group Team Show'!D:D,"AAAAAE0vbiA=",0)</f>
        <v>0</v>
      </c>
      <c r="AH9" t="e">
        <f>IF('Group Team Show'!E:E,"AAAAAE0vbiE=",0)</f>
        <v>#VALUE!</v>
      </c>
      <c r="AI9" t="e">
        <f>IF('Group Team Show'!F:F,"AAAAAE0vbiI=",0)</f>
        <v>#VALUE!</v>
      </c>
      <c r="AJ9">
        <f>IF('Group Team Show'!G:G,"AAAAAE0vbiM=",0)</f>
        <v>0</v>
      </c>
      <c r="AK9" t="str">
        <f>IF('Group Team Show'!H:H,"AAAAAE0vbiQ=",0)</f>
        <v>AAAAAE0vbiQ=</v>
      </c>
      <c r="AL9" t="e">
        <f>IF('Group Team Show'!I:I,"AAAAAE0vbiU=",0)</f>
        <v>#VALUE!</v>
      </c>
      <c r="AM9" t="e">
        <f>IF('Group Team Show'!J:J,"AAAAAE0vbiY=",0)</f>
        <v>#VALUE!</v>
      </c>
      <c r="AN9">
        <f>IF('Group Team Show'!K:K,"AAAAAE0vbic=",0)</f>
        <v>0</v>
      </c>
      <c r="AO9" t="e">
        <f>IF('Group Team Show'!L:L,"AAAAAE0vbig=",0)</f>
        <v>#VALUE!</v>
      </c>
      <c r="AP9" t="e">
        <f>IF('Group Team Show'!M:M,"AAAAAE0vbik=",0)</f>
        <v>#VALUE!</v>
      </c>
      <c r="AQ9">
        <f>IF('Male SR Individual Speed'!1:1,"AAAAAE0vbio=",0)</f>
        <v>0</v>
      </c>
      <c r="AR9" t="e">
        <f>AND('Male SR Individual Speed'!A1,"AAAAAE0vbis=")</f>
        <v>#VALUE!</v>
      </c>
      <c r="AS9" t="e">
        <f>AND('Male SR Individual Speed'!B1,"AAAAAE0vbiw=")</f>
        <v>#VALUE!</v>
      </c>
      <c r="AT9" t="e">
        <f>AND('Male SR Individual Speed'!C1,"AAAAAE0vbi0=")</f>
        <v>#VALUE!</v>
      </c>
      <c r="AU9" t="e">
        <f>AND('Male SR Individual Speed'!D1,"AAAAAE0vbi4=")</f>
        <v>#VALUE!</v>
      </c>
      <c r="AV9" t="e">
        <f>AND('Male SR Individual Speed'!E1,"AAAAAE0vbi8=")</f>
        <v>#VALUE!</v>
      </c>
      <c r="AW9" t="e">
        <f>AND('Male SR Individual Speed'!F1,"AAAAAE0vbjA=")</f>
        <v>#VALUE!</v>
      </c>
      <c r="AX9" t="e">
        <f>AND('Male SR Individual Speed'!G1,"AAAAAE0vbjE=")</f>
        <v>#VALUE!</v>
      </c>
      <c r="AY9" t="e">
        <f>AND('Male SR Individual Speed'!H1,"AAAAAE0vbjI=")</f>
        <v>#VALUE!</v>
      </c>
      <c r="AZ9" t="e">
        <f>AND('Male SR Individual Speed'!I1,"AAAAAE0vbjM=")</f>
        <v>#VALUE!</v>
      </c>
      <c r="BA9" t="e">
        <f>AND('Male SR Individual Speed'!J1,"AAAAAE0vbjQ=")</f>
        <v>#VALUE!</v>
      </c>
      <c r="BB9" t="e">
        <f>AND('Male SR Individual Speed'!K1,"AAAAAE0vbjU=")</f>
        <v>#VALUE!</v>
      </c>
      <c r="BC9" t="e">
        <f>AND('Male SR Individual Speed'!L1,"AAAAAE0vbjY=")</f>
        <v>#VALUE!</v>
      </c>
      <c r="BD9" t="e">
        <f>AND('Male SR Individual Speed'!M1,"AAAAAE0vbjc=")</f>
        <v>#VALUE!</v>
      </c>
      <c r="BE9">
        <f>IF('Male SR Individual Speed'!2:2,"AAAAAE0vbjg=",0)</f>
        <v>0</v>
      </c>
      <c r="BF9" t="e">
        <f>AND('Male SR Individual Speed'!A2,"AAAAAE0vbjk=")</f>
        <v>#VALUE!</v>
      </c>
      <c r="BG9" t="e">
        <f>AND('Male SR Individual Speed'!B2,"AAAAAE0vbjo=")</f>
        <v>#VALUE!</v>
      </c>
      <c r="BH9" t="e">
        <f>AND('Male SR Individual Speed'!C2,"AAAAAE0vbjs=")</f>
        <v>#VALUE!</v>
      </c>
      <c r="BI9" t="e">
        <f>AND('Male SR Individual Speed'!D2,"AAAAAE0vbjw=")</f>
        <v>#VALUE!</v>
      </c>
      <c r="BJ9" t="e">
        <f>AND('Male SR Individual Speed'!E2,"AAAAAE0vbj0=")</f>
        <v>#VALUE!</v>
      </c>
      <c r="BK9" t="e">
        <f>AND('Male SR Individual Speed'!F2,"AAAAAE0vbj4=")</f>
        <v>#VALUE!</v>
      </c>
      <c r="BL9" t="e">
        <f>AND('Male SR Individual Speed'!G2,"AAAAAE0vbj8=")</f>
        <v>#VALUE!</v>
      </c>
      <c r="BM9" t="e">
        <f>AND('Male SR Individual Speed'!H2,"AAAAAE0vbkA=")</f>
        <v>#VALUE!</v>
      </c>
      <c r="BN9" t="e">
        <f>AND('Male SR Individual Speed'!I2,"AAAAAE0vbkE=")</f>
        <v>#VALUE!</v>
      </c>
      <c r="BO9" t="e">
        <f>AND('Male SR Individual Speed'!J2,"AAAAAE0vbkI=")</f>
        <v>#VALUE!</v>
      </c>
      <c r="BP9" t="e">
        <f>AND('Male SR Individual Speed'!K2,"AAAAAE0vbkM=")</f>
        <v>#VALUE!</v>
      </c>
      <c r="BQ9" t="e">
        <f>AND('Male SR Individual Speed'!L2,"AAAAAE0vbkQ=")</f>
        <v>#VALUE!</v>
      </c>
      <c r="BR9" t="e">
        <f>AND('Male SR Individual Speed'!M2,"AAAAAE0vbkU=")</f>
        <v>#VALUE!</v>
      </c>
      <c r="BS9">
        <f>IF('Male SR Individual Speed'!15:15,"AAAAAE0vbkY=",0)</f>
        <v>0</v>
      </c>
      <c r="BT9" t="e">
        <f>AND('Male SR Individual Speed'!A15,"AAAAAE0vbkc=")</f>
        <v>#VALUE!</v>
      </c>
      <c r="BU9" t="e">
        <f>AND('Male SR Individual Speed'!B15,"AAAAAE0vbkg=")</f>
        <v>#VALUE!</v>
      </c>
      <c r="BV9" t="e">
        <f>AND('Male SR Individual Speed'!C15,"AAAAAE0vbkk=")</f>
        <v>#VALUE!</v>
      </c>
      <c r="BW9" t="e">
        <f>AND('Male SR Individual Speed'!D15,"AAAAAE0vbko=")</f>
        <v>#VALUE!</v>
      </c>
      <c r="BX9" t="e">
        <f>AND('Male SR Individual Speed'!E15,"AAAAAE0vbks=")</f>
        <v>#VALUE!</v>
      </c>
      <c r="BY9" t="e">
        <f>AND('Male SR Individual Speed'!F15,"AAAAAE0vbkw=")</f>
        <v>#VALUE!</v>
      </c>
      <c r="BZ9" t="e">
        <f>AND('Male SR Individual Speed'!G15,"AAAAAE0vbk0=")</f>
        <v>#VALUE!</v>
      </c>
      <c r="CA9" t="e">
        <f>AND('Male SR Individual Speed'!H15,"AAAAAE0vbk4=")</f>
        <v>#VALUE!</v>
      </c>
      <c r="CB9" t="e">
        <f>AND('Male SR Individual Speed'!I15,"AAAAAE0vbk8=")</f>
        <v>#VALUE!</v>
      </c>
      <c r="CC9" t="e">
        <f>AND('Male SR Individual Speed'!J15,"AAAAAE0vblA=")</f>
        <v>#VALUE!</v>
      </c>
      <c r="CD9" t="e">
        <f>AND('Male SR Individual Speed'!K15,"AAAAAE0vblE=")</f>
        <v>#VALUE!</v>
      </c>
      <c r="CE9" t="e">
        <f>AND('Male SR Individual Speed'!L15,"AAAAAE0vblI=")</f>
        <v>#VALUE!</v>
      </c>
      <c r="CF9" t="e">
        <f>AND('Male SR Individual Speed'!M15,"AAAAAE0vblM=")</f>
        <v>#VALUE!</v>
      </c>
      <c r="CG9">
        <f>IF('Male SR Individual Speed'!16:16,"AAAAAE0vblQ=",0)</f>
        <v>0</v>
      </c>
      <c r="CH9" t="e">
        <f>AND('Male SR Individual Speed'!A16,"AAAAAE0vblU=")</f>
        <v>#VALUE!</v>
      </c>
      <c r="CI9" t="e">
        <f>AND('Male SR Individual Speed'!B16,"AAAAAE0vblY=")</f>
        <v>#VALUE!</v>
      </c>
      <c r="CJ9" t="e">
        <f>AND('Male SR Individual Speed'!C16,"AAAAAE0vblc=")</f>
        <v>#VALUE!</v>
      </c>
      <c r="CK9" t="e">
        <f>AND('Male SR Individual Speed'!D16,"AAAAAE0vblg=")</f>
        <v>#VALUE!</v>
      </c>
      <c r="CL9" t="e">
        <f>AND('Male SR Individual Speed'!E16,"AAAAAE0vblk=")</f>
        <v>#VALUE!</v>
      </c>
      <c r="CM9" t="e">
        <f>AND('Male SR Individual Speed'!F16,"AAAAAE0vblo=")</f>
        <v>#VALUE!</v>
      </c>
      <c r="CN9" t="e">
        <f>AND('Male SR Individual Speed'!G16,"AAAAAE0vbls=")</f>
        <v>#VALUE!</v>
      </c>
      <c r="CO9" t="e">
        <f>AND('Male SR Individual Speed'!H16,"AAAAAE0vblw=")</f>
        <v>#VALUE!</v>
      </c>
      <c r="CP9" t="e">
        <f>AND('Male SR Individual Speed'!I16,"AAAAAE0vbl0=")</f>
        <v>#VALUE!</v>
      </c>
      <c r="CQ9" t="e">
        <f>AND('Male SR Individual Speed'!J16,"AAAAAE0vbl4=")</f>
        <v>#VALUE!</v>
      </c>
      <c r="CR9" t="e">
        <f>AND('Male SR Individual Speed'!K16,"AAAAAE0vbl8=")</f>
        <v>#VALUE!</v>
      </c>
      <c r="CS9" t="e">
        <f>AND('Male SR Individual Speed'!L16,"AAAAAE0vbmA=")</f>
        <v>#VALUE!</v>
      </c>
      <c r="CT9" t="e">
        <f>AND('Male SR Individual Speed'!M16,"AAAAAE0vbmE=")</f>
        <v>#VALUE!</v>
      </c>
      <c r="CU9">
        <f>IF('Male SR Individual Speed'!17:17,"AAAAAE0vbmI=",0)</f>
        <v>0</v>
      </c>
      <c r="CV9" t="e">
        <f>AND('Male SR Individual Speed'!A17,"AAAAAE0vbmM=")</f>
        <v>#VALUE!</v>
      </c>
      <c r="CW9" t="e">
        <f>AND('Male SR Individual Speed'!B17,"AAAAAE0vbmQ=")</f>
        <v>#VALUE!</v>
      </c>
      <c r="CX9" t="e">
        <f>AND('Male SR Individual Speed'!C17,"AAAAAE0vbmU=")</f>
        <v>#VALUE!</v>
      </c>
      <c r="CY9" t="e">
        <f>AND('Male SR Individual Speed'!D17,"AAAAAE0vbmY=")</f>
        <v>#VALUE!</v>
      </c>
      <c r="CZ9" t="e">
        <f>AND('Male SR Individual Speed'!E17,"AAAAAE0vbmc=")</f>
        <v>#VALUE!</v>
      </c>
      <c r="DA9" t="e">
        <f>AND('Male SR Individual Speed'!F17,"AAAAAE0vbmg=")</f>
        <v>#VALUE!</v>
      </c>
      <c r="DB9" t="e">
        <f>AND('Male SR Individual Speed'!G17,"AAAAAE0vbmk=")</f>
        <v>#VALUE!</v>
      </c>
      <c r="DC9" t="e">
        <f>AND('Male SR Individual Speed'!H17,"AAAAAE0vbmo=")</f>
        <v>#VALUE!</v>
      </c>
      <c r="DD9" t="e">
        <f>AND('Male SR Individual Speed'!I17,"AAAAAE0vbms=")</f>
        <v>#VALUE!</v>
      </c>
      <c r="DE9" t="e">
        <f>AND('Male SR Individual Speed'!J17,"AAAAAE0vbmw=")</f>
        <v>#VALUE!</v>
      </c>
      <c r="DF9" t="e">
        <f>AND('Male SR Individual Speed'!K17,"AAAAAE0vbm0=")</f>
        <v>#VALUE!</v>
      </c>
      <c r="DG9" t="e">
        <f>AND('Male SR Individual Speed'!L17,"AAAAAE0vbm4=")</f>
        <v>#VALUE!</v>
      </c>
      <c r="DH9" t="e">
        <f>AND('Male SR Individual Speed'!M17,"AAAAAE0vbm8=")</f>
        <v>#VALUE!</v>
      </c>
      <c r="DI9">
        <f>IF('Male SR Individual Speed'!18:18,"AAAAAE0vbnA=",0)</f>
        <v>0</v>
      </c>
      <c r="DJ9" t="e">
        <f>AND('Male SR Individual Speed'!A18,"AAAAAE0vbnE=")</f>
        <v>#VALUE!</v>
      </c>
      <c r="DK9" t="e">
        <f>AND('Male SR Individual Speed'!B18,"AAAAAE0vbnI=")</f>
        <v>#VALUE!</v>
      </c>
      <c r="DL9" t="e">
        <f>AND('Male SR Individual Speed'!C18,"AAAAAE0vbnM=")</f>
        <v>#VALUE!</v>
      </c>
      <c r="DM9" t="e">
        <f>AND('Male SR Individual Speed'!D18,"AAAAAE0vbnQ=")</f>
        <v>#VALUE!</v>
      </c>
      <c r="DN9" t="e">
        <f>AND('Male SR Individual Speed'!E18,"AAAAAE0vbnU=")</f>
        <v>#VALUE!</v>
      </c>
      <c r="DO9" t="e">
        <f>AND('Male SR Individual Speed'!F18,"AAAAAE0vbnY=")</f>
        <v>#VALUE!</v>
      </c>
      <c r="DP9" t="e">
        <f>AND('Male SR Individual Speed'!G18,"AAAAAE0vbnc=")</f>
        <v>#VALUE!</v>
      </c>
      <c r="DQ9" t="e">
        <f>AND('Male SR Individual Speed'!H18,"AAAAAE0vbng=")</f>
        <v>#VALUE!</v>
      </c>
      <c r="DR9" t="e">
        <f>AND('Male SR Individual Speed'!I18,"AAAAAE0vbnk=")</f>
        <v>#VALUE!</v>
      </c>
      <c r="DS9" t="e">
        <f>AND('Male SR Individual Speed'!J18,"AAAAAE0vbno=")</f>
        <v>#VALUE!</v>
      </c>
      <c r="DT9" t="e">
        <f>AND('Male SR Individual Speed'!K18,"AAAAAE0vbns=")</f>
        <v>#VALUE!</v>
      </c>
      <c r="DU9" t="e">
        <f>AND('Male SR Individual Speed'!L18,"AAAAAE0vbnw=")</f>
        <v>#VALUE!</v>
      </c>
      <c r="DV9" t="e">
        <f>AND('Male SR Individual Speed'!M18,"AAAAAE0vbn0=")</f>
        <v>#VALUE!</v>
      </c>
      <c r="DW9">
        <f>IF('Male SR Individual Speed'!19:19,"AAAAAE0vbn4=",0)</f>
        <v>0</v>
      </c>
      <c r="DX9" t="e">
        <f>AND('Male SR Individual Speed'!A19,"AAAAAE0vbn8=")</f>
        <v>#VALUE!</v>
      </c>
      <c r="DY9" t="e">
        <f>AND('Male SR Individual Speed'!B19,"AAAAAE0vboA=")</f>
        <v>#VALUE!</v>
      </c>
      <c r="DZ9" t="e">
        <f>AND('Male SR Individual Speed'!C19,"AAAAAE0vboE=")</f>
        <v>#VALUE!</v>
      </c>
      <c r="EA9" t="e">
        <f>AND('Male SR Individual Speed'!D19,"AAAAAE0vboI=")</f>
        <v>#VALUE!</v>
      </c>
      <c r="EB9" t="e">
        <f>AND('Male SR Individual Speed'!E19,"AAAAAE0vboM=")</f>
        <v>#VALUE!</v>
      </c>
      <c r="EC9" t="e">
        <f>AND('Male SR Individual Speed'!F19,"AAAAAE0vboQ=")</f>
        <v>#VALUE!</v>
      </c>
      <c r="ED9" t="e">
        <f>AND('Male SR Individual Speed'!G19,"AAAAAE0vboU=")</f>
        <v>#VALUE!</v>
      </c>
      <c r="EE9" t="e">
        <f>AND('Male SR Individual Speed'!H19,"AAAAAE0vboY=")</f>
        <v>#VALUE!</v>
      </c>
      <c r="EF9" t="e">
        <f>AND('Male SR Individual Speed'!I19,"AAAAAE0vboc=")</f>
        <v>#VALUE!</v>
      </c>
      <c r="EG9" t="e">
        <f>AND('Male SR Individual Speed'!J19,"AAAAAE0vbog=")</f>
        <v>#VALUE!</v>
      </c>
      <c r="EH9" t="e">
        <f>AND('Male SR Individual Speed'!K19,"AAAAAE0vbok=")</f>
        <v>#VALUE!</v>
      </c>
      <c r="EI9" t="e">
        <f>AND('Male SR Individual Speed'!L19,"AAAAAE0vboo=")</f>
        <v>#VALUE!</v>
      </c>
      <c r="EJ9" t="e">
        <f>AND('Male SR Individual Speed'!M19,"AAAAAE0vbos=")</f>
        <v>#VALUE!</v>
      </c>
      <c r="EK9">
        <f>IF('Male SR Individual Speed'!20:20,"AAAAAE0vbow=",0)</f>
        <v>0</v>
      </c>
      <c r="EL9" t="e">
        <f>AND('Male SR Individual Speed'!A20,"AAAAAE0vbo0=")</f>
        <v>#VALUE!</v>
      </c>
      <c r="EM9" t="e">
        <f>AND('Male SR Individual Speed'!B20,"AAAAAE0vbo4=")</f>
        <v>#VALUE!</v>
      </c>
      <c r="EN9" t="e">
        <f>AND('Male SR Individual Speed'!C20,"AAAAAE0vbo8=")</f>
        <v>#VALUE!</v>
      </c>
      <c r="EO9" t="e">
        <f>AND('Male SR Individual Speed'!D20,"AAAAAE0vbpA=")</f>
        <v>#VALUE!</v>
      </c>
      <c r="EP9" t="e">
        <f>AND('Male SR Individual Speed'!E20,"AAAAAE0vbpE=")</f>
        <v>#VALUE!</v>
      </c>
      <c r="EQ9" t="e">
        <f>AND('Male SR Individual Speed'!F20,"AAAAAE0vbpI=")</f>
        <v>#VALUE!</v>
      </c>
      <c r="ER9" t="e">
        <f>AND('Male SR Individual Speed'!G20,"AAAAAE0vbpM=")</f>
        <v>#VALUE!</v>
      </c>
      <c r="ES9" t="e">
        <f>AND('Male SR Individual Speed'!H20,"AAAAAE0vbpQ=")</f>
        <v>#VALUE!</v>
      </c>
      <c r="ET9" t="e">
        <f>AND('Male SR Individual Speed'!I20,"AAAAAE0vbpU=")</f>
        <v>#VALUE!</v>
      </c>
      <c r="EU9" t="e">
        <f>AND('Male SR Individual Speed'!J20,"AAAAAE0vbpY=")</f>
        <v>#VALUE!</v>
      </c>
      <c r="EV9" t="e">
        <f>AND('Male SR Individual Speed'!K20,"AAAAAE0vbpc=")</f>
        <v>#VALUE!</v>
      </c>
      <c r="EW9" t="e">
        <f>AND('Male SR Individual Speed'!L20,"AAAAAE0vbpg=")</f>
        <v>#VALUE!</v>
      </c>
      <c r="EX9" t="e">
        <f>AND('Male SR Individual Speed'!M20,"AAAAAE0vbpk=")</f>
        <v>#VALUE!</v>
      </c>
      <c r="EY9">
        <f>IF('Male SR Individual Speed'!21:21,"AAAAAE0vbpo=",0)</f>
        <v>0</v>
      </c>
      <c r="EZ9" t="e">
        <f>AND('Male SR Individual Speed'!A21,"AAAAAE0vbps=")</f>
        <v>#VALUE!</v>
      </c>
      <c r="FA9" t="e">
        <f>AND('Male SR Individual Speed'!B21,"AAAAAE0vbpw=")</f>
        <v>#VALUE!</v>
      </c>
      <c r="FB9" t="e">
        <f>AND('Male SR Individual Speed'!C21,"AAAAAE0vbp0=")</f>
        <v>#VALUE!</v>
      </c>
      <c r="FC9" t="e">
        <f>AND('Male SR Individual Speed'!D21,"AAAAAE0vbp4=")</f>
        <v>#VALUE!</v>
      </c>
      <c r="FD9" t="e">
        <f>AND('Male SR Individual Speed'!E21,"AAAAAE0vbp8=")</f>
        <v>#VALUE!</v>
      </c>
      <c r="FE9" t="e">
        <f>AND('Male SR Individual Speed'!F21,"AAAAAE0vbqA=")</f>
        <v>#VALUE!</v>
      </c>
      <c r="FF9" t="e">
        <f>AND('Male SR Individual Speed'!G21,"AAAAAE0vbqE=")</f>
        <v>#VALUE!</v>
      </c>
      <c r="FG9" t="e">
        <f>AND('Male SR Individual Speed'!H21,"AAAAAE0vbqI=")</f>
        <v>#VALUE!</v>
      </c>
      <c r="FH9" t="e">
        <f>AND('Male SR Individual Speed'!I21,"AAAAAE0vbqM=")</f>
        <v>#VALUE!</v>
      </c>
      <c r="FI9" t="e">
        <f>AND('Male SR Individual Speed'!J21,"AAAAAE0vbqQ=")</f>
        <v>#VALUE!</v>
      </c>
      <c r="FJ9" t="e">
        <f>AND('Male SR Individual Speed'!K21,"AAAAAE0vbqU=")</f>
        <v>#VALUE!</v>
      </c>
      <c r="FK9" t="e">
        <f>AND('Male SR Individual Speed'!L21,"AAAAAE0vbqY=")</f>
        <v>#VALUE!</v>
      </c>
      <c r="FL9" t="e">
        <f>AND('Male SR Individual Speed'!M21,"AAAAAE0vbqc=")</f>
        <v>#VALUE!</v>
      </c>
      <c r="FM9">
        <f>IF('Male SR Individual Speed'!22:22,"AAAAAE0vbqg=",0)</f>
        <v>0</v>
      </c>
      <c r="FN9" t="e">
        <f>AND('Male SR Individual Speed'!A22,"AAAAAE0vbqk=")</f>
        <v>#VALUE!</v>
      </c>
      <c r="FO9" t="e">
        <f>AND('Male SR Individual Speed'!B22,"AAAAAE0vbqo=")</f>
        <v>#VALUE!</v>
      </c>
      <c r="FP9" t="e">
        <f>AND('Male SR Individual Speed'!C22,"AAAAAE0vbqs=")</f>
        <v>#VALUE!</v>
      </c>
      <c r="FQ9" t="e">
        <f>AND('Male SR Individual Speed'!D22,"AAAAAE0vbqw=")</f>
        <v>#VALUE!</v>
      </c>
      <c r="FR9" t="e">
        <f>AND('Male SR Individual Speed'!E22,"AAAAAE0vbq0=")</f>
        <v>#VALUE!</v>
      </c>
      <c r="FS9" t="e">
        <f>AND('Male SR Individual Speed'!F22,"AAAAAE0vbq4=")</f>
        <v>#VALUE!</v>
      </c>
      <c r="FT9" t="e">
        <f>AND('Male SR Individual Speed'!G22,"AAAAAE0vbq8=")</f>
        <v>#VALUE!</v>
      </c>
      <c r="FU9" t="e">
        <f>AND('Male SR Individual Speed'!H22,"AAAAAE0vbrA=")</f>
        <v>#VALUE!</v>
      </c>
      <c r="FV9" t="e">
        <f>AND('Male SR Individual Speed'!I22,"AAAAAE0vbrE=")</f>
        <v>#VALUE!</v>
      </c>
      <c r="FW9" t="e">
        <f>AND('Male SR Individual Speed'!J22,"AAAAAE0vbrI=")</f>
        <v>#VALUE!</v>
      </c>
      <c r="FX9" t="e">
        <f>AND('Male SR Individual Speed'!K22,"AAAAAE0vbrM=")</f>
        <v>#VALUE!</v>
      </c>
      <c r="FY9" t="e">
        <f>AND('Male SR Individual Speed'!L22,"AAAAAE0vbrQ=")</f>
        <v>#VALUE!</v>
      </c>
      <c r="FZ9" t="e">
        <f>AND('Male SR Individual Speed'!M22,"AAAAAE0vbrU=")</f>
        <v>#VALUE!</v>
      </c>
      <c r="GA9">
        <f>IF('Male SR Individual Speed'!23:23,"AAAAAE0vbrY=",0)</f>
        <v>0</v>
      </c>
      <c r="GB9" t="e">
        <f>AND('Male SR Individual Speed'!A23,"AAAAAE0vbrc=")</f>
        <v>#VALUE!</v>
      </c>
      <c r="GC9" t="e">
        <f>AND('Male SR Individual Speed'!B23,"AAAAAE0vbrg=")</f>
        <v>#VALUE!</v>
      </c>
      <c r="GD9" t="e">
        <f>AND('Male SR Individual Speed'!C23,"AAAAAE0vbrk=")</f>
        <v>#VALUE!</v>
      </c>
      <c r="GE9" t="e">
        <f>AND('Male SR Individual Speed'!D23,"AAAAAE0vbro=")</f>
        <v>#VALUE!</v>
      </c>
      <c r="GF9" t="e">
        <f>AND('Male SR Individual Speed'!E23,"AAAAAE0vbrs=")</f>
        <v>#VALUE!</v>
      </c>
      <c r="GG9" t="e">
        <f>AND('Male SR Individual Speed'!F23,"AAAAAE0vbrw=")</f>
        <v>#VALUE!</v>
      </c>
      <c r="GH9" t="e">
        <f>AND('Male SR Individual Speed'!G23,"AAAAAE0vbr0=")</f>
        <v>#VALUE!</v>
      </c>
      <c r="GI9" t="e">
        <f>AND('Male SR Individual Speed'!H23,"AAAAAE0vbr4=")</f>
        <v>#VALUE!</v>
      </c>
      <c r="GJ9" t="e">
        <f>AND('Male SR Individual Speed'!I23,"AAAAAE0vbr8=")</f>
        <v>#VALUE!</v>
      </c>
      <c r="GK9" t="e">
        <f>AND('Male SR Individual Speed'!J23,"AAAAAE0vbsA=")</f>
        <v>#VALUE!</v>
      </c>
      <c r="GL9" t="e">
        <f>AND('Male SR Individual Speed'!K23,"AAAAAE0vbsE=")</f>
        <v>#VALUE!</v>
      </c>
      <c r="GM9" t="e">
        <f>AND('Male SR Individual Speed'!L23,"AAAAAE0vbsI=")</f>
        <v>#VALUE!</v>
      </c>
      <c r="GN9" t="e">
        <f>AND('Male SR Individual Speed'!M23,"AAAAAE0vbsM=")</f>
        <v>#VALUE!</v>
      </c>
      <c r="GO9">
        <f>IF('Male SR Individual Speed'!24:24,"AAAAAE0vbsQ=",0)</f>
        <v>0</v>
      </c>
      <c r="GP9" t="e">
        <f>AND('Male SR Individual Speed'!A24,"AAAAAE0vbsU=")</f>
        <v>#VALUE!</v>
      </c>
      <c r="GQ9" t="e">
        <f>AND('Male SR Individual Speed'!B24,"AAAAAE0vbsY=")</f>
        <v>#VALUE!</v>
      </c>
      <c r="GR9" t="e">
        <f>AND('Male SR Individual Speed'!C24,"AAAAAE0vbsc=")</f>
        <v>#VALUE!</v>
      </c>
      <c r="GS9" t="e">
        <f>AND('Male SR Individual Speed'!D24,"AAAAAE0vbsg=")</f>
        <v>#VALUE!</v>
      </c>
      <c r="GT9" t="e">
        <f>AND('Male SR Individual Speed'!E24,"AAAAAE0vbsk=")</f>
        <v>#VALUE!</v>
      </c>
      <c r="GU9" t="e">
        <f>AND('Male SR Individual Speed'!F24,"AAAAAE0vbso=")</f>
        <v>#VALUE!</v>
      </c>
      <c r="GV9" t="e">
        <f>AND('Male SR Individual Speed'!G24,"AAAAAE0vbss=")</f>
        <v>#VALUE!</v>
      </c>
      <c r="GW9" t="e">
        <f>AND('Male SR Individual Speed'!H24,"AAAAAE0vbsw=")</f>
        <v>#VALUE!</v>
      </c>
      <c r="GX9" t="e">
        <f>AND('Male SR Individual Speed'!I24,"AAAAAE0vbs0=")</f>
        <v>#VALUE!</v>
      </c>
      <c r="GY9" t="e">
        <f>AND('Male SR Individual Speed'!J24,"AAAAAE0vbs4=")</f>
        <v>#VALUE!</v>
      </c>
      <c r="GZ9" t="e">
        <f>AND('Male SR Individual Speed'!K24,"AAAAAE0vbs8=")</f>
        <v>#VALUE!</v>
      </c>
      <c r="HA9" t="e">
        <f>AND('Male SR Individual Speed'!L24,"AAAAAE0vbtA=")</f>
        <v>#VALUE!</v>
      </c>
      <c r="HB9" t="e">
        <f>AND('Male SR Individual Speed'!M24,"AAAAAE0vbtE=")</f>
        <v>#VALUE!</v>
      </c>
      <c r="HC9">
        <f>IF('Male SR Individual Speed'!25:25,"AAAAAE0vbtI=",0)</f>
        <v>0</v>
      </c>
      <c r="HD9" t="e">
        <f>AND('Male SR Individual Speed'!A25,"AAAAAE0vbtM=")</f>
        <v>#VALUE!</v>
      </c>
      <c r="HE9" t="e">
        <f>AND('Male SR Individual Speed'!B25,"AAAAAE0vbtQ=")</f>
        <v>#VALUE!</v>
      </c>
      <c r="HF9" t="e">
        <f>AND('Male SR Individual Speed'!C25,"AAAAAE0vbtU=")</f>
        <v>#VALUE!</v>
      </c>
      <c r="HG9" t="e">
        <f>AND('Male SR Individual Speed'!D25,"AAAAAE0vbtY=")</f>
        <v>#VALUE!</v>
      </c>
      <c r="HH9" t="e">
        <f>AND('Male SR Individual Speed'!E25,"AAAAAE0vbtc=")</f>
        <v>#VALUE!</v>
      </c>
      <c r="HI9" t="e">
        <f>AND('Male SR Individual Speed'!F25,"AAAAAE0vbtg=")</f>
        <v>#VALUE!</v>
      </c>
      <c r="HJ9" t="e">
        <f>AND('Male SR Individual Speed'!G25,"AAAAAE0vbtk=")</f>
        <v>#VALUE!</v>
      </c>
      <c r="HK9" t="e">
        <f>AND('Male SR Individual Speed'!H25,"AAAAAE0vbto=")</f>
        <v>#VALUE!</v>
      </c>
      <c r="HL9" t="e">
        <f>AND('Male SR Individual Speed'!I25,"AAAAAE0vbts=")</f>
        <v>#VALUE!</v>
      </c>
      <c r="HM9" t="e">
        <f>AND('Male SR Individual Speed'!J25,"AAAAAE0vbtw=")</f>
        <v>#VALUE!</v>
      </c>
      <c r="HN9" t="e">
        <f>AND('Male SR Individual Speed'!K25,"AAAAAE0vbt0=")</f>
        <v>#VALUE!</v>
      </c>
      <c r="HO9" t="e">
        <f>AND('Male SR Individual Speed'!L25,"AAAAAE0vbt4=")</f>
        <v>#VALUE!</v>
      </c>
      <c r="HP9" t="e">
        <f>AND('Male SR Individual Speed'!M25,"AAAAAE0vbt8=")</f>
        <v>#VALUE!</v>
      </c>
      <c r="HQ9">
        <f>IF('Male SR Individual Speed'!26:26,"AAAAAE0vbuA=",0)</f>
        <v>0</v>
      </c>
      <c r="HR9" t="e">
        <f>AND('Male SR Individual Speed'!A26,"AAAAAE0vbuE=")</f>
        <v>#VALUE!</v>
      </c>
      <c r="HS9" t="e">
        <f>AND('Male SR Individual Speed'!B26,"AAAAAE0vbuI=")</f>
        <v>#VALUE!</v>
      </c>
      <c r="HT9" t="e">
        <f>AND('Male SR Individual Speed'!C26,"AAAAAE0vbuM=")</f>
        <v>#VALUE!</v>
      </c>
      <c r="HU9" t="e">
        <f>AND('Male SR Individual Speed'!D26,"AAAAAE0vbuQ=")</f>
        <v>#VALUE!</v>
      </c>
      <c r="HV9" t="e">
        <f>AND('Male SR Individual Speed'!E26,"AAAAAE0vbuU=")</f>
        <v>#VALUE!</v>
      </c>
      <c r="HW9" t="e">
        <f>AND('Male SR Individual Speed'!F26,"AAAAAE0vbuY=")</f>
        <v>#VALUE!</v>
      </c>
      <c r="HX9" t="e">
        <f>AND('Male SR Individual Speed'!G26,"AAAAAE0vbuc=")</f>
        <v>#VALUE!</v>
      </c>
      <c r="HY9" t="e">
        <f>AND('Male SR Individual Speed'!H26,"AAAAAE0vbug=")</f>
        <v>#VALUE!</v>
      </c>
      <c r="HZ9" t="e">
        <f>AND('Male SR Individual Speed'!I26,"AAAAAE0vbuk=")</f>
        <v>#VALUE!</v>
      </c>
      <c r="IA9" t="e">
        <f>AND('Male SR Individual Speed'!J26,"AAAAAE0vbuo=")</f>
        <v>#VALUE!</v>
      </c>
      <c r="IB9" t="e">
        <f>AND('Male SR Individual Speed'!K26,"AAAAAE0vbus=")</f>
        <v>#VALUE!</v>
      </c>
      <c r="IC9" t="e">
        <f>AND('Male SR Individual Speed'!L26,"AAAAAE0vbuw=")</f>
        <v>#VALUE!</v>
      </c>
      <c r="ID9" t="e">
        <f>AND('Male SR Individual Speed'!M26,"AAAAAE0vbu0=")</f>
        <v>#VALUE!</v>
      </c>
      <c r="IE9">
        <f>IF('Male SR Individual Speed'!27:27,"AAAAAE0vbu4=",0)</f>
        <v>0</v>
      </c>
      <c r="IF9" t="e">
        <f>AND('Male SR Individual Speed'!A27,"AAAAAE0vbu8=")</f>
        <v>#VALUE!</v>
      </c>
      <c r="IG9" t="e">
        <f>AND('Male SR Individual Speed'!B27,"AAAAAE0vbvA=")</f>
        <v>#VALUE!</v>
      </c>
      <c r="IH9" t="e">
        <f>AND('Male SR Individual Speed'!C27,"AAAAAE0vbvE=")</f>
        <v>#VALUE!</v>
      </c>
      <c r="II9" t="e">
        <f>AND('Male SR Individual Speed'!D27,"AAAAAE0vbvI=")</f>
        <v>#VALUE!</v>
      </c>
      <c r="IJ9" t="e">
        <f>AND('Male SR Individual Speed'!E27,"AAAAAE0vbvM=")</f>
        <v>#VALUE!</v>
      </c>
      <c r="IK9" t="e">
        <f>AND('Male SR Individual Speed'!F27,"AAAAAE0vbvQ=")</f>
        <v>#VALUE!</v>
      </c>
      <c r="IL9" t="e">
        <f>AND('Male SR Individual Speed'!G27,"AAAAAE0vbvU=")</f>
        <v>#VALUE!</v>
      </c>
      <c r="IM9" t="e">
        <f>AND('Male SR Individual Speed'!H27,"AAAAAE0vbvY=")</f>
        <v>#VALUE!</v>
      </c>
      <c r="IN9" t="e">
        <f>AND('Male SR Individual Speed'!I27,"AAAAAE0vbvc=")</f>
        <v>#VALUE!</v>
      </c>
      <c r="IO9" t="e">
        <f>AND('Male SR Individual Speed'!J27,"AAAAAE0vbvg=")</f>
        <v>#VALUE!</v>
      </c>
      <c r="IP9" t="e">
        <f>AND('Male SR Individual Speed'!K27,"AAAAAE0vbvk=")</f>
        <v>#VALUE!</v>
      </c>
      <c r="IQ9" t="e">
        <f>AND('Male SR Individual Speed'!L27,"AAAAAE0vbvo=")</f>
        <v>#VALUE!</v>
      </c>
      <c r="IR9" t="e">
        <f>AND('Male SR Individual Speed'!M27,"AAAAAE0vbvs=")</f>
        <v>#VALUE!</v>
      </c>
      <c r="IS9">
        <f>IF('Male SR Individual Speed'!28:28,"AAAAAE0vbvw=",0)</f>
        <v>0</v>
      </c>
      <c r="IT9" t="e">
        <f>AND('Male SR Individual Speed'!A28,"AAAAAE0vbv0=")</f>
        <v>#VALUE!</v>
      </c>
      <c r="IU9" t="e">
        <f>AND('Male SR Individual Speed'!B28,"AAAAAE0vbv4=")</f>
        <v>#VALUE!</v>
      </c>
      <c r="IV9" t="e">
        <f>AND('Male SR Individual Speed'!C28,"AAAAAE0vbv8=")</f>
        <v>#VALUE!</v>
      </c>
    </row>
    <row r="10" spans="1:256" x14ac:dyDescent="0.25">
      <c r="A10" t="e">
        <f>AND('Male SR Individual Speed'!D28,"AAAAAFL/dwA=")</f>
        <v>#VALUE!</v>
      </c>
      <c r="B10" t="e">
        <f>AND('Male SR Individual Speed'!E28,"AAAAAFL/dwE=")</f>
        <v>#VALUE!</v>
      </c>
      <c r="C10" t="e">
        <f>AND('Male SR Individual Speed'!F28,"AAAAAFL/dwI=")</f>
        <v>#VALUE!</v>
      </c>
      <c r="D10" t="e">
        <f>AND('Male SR Individual Speed'!G28,"AAAAAFL/dwM=")</f>
        <v>#VALUE!</v>
      </c>
      <c r="E10" t="e">
        <f>AND('Male SR Individual Speed'!H28,"AAAAAFL/dwQ=")</f>
        <v>#VALUE!</v>
      </c>
      <c r="F10" t="e">
        <f>AND('Male SR Individual Speed'!I28,"AAAAAFL/dwU=")</f>
        <v>#VALUE!</v>
      </c>
      <c r="G10" t="e">
        <f>AND('Male SR Individual Speed'!J28,"AAAAAFL/dwY=")</f>
        <v>#VALUE!</v>
      </c>
      <c r="H10" t="e">
        <f>AND('Male SR Individual Speed'!K28,"AAAAAFL/dwc=")</f>
        <v>#VALUE!</v>
      </c>
      <c r="I10" t="e">
        <f>AND('Male SR Individual Speed'!L28,"AAAAAFL/dwg=")</f>
        <v>#VALUE!</v>
      </c>
      <c r="J10" t="e">
        <f>AND('Male SR Individual Speed'!M28,"AAAAAFL/dwk=")</f>
        <v>#VALUE!</v>
      </c>
      <c r="K10">
        <f>IF('Male SR Individual Speed'!29:29,"AAAAAFL/dwo=",0)</f>
        <v>0</v>
      </c>
      <c r="L10" t="e">
        <f>AND('Male SR Individual Speed'!A29,"AAAAAFL/dws=")</f>
        <v>#VALUE!</v>
      </c>
      <c r="M10" t="e">
        <f>AND('Male SR Individual Speed'!B29,"AAAAAFL/dww=")</f>
        <v>#VALUE!</v>
      </c>
      <c r="N10" t="e">
        <f>AND('Male SR Individual Speed'!C29,"AAAAAFL/dw0=")</f>
        <v>#VALUE!</v>
      </c>
      <c r="O10" t="e">
        <f>AND('Male SR Individual Speed'!D29,"AAAAAFL/dw4=")</f>
        <v>#VALUE!</v>
      </c>
      <c r="P10" t="e">
        <f>AND('Male SR Individual Speed'!E29,"AAAAAFL/dw8=")</f>
        <v>#VALUE!</v>
      </c>
      <c r="Q10" t="e">
        <f>AND('Male SR Individual Speed'!F29,"AAAAAFL/dxA=")</f>
        <v>#VALUE!</v>
      </c>
      <c r="R10" t="e">
        <f>AND('Male SR Individual Speed'!G29,"AAAAAFL/dxE=")</f>
        <v>#VALUE!</v>
      </c>
      <c r="S10" t="e">
        <f>AND('Male SR Individual Speed'!H29,"AAAAAFL/dxI=")</f>
        <v>#VALUE!</v>
      </c>
      <c r="T10" t="e">
        <f>AND('Male SR Individual Speed'!I29,"AAAAAFL/dxM=")</f>
        <v>#VALUE!</v>
      </c>
      <c r="U10" t="e">
        <f>AND('Male SR Individual Speed'!J29,"AAAAAFL/dxQ=")</f>
        <v>#VALUE!</v>
      </c>
      <c r="V10" t="e">
        <f>AND('Male SR Individual Speed'!K29,"AAAAAFL/dxU=")</f>
        <v>#VALUE!</v>
      </c>
      <c r="W10" t="e">
        <f>AND('Male SR Individual Speed'!L29,"AAAAAFL/dxY=")</f>
        <v>#VALUE!</v>
      </c>
      <c r="X10" t="e">
        <f>AND('Male SR Individual Speed'!M29,"AAAAAFL/dxc=")</f>
        <v>#VALUE!</v>
      </c>
      <c r="Y10">
        <f>IF('Male SR Individual Speed'!30:30,"AAAAAFL/dxg=",0)</f>
        <v>0</v>
      </c>
      <c r="Z10" t="e">
        <f>AND('Male SR Individual Speed'!A30,"AAAAAFL/dxk=")</f>
        <v>#VALUE!</v>
      </c>
      <c r="AA10" t="e">
        <f>AND('Male SR Individual Speed'!B30,"AAAAAFL/dxo=")</f>
        <v>#VALUE!</v>
      </c>
      <c r="AB10" t="e">
        <f>AND('Male SR Individual Speed'!C30,"AAAAAFL/dxs=")</f>
        <v>#VALUE!</v>
      </c>
      <c r="AC10" t="e">
        <f>AND('Male SR Individual Speed'!D30,"AAAAAFL/dxw=")</f>
        <v>#VALUE!</v>
      </c>
      <c r="AD10" t="e">
        <f>AND('Male SR Individual Speed'!E30,"AAAAAFL/dx0=")</f>
        <v>#VALUE!</v>
      </c>
      <c r="AE10" t="e">
        <f>AND('Male SR Individual Speed'!F30,"AAAAAFL/dx4=")</f>
        <v>#VALUE!</v>
      </c>
      <c r="AF10" t="e">
        <f>AND('Male SR Individual Speed'!G30,"AAAAAFL/dx8=")</f>
        <v>#VALUE!</v>
      </c>
      <c r="AG10" t="e">
        <f>AND('Male SR Individual Speed'!H30,"AAAAAFL/dyA=")</f>
        <v>#VALUE!</v>
      </c>
      <c r="AH10" t="e">
        <f>AND('Male SR Individual Speed'!I30,"AAAAAFL/dyE=")</f>
        <v>#VALUE!</v>
      </c>
      <c r="AI10" t="e">
        <f>AND('Male SR Individual Speed'!J30,"AAAAAFL/dyI=")</f>
        <v>#VALUE!</v>
      </c>
      <c r="AJ10" t="e">
        <f>AND('Male SR Individual Speed'!K30,"AAAAAFL/dyM=")</f>
        <v>#VALUE!</v>
      </c>
      <c r="AK10" t="e">
        <f>AND('Male SR Individual Speed'!L30,"AAAAAFL/dyQ=")</f>
        <v>#VALUE!</v>
      </c>
      <c r="AL10" t="e">
        <f>AND('Male SR Individual Speed'!M30,"AAAAAFL/dyU=")</f>
        <v>#VALUE!</v>
      </c>
      <c r="AM10">
        <f>IF('Male SR Individual Speed'!31:31,"AAAAAFL/dyY=",0)</f>
        <v>0</v>
      </c>
      <c r="AN10" t="e">
        <f>AND('Male SR Individual Speed'!A31,"AAAAAFL/dyc=")</f>
        <v>#VALUE!</v>
      </c>
      <c r="AO10" t="e">
        <f>AND('Male SR Individual Speed'!B31,"AAAAAFL/dyg=")</f>
        <v>#VALUE!</v>
      </c>
      <c r="AP10" t="e">
        <f>AND('Male SR Individual Speed'!C31,"AAAAAFL/dyk=")</f>
        <v>#VALUE!</v>
      </c>
      <c r="AQ10" t="e">
        <f>AND('Male SR Individual Speed'!D31,"AAAAAFL/dyo=")</f>
        <v>#VALUE!</v>
      </c>
      <c r="AR10" t="e">
        <f>AND('Male SR Individual Speed'!E31,"AAAAAFL/dys=")</f>
        <v>#VALUE!</v>
      </c>
      <c r="AS10" t="e">
        <f>AND('Male SR Individual Speed'!F31,"AAAAAFL/dyw=")</f>
        <v>#VALUE!</v>
      </c>
      <c r="AT10" t="e">
        <f>AND('Male SR Individual Speed'!G31,"AAAAAFL/dy0=")</f>
        <v>#VALUE!</v>
      </c>
      <c r="AU10" t="e">
        <f>AND('Male SR Individual Speed'!H31,"AAAAAFL/dy4=")</f>
        <v>#VALUE!</v>
      </c>
      <c r="AV10" t="e">
        <f>AND('Male SR Individual Speed'!I31,"AAAAAFL/dy8=")</f>
        <v>#VALUE!</v>
      </c>
      <c r="AW10" t="e">
        <f>AND('Male SR Individual Speed'!J31,"AAAAAFL/dzA=")</f>
        <v>#VALUE!</v>
      </c>
      <c r="AX10" t="e">
        <f>AND('Male SR Individual Speed'!K31,"AAAAAFL/dzE=")</f>
        <v>#VALUE!</v>
      </c>
      <c r="AY10" t="e">
        <f>AND('Male SR Individual Speed'!L31,"AAAAAFL/dzI=")</f>
        <v>#VALUE!</v>
      </c>
      <c r="AZ10" t="e">
        <f>AND('Male SR Individual Speed'!M31,"AAAAAFL/dzM=")</f>
        <v>#VALUE!</v>
      </c>
      <c r="BA10">
        <f>IF('Male SR Individual Speed'!32:32,"AAAAAFL/dzQ=",0)</f>
        <v>0</v>
      </c>
      <c r="BB10" t="e">
        <f>AND('Male SR Individual Speed'!A32,"AAAAAFL/dzU=")</f>
        <v>#VALUE!</v>
      </c>
      <c r="BC10" t="e">
        <f>AND('Male SR Individual Speed'!B32,"AAAAAFL/dzY=")</f>
        <v>#VALUE!</v>
      </c>
      <c r="BD10" t="e">
        <f>AND('Male SR Individual Speed'!C32,"AAAAAFL/dzc=")</f>
        <v>#VALUE!</v>
      </c>
      <c r="BE10" t="e">
        <f>AND('Male SR Individual Speed'!D32,"AAAAAFL/dzg=")</f>
        <v>#VALUE!</v>
      </c>
      <c r="BF10" t="e">
        <f>AND('Male SR Individual Speed'!E32,"AAAAAFL/dzk=")</f>
        <v>#VALUE!</v>
      </c>
      <c r="BG10" t="e">
        <f>AND('Male SR Individual Speed'!F32,"AAAAAFL/dzo=")</f>
        <v>#VALUE!</v>
      </c>
      <c r="BH10" t="e">
        <f>AND('Male SR Individual Speed'!G32,"AAAAAFL/dzs=")</f>
        <v>#VALUE!</v>
      </c>
      <c r="BI10" t="e">
        <f>AND('Male SR Individual Speed'!H32,"AAAAAFL/dzw=")</f>
        <v>#VALUE!</v>
      </c>
      <c r="BJ10" t="e">
        <f>AND('Male SR Individual Speed'!I32,"AAAAAFL/dz0=")</f>
        <v>#VALUE!</v>
      </c>
      <c r="BK10" t="e">
        <f>AND('Male SR Individual Speed'!J32,"AAAAAFL/dz4=")</f>
        <v>#VALUE!</v>
      </c>
      <c r="BL10" t="e">
        <f>AND('Male SR Individual Speed'!K32,"AAAAAFL/dz8=")</f>
        <v>#VALUE!</v>
      </c>
      <c r="BM10" t="e">
        <f>AND('Male SR Individual Speed'!L32,"AAAAAFL/d0A=")</f>
        <v>#VALUE!</v>
      </c>
      <c r="BN10" t="e">
        <f>AND('Male SR Individual Speed'!M32,"AAAAAFL/d0E=")</f>
        <v>#VALUE!</v>
      </c>
      <c r="BO10">
        <f>IF('Male SR Individual Speed'!33:33,"AAAAAFL/d0I=",0)</f>
        <v>0</v>
      </c>
      <c r="BP10" t="e">
        <f>AND('Male SR Individual Speed'!A33,"AAAAAFL/d0M=")</f>
        <v>#VALUE!</v>
      </c>
      <c r="BQ10" t="e">
        <f>AND('Male SR Individual Speed'!B33,"AAAAAFL/d0Q=")</f>
        <v>#VALUE!</v>
      </c>
      <c r="BR10" t="e">
        <f>AND('Male SR Individual Speed'!C33,"AAAAAFL/d0U=")</f>
        <v>#VALUE!</v>
      </c>
      <c r="BS10" t="e">
        <f>AND('Male SR Individual Speed'!D33,"AAAAAFL/d0Y=")</f>
        <v>#VALUE!</v>
      </c>
      <c r="BT10" t="e">
        <f>AND('Male SR Individual Speed'!E33,"AAAAAFL/d0c=")</f>
        <v>#VALUE!</v>
      </c>
      <c r="BU10" t="e">
        <f>AND('Male SR Individual Speed'!F33,"AAAAAFL/d0g=")</f>
        <v>#VALUE!</v>
      </c>
      <c r="BV10" t="e">
        <f>AND('Male SR Individual Speed'!G33,"AAAAAFL/d0k=")</f>
        <v>#VALUE!</v>
      </c>
      <c r="BW10" t="e">
        <f>AND('Male SR Individual Speed'!H33,"AAAAAFL/d0o=")</f>
        <v>#VALUE!</v>
      </c>
      <c r="BX10" t="e">
        <f>AND('Male SR Individual Speed'!I33,"AAAAAFL/d0s=")</f>
        <v>#VALUE!</v>
      </c>
      <c r="BY10" t="e">
        <f>AND('Male SR Individual Speed'!J33,"AAAAAFL/d0w=")</f>
        <v>#VALUE!</v>
      </c>
      <c r="BZ10" t="e">
        <f>AND('Male SR Individual Speed'!K33,"AAAAAFL/d00=")</f>
        <v>#VALUE!</v>
      </c>
      <c r="CA10" t="e">
        <f>AND('Male SR Individual Speed'!L33,"AAAAAFL/d04=")</f>
        <v>#VALUE!</v>
      </c>
      <c r="CB10" t="e">
        <f>AND('Male SR Individual Speed'!M33,"AAAAAFL/d08=")</f>
        <v>#VALUE!</v>
      </c>
      <c r="CC10">
        <f>IF('Male SR Individual Speed'!34:34,"AAAAAFL/d1A=",0)</f>
        <v>0</v>
      </c>
      <c r="CD10" t="e">
        <f>AND('Male SR Individual Speed'!A34,"AAAAAFL/d1E=")</f>
        <v>#VALUE!</v>
      </c>
      <c r="CE10" t="e">
        <f>AND('Male SR Individual Speed'!B34,"AAAAAFL/d1I=")</f>
        <v>#VALUE!</v>
      </c>
      <c r="CF10" t="e">
        <f>AND('Male SR Individual Speed'!C34,"AAAAAFL/d1M=")</f>
        <v>#VALUE!</v>
      </c>
      <c r="CG10" t="e">
        <f>AND('Male SR Individual Speed'!D34,"AAAAAFL/d1Q=")</f>
        <v>#VALUE!</v>
      </c>
      <c r="CH10" t="e">
        <f>AND('Male SR Individual Speed'!E34,"AAAAAFL/d1U=")</f>
        <v>#VALUE!</v>
      </c>
      <c r="CI10" t="e">
        <f>AND('Male SR Individual Speed'!F34,"AAAAAFL/d1Y=")</f>
        <v>#VALUE!</v>
      </c>
      <c r="CJ10" t="e">
        <f>AND('Male SR Individual Speed'!G34,"AAAAAFL/d1c=")</f>
        <v>#VALUE!</v>
      </c>
      <c r="CK10" t="e">
        <f>AND('Male SR Individual Speed'!H34,"AAAAAFL/d1g=")</f>
        <v>#VALUE!</v>
      </c>
      <c r="CL10" t="e">
        <f>AND('Male SR Individual Speed'!I34,"AAAAAFL/d1k=")</f>
        <v>#VALUE!</v>
      </c>
      <c r="CM10" t="e">
        <f>AND('Male SR Individual Speed'!J34,"AAAAAFL/d1o=")</f>
        <v>#VALUE!</v>
      </c>
      <c r="CN10" t="e">
        <f>AND('Male SR Individual Speed'!K34,"AAAAAFL/d1s=")</f>
        <v>#VALUE!</v>
      </c>
      <c r="CO10" t="e">
        <f>AND('Male SR Individual Speed'!L34,"AAAAAFL/d1w=")</f>
        <v>#VALUE!</v>
      </c>
      <c r="CP10" t="e">
        <f>AND('Male SR Individual Speed'!M34,"AAAAAFL/d10=")</f>
        <v>#VALUE!</v>
      </c>
      <c r="CQ10">
        <f>IF('Male SR Individual Speed'!35:35,"AAAAAFL/d14=",0)</f>
        <v>0</v>
      </c>
      <c r="CR10" t="e">
        <f>AND('Male SR Individual Speed'!A35,"AAAAAFL/d18=")</f>
        <v>#VALUE!</v>
      </c>
      <c r="CS10" t="e">
        <f>AND('Male SR Individual Speed'!B35,"AAAAAFL/d2A=")</f>
        <v>#VALUE!</v>
      </c>
      <c r="CT10" t="e">
        <f>AND('Male SR Individual Speed'!C35,"AAAAAFL/d2E=")</f>
        <v>#VALUE!</v>
      </c>
      <c r="CU10" t="e">
        <f>AND('Male SR Individual Speed'!D35,"AAAAAFL/d2I=")</f>
        <v>#VALUE!</v>
      </c>
      <c r="CV10" t="e">
        <f>AND('Male SR Individual Speed'!E35,"AAAAAFL/d2M=")</f>
        <v>#VALUE!</v>
      </c>
      <c r="CW10" t="e">
        <f>AND('Male SR Individual Speed'!F35,"AAAAAFL/d2Q=")</f>
        <v>#VALUE!</v>
      </c>
      <c r="CX10" t="e">
        <f>AND('Male SR Individual Speed'!G35,"AAAAAFL/d2U=")</f>
        <v>#VALUE!</v>
      </c>
      <c r="CY10" t="e">
        <f>AND('Male SR Individual Speed'!H35,"AAAAAFL/d2Y=")</f>
        <v>#VALUE!</v>
      </c>
      <c r="CZ10" t="e">
        <f>AND('Male SR Individual Speed'!I35,"AAAAAFL/d2c=")</f>
        <v>#VALUE!</v>
      </c>
      <c r="DA10" t="e">
        <f>AND('Male SR Individual Speed'!J35,"AAAAAFL/d2g=")</f>
        <v>#VALUE!</v>
      </c>
      <c r="DB10" t="e">
        <f>AND('Male SR Individual Speed'!K35,"AAAAAFL/d2k=")</f>
        <v>#VALUE!</v>
      </c>
      <c r="DC10" t="e">
        <f>AND('Male SR Individual Speed'!L35,"AAAAAFL/d2o=")</f>
        <v>#VALUE!</v>
      </c>
      <c r="DD10" t="e">
        <f>AND('Male SR Individual Speed'!M35,"AAAAAFL/d2s=")</f>
        <v>#VALUE!</v>
      </c>
      <c r="DE10">
        <f>IF('Male SR Individual Speed'!36:36,"AAAAAFL/d2w=",0)</f>
        <v>0</v>
      </c>
      <c r="DF10" t="e">
        <f>AND('Male SR Individual Speed'!A36,"AAAAAFL/d20=")</f>
        <v>#VALUE!</v>
      </c>
      <c r="DG10" t="e">
        <f>AND('Male SR Individual Speed'!B36,"AAAAAFL/d24=")</f>
        <v>#VALUE!</v>
      </c>
      <c r="DH10" t="e">
        <f>AND('Male SR Individual Speed'!C36,"AAAAAFL/d28=")</f>
        <v>#VALUE!</v>
      </c>
      <c r="DI10" t="e">
        <f>AND('Male SR Individual Speed'!D36,"AAAAAFL/d3A=")</f>
        <v>#VALUE!</v>
      </c>
      <c r="DJ10" t="e">
        <f>AND('Male SR Individual Speed'!E36,"AAAAAFL/d3E=")</f>
        <v>#VALUE!</v>
      </c>
      <c r="DK10" t="e">
        <f>AND('Male SR Individual Speed'!F36,"AAAAAFL/d3I=")</f>
        <v>#VALUE!</v>
      </c>
      <c r="DL10" t="e">
        <f>AND('Male SR Individual Speed'!G36,"AAAAAFL/d3M=")</f>
        <v>#VALUE!</v>
      </c>
      <c r="DM10" t="e">
        <f>AND('Male SR Individual Speed'!H36,"AAAAAFL/d3Q=")</f>
        <v>#VALUE!</v>
      </c>
      <c r="DN10" t="e">
        <f>AND('Male SR Individual Speed'!I36,"AAAAAFL/d3U=")</f>
        <v>#VALUE!</v>
      </c>
      <c r="DO10" t="e">
        <f>AND('Male SR Individual Speed'!J36,"AAAAAFL/d3Y=")</f>
        <v>#VALUE!</v>
      </c>
      <c r="DP10" t="e">
        <f>AND('Male SR Individual Speed'!K36,"AAAAAFL/d3c=")</f>
        <v>#VALUE!</v>
      </c>
      <c r="DQ10" t="e">
        <f>AND('Male SR Individual Speed'!L36,"AAAAAFL/d3g=")</f>
        <v>#VALUE!</v>
      </c>
      <c r="DR10" t="e">
        <f>AND('Male SR Individual Speed'!M36,"AAAAAFL/d3k=")</f>
        <v>#VALUE!</v>
      </c>
      <c r="DS10">
        <f>IF('Male SR Individual Speed'!37:37,"AAAAAFL/d3o=",0)</f>
        <v>0</v>
      </c>
      <c r="DT10" t="e">
        <f>AND('Male SR Individual Speed'!A37,"AAAAAFL/d3s=")</f>
        <v>#VALUE!</v>
      </c>
      <c r="DU10" t="e">
        <f>AND('Male SR Individual Speed'!B37,"AAAAAFL/d3w=")</f>
        <v>#VALUE!</v>
      </c>
      <c r="DV10" t="e">
        <f>AND('Male SR Individual Speed'!C37,"AAAAAFL/d30=")</f>
        <v>#VALUE!</v>
      </c>
      <c r="DW10" t="e">
        <f>AND('Male SR Individual Speed'!D37,"AAAAAFL/d34=")</f>
        <v>#VALUE!</v>
      </c>
      <c r="DX10" t="e">
        <f>AND('Male SR Individual Speed'!E37,"AAAAAFL/d38=")</f>
        <v>#VALUE!</v>
      </c>
      <c r="DY10" t="e">
        <f>AND('Male SR Individual Speed'!F37,"AAAAAFL/d4A=")</f>
        <v>#VALUE!</v>
      </c>
      <c r="DZ10" t="e">
        <f>AND('Male SR Individual Speed'!G37,"AAAAAFL/d4E=")</f>
        <v>#VALUE!</v>
      </c>
      <c r="EA10" t="e">
        <f>AND('Male SR Individual Speed'!H37,"AAAAAFL/d4I=")</f>
        <v>#VALUE!</v>
      </c>
      <c r="EB10" t="e">
        <f>AND('Male SR Individual Speed'!I37,"AAAAAFL/d4M=")</f>
        <v>#VALUE!</v>
      </c>
      <c r="EC10" t="e">
        <f>AND('Male SR Individual Speed'!J37,"AAAAAFL/d4Q=")</f>
        <v>#VALUE!</v>
      </c>
      <c r="ED10" t="e">
        <f>AND('Male SR Individual Speed'!K37,"AAAAAFL/d4U=")</f>
        <v>#VALUE!</v>
      </c>
      <c r="EE10" t="e">
        <f>AND('Male SR Individual Speed'!L37,"AAAAAFL/d4Y=")</f>
        <v>#VALUE!</v>
      </c>
      <c r="EF10" t="e">
        <f>AND('Male SR Individual Speed'!M37,"AAAAAFL/d4c=")</f>
        <v>#VALUE!</v>
      </c>
      <c r="EG10">
        <f>IF('Male SR Individual Speed'!38:38,"AAAAAFL/d4g=",0)</f>
        <v>0</v>
      </c>
      <c r="EH10" t="e">
        <f>AND('Male SR Individual Speed'!A38,"AAAAAFL/d4k=")</f>
        <v>#VALUE!</v>
      </c>
      <c r="EI10" t="e">
        <f>AND('Male SR Individual Speed'!B38,"AAAAAFL/d4o=")</f>
        <v>#VALUE!</v>
      </c>
      <c r="EJ10" t="e">
        <f>AND('Male SR Individual Speed'!C38,"AAAAAFL/d4s=")</f>
        <v>#VALUE!</v>
      </c>
      <c r="EK10" t="e">
        <f>AND('Male SR Individual Speed'!D38,"AAAAAFL/d4w=")</f>
        <v>#VALUE!</v>
      </c>
      <c r="EL10" t="e">
        <f>AND('Male SR Individual Speed'!E38,"AAAAAFL/d40=")</f>
        <v>#VALUE!</v>
      </c>
      <c r="EM10" t="e">
        <f>AND('Male SR Individual Speed'!F38,"AAAAAFL/d44=")</f>
        <v>#VALUE!</v>
      </c>
      <c r="EN10" t="e">
        <f>AND('Male SR Individual Speed'!G38,"AAAAAFL/d48=")</f>
        <v>#VALUE!</v>
      </c>
      <c r="EO10" t="e">
        <f>AND('Male SR Individual Speed'!H38,"AAAAAFL/d5A=")</f>
        <v>#VALUE!</v>
      </c>
      <c r="EP10" t="e">
        <f>AND('Male SR Individual Speed'!I38,"AAAAAFL/d5E=")</f>
        <v>#VALUE!</v>
      </c>
      <c r="EQ10" t="e">
        <f>AND('Male SR Individual Speed'!J38,"AAAAAFL/d5I=")</f>
        <v>#VALUE!</v>
      </c>
      <c r="ER10" t="e">
        <f>AND('Male SR Individual Speed'!K38,"AAAAAFL/d5M=")</f>
        <v>#VALUE!</v>
      </c>
      <c r="ES10" t="e">
        <f>AND('Male SR Individual Speed'!L38,"AAAAAFL/d5Q=")</f>
        <v>#VALUE!</v>
      </c>
      <c r="ET10" t="e">
        <f>AND('Male SR Individual Speed'!M38,"AAAAAFL/d5U=")</f>
        <v>#VALUE!</v>
      </c>
      <c r="EU10">
        <f>IF('Male SR Individual Speed'!39:39,"AAAAAFL/d5Y=",0)</f>
        <v>0</v>
      </c>
      <c r="EV10" t="e">
        <f>AND('Male SR Individual Speed'!A39,"AAAAAFL/d5c=")</f>
        <v>#VALUE!</v>
      </c>
      <c r="EW10" t="e">
        <f>AND('Male SR Individual Speed'!B39,"AAAAAFL/d5g=")</f>
        <v>#VALUE!</v>
      </c>
      <c r="EX10" t="e">
        <f>AND('Male SR Individual Speed'!C39,"AAAAAFL/d5k=")</f>
        <v>#VALUE!</v>
      </c>
      <c r="EY10" t="e">
        <f>AND('Male SR Individual Speed'!D39,"AAAAAFL/d5o=")</f>
        <v>#VALUE!</v>
      </c>
      <c r="EZ10" t="e">
        <f>AND('Male SR Individual Speed'!E39,"AAAAAFL/d5s=")</f>
        <v>#VALUE!</v>
      </c>
      <c r="FA10" t="e">
        <f>AND('Male SR Individual Speed'!F39,"AAAAAFL/d5w=")</f>
        <v>#VALUE!</v>
      </c>
      <c r="FB10" t="e">
        <f>AND('Male SR Individual Speed'!G39,"AAAAAFL/d50=")</f>
        <v>#VALUE!</v>
      </c>
      <c r="FC10" t="e">
        <f>AND('Male SR Individual Speed'!H39,"AAAAAFL/d54=")</f>
        <v>#VALUE!</v>
      </c>
      <c r="FD10" t="e">
        <f>AND('Male SR Individual Speed'!I39,"AAAAAFL/d58=")</f>
        <v>#VALUE!</v>
      </c>
      <c r="FE10" t="e">
        <f>AND('Male SR Individual Speed'!J39,"AAAAAFL/d6A=")</f>
        <v>#VALUE!</v>
      </c>
      <c r="FF10" t="e">
        <f>AND('Male SR Individual Speed'!K39,"AAAAAFL/d6E=")</f>
        <v>#VALUE!</v>
      </c>
      <c r="FG10" t="e">
        <f>AND('Male SR Individual Speed'!L39,"AAAAAFL/d6I=")</f>
        <v>#VALUE!</v>
      </c>
      <c r="FH10" t="e">
        <f>AND('Male SR Individual Speed'!M39,"AAAAAFL/d6M=")</f>
        <v>#VALUE!</v>
      </c>
      <c r="FI10">
        <f>IF('Male SR Individual Speed'!40:40,"AAAAAFL/d6Q=",0)</f>
        <v>0</v>
      </c>
      <c r="FJ10" t="e">
        <f>AND('Male SR Individual Speed'!A40,"AAAAAFL/d6U=")</f>
        <v>#VALUE!</v>
      </c>
      <c r="FK10" t="e">
        <f>AND('Male SR Individual Speed'!B40,"AAAAAFL/d6Y=")</f>
        <v>#VALUE!</v>
      </c>
      <c r="FL10" t="e">
        <f>AND('Male SR Individual Speed'!C40,"AAAAAFL/d6c=")</f>
        <v>#VALUE!</v>
      </c>
      <c r="FM10" t="e">
        <f>AND('Male SR Individual Speed'!D40,"AAAAAFL/d6g=")</f>
        <v>#VALUE!</v>
      </c>
      <c r="FN10" t="e">
        <f>AND('Male SR Individual Speed'!E40,"AAAAAFL/d6k=")</f>
        <v>#VALUE!</v>
      </c>
      <c r="FO10" t="e">
        <f>AND('Male SR Individual Speed'!F40,"AAAAAFL/d6o=")</f>
        <v>#VALUE!</v>
      </c>
      <c r="FP10" t="e">
        <f>AND('Male SR Individual Speed'!G40,"AAAAAFL/d6s=")</f>
        <v>#VALUE!</v>
      </c>
      <c r="FQ10" t="e">
        <f>AND('Male SR Individual Speed'!H40,"AAAAAFL/d6w=")</f>
        <v>#VALUE!</v>
      </c>
      <c r="FR10" t="e">
        <f>AND('Male SR Individual Speed'!I40,"AAAAAFL/d60=")</f>
        <v>#VALUE!</v>
      </c>
      <c r="FS10" t="e">
        <f>AND('Male SR Individual Speed'!J40,"AAAAAFL/d64=")</f>
        <v>#VALUE!</v>
      </c>
      <c r="FT10" t="e">
        <f>AND('Male SR Individual Speed'!K40,"AAAAAFL/d68=")</f>
        <v>#VALUE!</v>
      </c>
      <c r="FU10" t="e">
        <f>AND('Male SR Individual Speed'!L40,"AAAAAFL/d7A=")</f>
        <v>#VALUE!</v>
      </c>
      <c r="FV10" t="e">
        <f>AND('Male SR Individual Speed'!M40,"AAAAAFL/d7E=")</f>
        <v>#VALUE!</v>
      </c>
      <c r="FW10">
        <f>IF('Male SR Individual Speed'!41:41,"AAAAAFL/d7I=",0)</f>
        <v>0</v>
      </c>
      <c r="FX10" t="e">
        <f>AND('Male SR Individual Speed'!A41,"AAAAAFL/d7M=")</f>
        <v>#VALUE!</v>
      </c>
      <c r="FY10" t="e">
        <f>AND('Male SR Individual Speed'!B41,"AAAAAFL/d7Q=")</f>
        <v>#VALUE!</v>
      </c>
      <c r="FZ10" t="e">
        <f>AND('Male SR Individual Speed'!C41,"AAAAAFL/d7U=")</f>
        <v>#VALUE!</v>
      </c>
      <c r="GA10" t="e">
        <f>AND('Male SR Individual Speed'!D41,"AAAAAFL/d7Y=")</f>
        <v>#VALUE!</v>
      </c>
      <c r="GB10" t="e">
        <f>AND('Male SR Individual Speed'!E41,"AAAAAFL/d7c=")</f>
        <v>#VALUE!</v>
      </c>
      <c r="GC10" t="e">
        <f>AND('Male SR Individual Speed'!F41,"AAAAAFL/d7g=")</f>
        <v>#VALUE!</v>
      </c>
      <c r="GD10" t="e">
        <f>AND('Male SR Individual Speed'!G41,"AAAAAFL/d7k=")</f>
        <v>#VALUE!</v>
      </c>
      <c r="GE10" t="e">
        <f>AND('Male SR Individual Speed'!H41,"AAAAAFL/d7o=")</f>
        <v>#VALUE!</v>
      </c>
      <c r="GF10" t="e">
        <f>AND('Male SR Individual Speed'!I41,"AAAAAFL/d7s=")</f>
        <v>#VALUE!</v>
      </c>
      <c r="GG10" t="e">
        <f>AND('Male SR Individual Speed'!J41,"AAAAAFL/d7w=")</f>
        <v>#VALUE!</v>
      </c>
      <c r="GH10" t="e">
        <f>AND('Male SR Individual Speed'!K41,"AAAAAFL/d70=")</f>
        <v>#VALUE!</v>
      </c>
      <c r="GI10" t="e">
        <f>AND('Male SR Individual Speed'!L41,"AAAAAFL/d74=")</f>
        <v>#VALUE!</v>
      </c>
      <c r="GJ10" t="e">
        <f>AND('Male SR Individual Speed'!M41,"AAAAAFL/d78=")</f>
        <v>#VALUE!</v>
      </c>
      <c r="GK10">
        <f>IF('Male SR Individual Speed'!42:42,"AAAAAFL/d8A=",0)</f>
        <v>0</v>
      </c>
      <c r="GL10" t="e">
        <f>AND('Male SR Individual Speed'!A42,"AAAAAFL/d8E=")</f>
        <v>#VALUE!</v>
      </c>
      <c r="GM10" t="e">
        <f>AND('Male SR Individual Speed'!B42,"AAAAAFL/d8I=")</f>
        <v>#VALUE!</v>
      </c>
      <c r="GN10" t="e">
        <f>AND('Male SR Individual Speed'!C42,"AAAAAFL/d8M=")</f>
        <v>#VALUE!</v>
      </c>
      <c r="GO10" t="e">
        <f>AND('Male SR Individual Speed'!D42,"AAAAAFL/d8Q=")</f>
        <v>#VALUE!</v>
      </c>
      <c r="GP10" t="e">
        <f>AND('Male SR Individual Speed'!E42,"AAAAAFL/d8U=")</f>
        <v>#VALUE!</v>
      </c>
      <c r="GQ10" t="e">
        <f>AND('Male SR Individual Speed'!F42,"AAAAAFL/d8Y=")</f>
        <v>#VALUE!</v>
      </c>
      <c r="GR10" t="e">
        <f>AND('Male SR Individual Speed'!G42,"AAAAAFL/d8c=")</f>
        <v>#VALUE!</v>
      </c>
      <c r="GS10" t="e">
        <f>AND('Male SR Individual Speed'!H42,"AAAAAFL/d8g=")</f>
        <v>#VALUE!</v>
      </c>
      <c r="GT10" t="e">
        <f>AND('Male SR Individual Speed'!I42,"AAAAAFL/d8k=")</f>
        <v>#VALUE!</v>
      </c>
      <c r="GU10" t="e">
        <f>AND('Male SR Individual Speed'!J42,"AAAAAFL/d8o=")</f>
        <v>#VALUE!</v>
      </c>
      <c r="GV10" t="e">
        <f>AND('Male SR Individual Speed'!K42,"AAAAAFL/d8s=")</f>
        <v>#VALUE!</v>
      </c>
      <c r="GW10" t="e">
        <f>AND('Male SR Individual Speed'!L42,"AAAAAFL/d8w=")</f>
        <v>#VALUE!</v>
      </c>
      <c r="GX10" t="e">
        <f>AND('Male SR Individual Speed'!M42,"AAAAAFL/d80=")</f>
        <v>#VALUE!</v>
      </c>
      <c r="GY10">
        <f>IF('Male SR Individual Speed'!43:43,"AAAAAFL/d84=",0)</f>
        <v>0</v>
      </c>
      <c r="GZ10" t="e">
        <f>AND('Male SR Individual Speed'!A43,"AAAAAFL/d88=")</f>
        <v>#VALUE!</v>
      </c>
      <c r="HA10" t="e">
        <f>AND('Male SR Individual Speed'!B43,"AAAAAFL/d9A=")</f>
        <v>#VALUE!</v>
      </c>
      <c r="HB10" t="e">
        <f>AND('Male SR Individual Speed'!C43,"AAAAAFL/d9E=")</f>
        <v>#VALUE!</v>
      </c>
      <c r="HC10" t="e">
        <f>AND('Male SR Individual Speed'!D43,"AAAAAFL/d9I=")</f>
        <v>#VALUE!</v>
      </c>
      <c r="HD10" t="e">
        <f>AND('Male SR Individual Speed'!E43,"AAAAAFL/d9M=")</f>
        <v>#VALUE!</v>
      </c>
      <c r="HE10" t="e">
        <f>AND('Male SR Individual Speed'!F43,"AAAAAFL/d9Q=")</f>
        <v>#VALUE!</v>
      </c>
      <c r="HF10" t="e">
        <f>AND('Male SR Individual Speed'!G43,"AAAAAFL/d9U=")</f>
        <v>#VALUE!</v>
      </c>
      <c r="HG10" t="e">
        <f>AND('Male SR Individual Speed'!H43,"AAAAAFL/d9Y=")</f>
        <v>#VALUE!</v>
      </c>
      <c r="HH10" t="e">
        <f>AND('Male SR Individual Speed'!I43,"AAAAAFL/d9c=")</f>
        <v>#VALUE!</v>
      </c>
      <c r="HI10" t="e">
        <f>AND('Male SR Individual Speed'!J43,"AAAAAFL/d9g=")</f>
        <v>#VALUE!</v>
      </c>
      <c r="HJ10" t="e">
        <f>AND('Male SR Individual Speed'!K43,"AAAAAFL/d9k=")</f>
        <v>#VALUE!</v>
      </c>
      <c r="HK10" t="e">
        <f>AND('Male SR Individual Speed'!L43,"AAAAAFL/d9o=")</f>
        <v>#VALUE!</v>
      </c>
      <c r="HL10" t="e">
        <f>AND('Male SR Individual Speed'!M43,"AAAAAFL/d9s=")</f>
        <v>#VALUE!</v>
      </c>
      <c r="HM10">
        <f>IF('Male SR Individual Speed'!44:44,"AAAAAFL/d9w=",0)</f>
        <v>0</v>
      </c>
      <c r="HN10" t="e">
        <f>AND('Male SR Individual Speed'!A44,"AAAAAFL/d90=")</f>
        <v>#VALUE!</v>
      </c>
      <c r="HO10" t="e">
        <f>AND('Male SR Individual Speed'!B44,"AAAAAFL/d94=")</f>
        <v>#VALUE!</v>
      </c>
      <c r="HP10" t="e">
        <f>AND('Male SR Individual Speed'!C44,"AAAAAFL/d98=")</f>
        <v>#VALUE!</v>
      </c>
      <c r="HQ10" t="e">
        <f>AND('Male SR Individual Speed'!D44,"AAAAAFL/d+A=")</f>
        <v>#VALUE!</v>
      </c>
      <c r="HR10" t="e">
        <f>AND('Male SR Individual Speed'!E44,"AAAAAFL/d+E=")</f>
        <v>#VALUE!</v>
      </c>
      <c r="HS10" t="e">
        <f>AND('Male SR Individual Speed'!F44,"AAAAAFL/d+I=")</f>
        <v>#VALUE!</v>
      </c>
      <c r="HT10" t="e">
        <f>AND('Male SR Individual Speed'!G44,"AAAAAFL/d+M=")</f>
        <v>#VALUE!</v>
      </c>
      <c r="HU10" t="e">
        <f>AND('Male SR Individual Speed'!H44,"AAAAAFL/d+Q=")</f>
        <v>#VALUE!</v>
      </c>
      <c r="HV10" t="e">
        <f>AND('Male SR Individual Speed'!I44,"AAAAAFL/d+U=")</f>
        <v>#VALUE!</v>
      </c>
      <c r="HW10" t="e">
        <f>AND('Male SR Individual Speed'!J44,"AAAAAFL/d+Y=")</f>
        <v>#VALUE!</v>
      </c>
      <c r="HX10" t="e">
        <f>AND('Male SR Individual Speed'!K44,"AAAAAFL/d+c=")</f>
        <v>#VALUE!</v>
      </c>
      <c r="HY10" t="e">
        <f>AND('Male SR Individual Speed'!L44,"AAAAAFL/d+g=")</f>
        <v>#VALUE!</v>
      </c>
      <c r="HZ10" t="e">
        <f>AND('Male SR Individual Speed'!M44,"AAAAAFL/d+k=")</f>
        <v>#VALUE!</v>
      </c>
      <c r="IA10">
        <f>IF('Male SR Individual Speed'!45:45,"AAAAAFL/d+o=",0)</f>
        <v>0</v>
      </c>
      <c r="IB10" t="e">
        <f>AND('Male SR Individual Speed'!A45,"AAAAAFL/d+s=")</f>
        <v>#VALUE!</v>
      </c>
      <c r="IC10" t="e">
        <f>AND('Male SR Individual Speed'!B45,"AAAAAFL/d+w=")</f>
        <v>#VALUE!</v>
      </c>
      <c r="ID10" t="e">
        <f>AND('Male SR Individual Speed'!C45,"AAAAAFL/d+0=")</f>
        <v>#VALUE!</v>
      </c>
      <c r="IE10" t="e">
        <f>AND('Male SR Individual Speed'!D45,"AAAAAFL/d+4=")</f>
        <v>#VALUE!</v>
      </c>
      <c r="IF10" t="e">
        <f>AND('Male SR Individual Speed'!E45,"AAAAAFL/d+8=")</f>
        <v>#VALUE!</v>
      </c>
      <c r="IG10" t="e">
        <f>AND('Male SR Individual Speed'!F45,"AAAAAFL/d/A=")</f>
        <v>#VALUE!</v>
      </c>
      <c r="IH10" t="e">
        <f>AND('Male SR Individual Speed'!G45,"AAAAAFL/d/E=")</f>
        <v>#VALUE!</v>
      </c>
      <c r="II10" t="e">
        <f>AND('Male SR Individual Speed'!H45,"AAAAAFL/d/I=")</f>
        <v>#VALUE!</v>
      </c>
      <c r="IJ10" t="e">
        <f>AND('Male SR Individual Speed'!I45,"AAAAAFL/d/M=")</f>
        <v>#VALUE!</v>
      </c>
      <c r="IK10" t="e">
        <f>AND('Male SR Individual Speed'!J45,"AAAAAFL/d/Q=")</f>
        <v>#VALUE!</v>
      </c>
      <c r="IL10" t="e">
        <f>AND('Male SR Individual Speed'!K45,"AAAAAFL/d/U=")</f>
        <v>#VALUE!</v>
      </c>
      <c r="IM10" t="e">
        <f>AND('Male SR Individual Speed'!L45,"AAAAAFL/d/Y=")</f>
        <v>#VALUE!</v>
      </c>
      <c r="IN10" t="e">
        <f>AND('Male SR Individual Speed'!M45,"AAAAAFL/d/c=")</f>
        <v>#VALUE!</v>
      </c>
      <c r="IO10">
        <f>IF('Male SR Individual Speed'!46:46,"AAAAAFL/d/g=",0)</f>
        <v>0</v>
      </c>
      <c r="IP10" t="e">
        <f>AND('Male SR Individual Speed'!A46,"AAAAAFL/d/k=")</f>
        <v>#VALUE!</v>
      </c>
      <c r="IQ10" t="e">
        <f>AND('Male SR Individual Speed'!B46,"AAAAAFL/d/o=")</f>
        <v>#VALUE!</v>
      </c>
      <c r="IR10" t="e">
        <f>AND('Male SR Individual Speed'!C46,"AAAAAFL/d/s=")</f>
        <v>#VALUE!</v>
      </c>
      <c r="IS10" t="e">
        <f>AND('Male SR Individual Speed'!D46,"AAAAAFL/d/w=")</f>
        <v>#VALUE!</v>
      </c>
      <c r="IT10" t="e">
        <f>AND('Male SR Individual Speed'!E46,"AAAAAFL/d/0=")</f>
        <v>#VALUE!</v>
      </c>
      <c r="IU10" t="e">
        <f>AND('Male SR Individual Speed'!F46,"AAAAAFL/d/4=")</f>
        <v>#VALUE!</v>
      </c>
      <c r="IV10" t="e">
        <f>AND('Male SR Individual Speed'!G46,"AAAAAFL/d/8=")</f>
        <v>#VALUE!</v>
      </c>
    </row>
    <row r="11" spans="1:256" x14ac:dyDescent="0.25">
      <c r="A11" t="e">
        <f>AND('Male SR Individual Speed'!H46,"AAAAAH35VgA=")</f>
        <v>#VALUE!</v>
      </c>
      <c r="B11" t="e">
        <f>AND('Male SR Individual Speed'!I46,"AAAAAH35VgE=")</f>
        <v>#VALUE!</v>
      </c>
      <c r="C11" t="e">
        <f>AND('Male SR Individual Speed'!J46,"AAAAAH35VgI=")</f>
        <v>#VALUE!</v>
      </c>
      <c r="D11" t="e">
        <f>AND('Male SR Individual Speed'!K46,"AAAAAH35VgM=")</f>
        <v>#VALUE!</v>
      </c>
      <c r="E11" t="e">
        <f>AND('Male SR Individual Speed'!L46,"AAAAAH35VgQ=")</f>
        <v>#VALUE!</v>
      </c>
      <c r="F11" t="e">
        <f>AND('Male SR Individual Speed'!M46,"AAAAAH35VgU=")</f>
        <v>#VALUE!</v>
      </c>
      <c r="G11">
        <f>IF('Male SR Individual Speed'!47:47,"AAAAAH35VgY=",0)</f>
        <v>0</v>
      </c>
      <c r="H11" t="e">
        <f>AND('Male SR Individual Speed'!A47,"AAAAAH35Vgc=")</f>
        <v>#VALUE!</v>
      </c>
      <c r="I11" t="e">
        <f>AND('Male SR Individual Speed'!B47,"AAAAAH35Vgg=")</f>
        <v>#VALUE!</v>
      </c>
      <c r="J11" t="e">
        <f>AND('Male SR Individual Speed'!C47,"AAAAAH35Vgk=")</f>
        <v>#VALUE!</v>
      </c>
      <c r="K11" t="e">
        <f>AND('Male SR Individual Speed'!D47,"AAAAAH35Vgo=")</f>
        <v>#VALUE!</v>
      </c>
      <c r="L11" t="e">
        <f>AND('Male SR Individual Speed'!E47,"AAAAAH35Vgs=")</f>
        <v>#VALUE!</v>
      </c>
      <c r="M11" t="e">
        <f>AND('Male SR Individual Speed'!F47,"AAAAAH35Vgw=")</f>
        <v>#VALUE!</v>
      </c>
      <c r="N11" t="e">
        <f>AND('Male SR Individual Speed'!G47,"AAAAAH35Vg0=")</f>
        <v>#VALUE!</v>
      </c>
      <c r="O11" t="e">
        <f>AND('Male SR Individual Speed'!H47,"AAAAAH35Vg4=")</f>
        <v>#VALUE!</v>
      </c>
      <c r="P11" t="e">
        <f>AND('Male SR Individual Speed'!I47,"AAAAAH35Vg8=")</f>
        <v>#VALUE!</v>
      </c>
      <c r="Q11" t="e">
        <f>AND('Male SR Individual Speed'!J47,"AAAAAH35VhA=")</f>
        <v>#VALUE!</v>
      </c>
      <c r="R11" t="e">
        <f>AND('Male SR Individual Speed'!K47,"AAAAAH35VhE=")</f>
        <v>#VALUE!</v>
      </c>
      <c r="S11" t="e">
        <f>AND('Male SR Individual Speed'!L47,"AAAAAH35VhI=")</f>
        <v>#VALUE!</v>
      </c>
      <c r="T11" t="e">
        <f>AND('Male SR Individual Speed'!M47,"AAAAAH35VhM=")</f>
        <v>#VALUE!</v>
      </c>
      <c r="U11">
        <f>IF('Male SR Individual Speed'!48:48,"AAAAAH35VhQ=",0)</f>
        <v>0</v>
      </c>
      <c r="V11" t="e">
        <f>AND('Male SR Individual Speed'!A48,"AAAAAH35VhU=")</f>
        <v>#VALUE!</v>
      </c>
      <c r="W11" t="e">
        <f>AND('Male SR Individual Speed'!B48,"AAAAAH35VhY=")</f>
        <v>#VALUE!</v>
      </c>
      <c r="X11" t="e">
        <f>AND('Male SR Individual Speed'!C48,"AAAAAH35Vhc=")</f>
        <v>#VALUE!</v>
      </c>
      <c r="Y11" t="e">
        <f>AND('Male SR Individual Speed'!D48,"AAAAAH35Vhg=")</f>
        <v>#VALUE!</v>
      </c>
      <c r="Z11" t="e">
        <f>AND('Male SR Individual Speed'!E48,"AAAAAH35Vhk=")</f>
        <v>#VALUE!</v>
      </c>
      <c r="AA11" t="e">
        <f>AND('Male SR Individual Speed'!F48,"AAAAAH35Vho=")</f>
        <v>#VALUE!</v>
      </c>
      <c r="AB11" t="e">
        <f>AND('Male SR Individual Speed'!G48,"AAAAAH35Vhs=")</f>
        <v>#VALUE!</v>
      </c>
      <c r="AC11" t="e">
        <f>AND('Male SR Individual Speed'!H48,"AAAAAH35Vhw=")</f>
        <v>#VALUE!</v>
      </c>
      <c r="AD11" t="e">
        <f>AND('Male SR Individual Speed'!I48,"AAAAAH35Vh0=")</f>
        <v>#VALUE!</v>
      </c>
      <c r="AE11" t="e">
        <f>AND('Male SR Individual Speed'!J48,"AAAAAH35Vh4=")</f>
        <v>#VALUE!</v>
      </c>
      <c r="AF11" t="e">
        <f>AND('Male SR Individual Speed'!K48,"AAAAAH35Vh8=")</f>
        <v>#VALUE!</v>
      </c>
      <c r="AG11" t="e">
        <f>AND('Male SR Individual Speed'!L48,"AAAAAH35ViA=")</f>
        <v>#VALUE!</v>
      </c>
      <c r="AH11" t="e">
        <f>AND('Male SR Individual Speed'!M48,"AAAAAH35ViE=")</f>
        <v>#VALUE!</v>
      </c>
      <c r="AI11">
        <f>IF('Male SR Individual Speed'!49:49,"AAAAAH35ViI=",0)</f>
        <v>0</v>
      </c>
      <c r="AJ11" t="e">
        <f>AND('Male SR Individual Speed'!A49,"AAAAAH35ViM=")</f>
        <v>#VALUE!</v>
      </c>
      <c r="AK11" t="e">
        <f>AND('Male SR Individual Speed'!B49,"AAAAAH35ViQ=")</f>
        <v>#VALUE!</v>
      </c>
      <c r="AL11" t="e">
        <f>AND('Male SR Individual Speed'!C49,"AAAAAH35ViU=")</f>
        <v>#VALUE!</v>
      </c>
      <c r="AM11" t="e">
        <f>AND('Male SR Individual Speed'!D49,"AAAAAH35ViY=")</f>
        <v>#VALUE!</v>
      </c>
      <c r="AN11" t="e">
        <f>AND('Male SR Individual Speed'!E49,"AAAAAH35Vic=")</f>
        <v>#VALUE!</v>
      </c>
      <c r="AO11" t="e">
        <f>AND('Male SR Individual Speed'!F49,"AAAAAH35Vig=")</f>
        <v>#VALUE!</v>
      </c>
      <c r="AP11" t="e">
        <f>AND('Male SR Individual Speed'!G49,"AAAAAH35Vik=")</f>
        <v>#VALUE!</v>
      </c>
      <c r="AQ11" t="e">
        <f>AND('Male SR Individual Speed'!H49,"AAAAAH35Vio=")</f>
        <v>#VALUE!</v>
      </c>
      <c r="AR11" t="e">
        <f>AND('Male SR Individual Speed'!I49,"AAAAAH35Vis=")</f>
        <v>#VALUE!</v>
      </c>
      <c r="AS11" t="e">
        <f>AND('Male SR Individual Speed'!J49,"AAAAAH35Viw=")</f>
        <v>#VALUE!</v>
      </c>
      <c r="AT11" t="e">
        <f>AND('Male SR Individual Speed'!K49,"AAAAAH35Vi0=")</f>
        <v>#VALUE!</v>
      </c>
      <c r="AU11" t="e">
        <f>AND('Male SR Individual Speed'!L49,"AAAAAH35Vi4=")</f>
        <v>#VALUE!</v>
      </c>
      <c r="AV11" t="e">
        <f>AND('Male SR Individual Speed'!M49,"AAAAAH35Vi8=")</f>
        <v>#VALUE!</v>
      </c>
      <c r="AW11">
        <f>IF('Male SR Individual Speed'!50:50,"AAAAAH35VjA=",0)</f>
        <v>0</v>
      </c>
      <c r="AX11" t="e">
        <f>AND('Male SR Individual Speed'!A50,"AAAAAH35VjE=")</f>
        <v>#VALUE!</v>
      </c>
      <c r="AY11" t="e">
        <f>AND('Male SR Individual Speed'!B50,"AAAAAH35VjI=")</f>
        <v>#VALUE!</v>
      </c>
      <c r="AZ11" t="e">
        <f>AND('Male SR Individual Speed'!C50,"AAAAAH35VjM=")</f>
        <v>#VALUE!</v>
      </c>
      <c r="BA11" t="e">
        <f>AND('Male SR Individual Speed'!D50,"AAAAAH35VjQ=")</f>
        <v>#VALUE!</v>
      </c>
      <c r="BB11" t="e">
        <f>AND('Male SR Individual Speed'!E50,"AAAAAH35VjU=")</f>
        <v>#VALUE!</v>
      </c>
      <c r="BC11" t="e">
        <f>AND('Male SR Individual Speed'!F50,"AAAAAH35VjY=")</f>
        <v>#VALUE!</v>
      </c>
      <c r="BD11" t="e">
        <f>AND('Male SR Individual Speed'!G50,"AAAAAH35Vjc=")</f>
        <v>#VALUE!</v>
      </c>
      <c r="BE11" t="e">
        <f>AND('Male SR Individual Speed'!H50,"AAAAAH35Vjg=")</f>
        <v>#VALUE!</v>
      </c>
      <c r="BF11" t="e">
        <f>AND('Male SR Individual Speed'!I50,"AAAAAH35Vjk=")</f>
        <v>#VALUE!</v>
      </c>
      <c r="BG11" t="e">
        <f>AND('Male SR Individual Speed'!J50,"AAAAAH35Vjo=")</f>
        <v>#VALUE!</v>
      </c>
      <c r="BH11" t="e">
        <f>AND('Male SR Individual Speed'!K50,"AAAAAH35Vjs=")</f>
        <v>#VALUE!</v>
      </c>
      <c r="BI11" t="e">
        <f>AND('Male SR Individual Speed'!L50,"AAAAAH35Vjw=")</f>
        <v>#VALUE!</v>
      </c>
      <c r="BJ11" t="e">
        <f>AND('Male SR Individual Speed'!M50,"AAAAAH35Vj0=")</f>
        <v>#VALUE!</v>
      </c>
      <c r="BK11">
        <f>IF('Male SR Individual Speed'!51:51,"AAAAAH35Vj4=",0)</f>
        <v>0</v>
      </c>
      <c r="BL11" t="e">
        <f>AND('Male SR Individual Speed'!A51,"AAAAAH35Vj8=")</f>
        <v>#VALUE!</v>
      </c>
      <c r="BM11" t="e">
        <f>AND('Male SR Individual Speed'!B51,"AAAAAH35VkA=")</f>
        <v>#VALUE!</v>
      </c>
      <c r="BN11" t="e">
        <f>AND('Male SR Individual Speed'!C51,"AAAAAH35VkE=")</f>
        <v>#VALUE!</v>
      </c>
      <c r="BO11" t="e">
        <f>AND('Male SR Individual Speed'!D51,"AAAAAH35VkI=")</f>
        <v>#VALUE!</v>
      </c>
      <c r="BP11" t="e">
        <f>AND('Male SR Individual Speed'!E51,"AAAAAH35VkM=")</f>
        <v>#VALUE!</v>
      </c>
      <c r="BQ11" t="e">
        <f>AND('Male SR Individual Speed'!F51,"AAAAAH35VkQ=")</f>
        <v>#VALUE!</v>
      </c>
      <c r="BR11" t="e">
        <f>AND('Male SR Individual Speed'!G51,"AAAAAH35VkU=")</f>
        <v>#VALUE!</v>
      </c>
      <c r="BS11" t="e">
        <f>AND('Male SR Individual Speed'!H51,"AAAAAH35VkY=")</f>
        <v>#VALUE!</v>
      </c>
      <c r="BT11" t="e">
        <f>AND('Male SR Individual Speed'!I51,"AAAAAH35Vkc=")</f>
        <v>#VALUE!</v>
      </c>
      <c r="BU11" t="e">
        <f>AND('Male SR Individual Speed'!J51,"AAAAAH35Vkg=")</f>
        <v>#VALUE!</v>
      </c>
      <c r="BV11" t="e">
        <f>AND('Male SR Individual Speed'!K51,"AAAAAH35Vkk=")</f>
        <v>#VALUE!</v>
      </c>
      <c r="BW11" t="e">
        <f>AND('Male SR Individual Speed'!L51,"AAAAAH35Vko=")</f>
        <v>#VALUE!</v>
      </c>
      <c r="BX11" t="e">
        <f>AND('Male SR Individual Speed'!M51,"AAAAAH35Vks=")</f>
        <v>#VALUE!</v>
      </c>
      <c r="BY11">
        <f>IF('Male SR Individual Speed'!52:52,"AAAAAH35Vkw=",0)</f>
        <v>0</v>
      </c>
      <c r="BZ11" t="e">
        <f>AND('Male SR Individual Speed'!A52,"AAAAAH35Vk0=")</f>
        <v>#VALUE!</v>
      </c>
      <c r="CA11" t="e">
        <f>AND('Male SR Individual Speed'!B52,"AAAAAH35Vk4=")</f>
        <v>#VALUE!</v>
      </c>
      <c r="CB11" t="e">
        <f>AND('Male SR Individual Speed'!C52,"AAAAAH35Vk8=")</f>
        <v>#VALUE!</v>
      </c>
      <c r="CC11" t="e">
        <f>AND('Male SR Individual Speed'!D52,"AAAAAH35VlA=")</f>
        <v>#VALUE!</v>
      </c>
      <c r="CD11" t="e">
        <f>AND('Male SR Individual Speed'!E52,"AAAAAH35VlE=")</f>
        <v>#VALUE!</v>
      </c>
      <c r="CE11" t="e">
        <f>AND('Male SR Individual Speed'!F52,"AAAAAH35VlI=")</f>
        <v>#VALUE!</v>
      </c>
      <c r="CF11" t="e">
        <f>AND('Male SR Individual Speed'!G52,"AAAAAH35VlM=")</f>
        <v>#VALUE!</v>
      </c>
      <c r="CG11" t="e">
        <f>AND('Male SR Individual Speed'!H52,"AAAAAH35VlQ=")</f>
        <v>#VALUE!</v>
      </c>
      <c r="CH11" t="e">
        <f>AND('Male SR Individual Speed'!I52,"AAAAAH35VlU=")</f>
        <v>#VALUE!</v>
      </c>
      <c r="CI11" t="e">
        <f>AND('Male SR Individual Speed'!J52,"AAAAAH35VlY=")</f>
        <v>#VALUE!</v>
      </c>
      <c r="CJ11" t="e">
        <f>AND('Male SR Individual Speed'!K52,"AAAAAH35Vlc=")</f>
        <v>#VALUE!</v>
      </c>
      <c r="CK11" t="e">
        <f>AND('Male SR Individual Speed'!L52,"AAAAAH35Vlg=")</f>
        <v>#VALUE!</v>
      </c>
      <c r="CL11" t="e">
        <f>AND('Male SR Individual Speed'!M52,"AAAAAH35Vlk=")</f>
        <v>#VALUE!</v>
      </c>
      <c r="CM11">
        <f>IF('Male SR Individual Speed'!53:53,"AAAAAH35Vlo=",0)</f>
        <v>0</v>
      </c>
      <c r="CN11" t="e">
        <f>AND('Male SR Individual Speed'!A53,"AAAAAH35Vls=")</f>
        <v>#VALUE!</v>
      </c>
      <c r="CO11" t="e">
        <f>AND('Male SR Individual Speed'!B53,"AAAAAH35Vlw=")</f>
        <v>#VALUE!</v>
      </c>
      <c r="CP11" t="e">
        <f>AND('Male SR Individual Speed'!C53,"AAAAAH35Vl0=")</f>
        <v>#VALUE!</v>
      </c>
      <c r="CQ11" t="e">
        <f>AND('Male SR Individual Speed'!D53,"AAAAAH35Vl4=")</f>
        <v>#VALUE!</v>
      </c>
      <c r="CR11" t="e">
        <f>AND('Male SR Individual Speed'!E53,"AAAAAH35Vl8=")</f>
        <v>#VALUE!</v>
      </c>
      <c r="CS11" t="e">
        <f>AND('Male SR Individual Speed'!F53,"AAAAAH35VmA=")</f>
        <v>#VALUE!</v>
      </c>
      <c r="CT11" t="e">
        <f>AND('Male SR Individual Speed'!G53,"AAAAAH35VmE=")</f>
        <v>#VALUE!</v>
      </c>
      <c r="CU11" t="e">
        <f>AND('Male SR Individual Speed'!H53,"AAAAAH35VmI=")</f>
        <v>#VALUE!</v>
      </c>
      <c r="CV11" t="e">
        <f>AND('Male SR Individual Speed'!I53,"AAAAAH35VmM=")</f>
        <v>#VALUE!</v>
      </c>
      <c r="CW11" t="e">
        <f>AND('Male SR Individual Speed'!J53,"AAAAAH35VmQ=")</f>
        <v>#VALUE!</v>
      </c>
      <c r="CX11" t="e">
        <f>AND('Male SR Individual Speed'!K53,"AAAAAH35VmU=")</f>
        <v>#VALUE!</v>
      </c>
      <c r="CY11" t="e">
        <f>AND('Male SR Individual Speed'!L53,"AAAAAH35VmY=")</f>
        <v>#VALUE!</v>
      </c>
      <c r="CZ11" t="e">
        <f>AND('Male SR Individual Speed'!M53,"AAAAAH35Vmc=")</f>
        <v>#VALUE!</v>
      </c>
      <c r="DA11">
        <f>IF('Male SR Individual Speed'!54:54,"AAAAAH35Vmg=",0)</f>
        <v>0</v>
      </c>
      <c r="DB11" t="e">
        <f>AND('Male SR Individual Speed'!A54,"AAAAAH35Vmk=")</f>
        <v>#VALUE!</v>
      </c>
      <c r="DC11" t="e">
        <f>AND('Male SR Individual Speed'!B54,"AAAAAH35Vmo=")</f>
        <v>#VALUE!</v>
      </c>
      <c r="DD11" t="e">
        <f>AND('Male SR Individual Speed'!C54,"AAAAAH35Vms=")</f>
        <v>#VALUE!</v>
      </c>
      <c r="DE11" t="e">
        <f>AND('Male SR Individual Speed'!D54,"AAAAAH35Vmw=")</f>
        <v>#VALUE!</v>
      </c>
      <c r="DF11" t="e">
        <f>AND('Male SR Individual Speed'!E54,"AAAAAH35Vm0=")</f>
        <v>#VALUE!</v>
      </c>
      <c r="DG11" t="e">
        <f>AND('Male SR Individual Speed'!F54,"AAAAAH35Vm4=")</f>
        <v>#VALUE!</v>
      </c>
      <c r="DH11" t="e">
        <f>AND('Male SR Individual Speed'!G54,"AAAAAH35Vm8=")</f>
        <v>#VALUE!</v>
      </c>
      <c r="DI11" t="e">
        <f>AND('Male SR Individual Speed'!H54,"AAAAAH35VnA=")</f>
        <v>#VALUE!</v>
      </c>
      <c r="DJ11" t="e">
        <f>AND('Male SR Individual Speed'!I54,"AAAAAH35VnE=")</f>
        <v>#VALUE!</v>
      </c>
      <c r="DK11" t="e">
        <f>AND('Male SR Individual Speed'!J54,"AAAAAH35VnI=")</f>
        <v>#VALUE!</v>
      </c>
      <c r="DL11" t="e">
        <f>AND('Male SR Individual Speed'!K54,"AAAAAH35VnM=")</f>
        <v>#VALUE!</v>
      </c>
      <c r="DM11" t="e">
        <f>AND('Male SR Individual Speed'!L54,"AAAAAH35VnQ=")</f>
        <v>#VALUE!</v>
      </c>
      <c r="DN11" t="e">
        <f>AND('Male SR Individual Speed'!M54,"AAAAAH35VnU=")</f>
        <v>#VALUE!</v>
      </c>
      <c r="DO11">
        <f>IF('Male SR Individual Speed'!55:55,"AAAAAH35VnY=",0)</f>
        <v>0</v>
      </c>
      <c r="DP11" t="e">
        <f>AND('Male SR Individual Speed'!A55,"AAAAAH35Vnc=")</f>
        <v>#VALUE!</v>
      </c>
      <c r="DQ11" t="e">
        <f>AND('Male SR Individual Speed'!B55,"AAAAAH35Vng=")</f>
        <v>#VALUE!</v>
      </c>
      <c r="DR11" t="e">
        <f>AND('Male SR Individual Speed'!C55,"AAAAAH35Vnk=")</f>
        <v>#VALUE!</v>
      </c>
      <c r="DS11" t="e">
        <f>AND('Male SR Individual Speed'!D55,"AAAAAH35Vno=")</f>
        <v>#VALUE!</v>
      </c>
      <c r="DT11" t="e">
        <f>AND('Male SR Individual Speed'!E55,"AAAAAH35Vns=")</f>
        <v>#VALUE!</v>
      </c>
      <c r="DU11" t="e">
        <f>AND('Male SR Individual Speed'!F55,"AAAAAH35Vnw=")</f>
        <v>#VALUE!</v>
      </c>
      <c r="DV11" t="e">
        <f>AND('Male SR Individual Speed'!G55,"AAAAAH35Vn0=")</f>
        <v>#VALUE!</v>
      </c>
      <c r="DW11" t="e">
        <f>AND('Male SR Individual Speed'!H55,"AAAAAH35Vn4=")</f>
        <v>#VALUE!</v>
      </c>
      <c r="DX11" t="e">
        <f>AND('Male SR Individual Speed'!I55,"AAAAAH35Vn8=")</f>
        <v>#VALUE!</v>
      </c>
      <c r="DY11" t="e">
        <f>AND('Male SR Individual Speed'!J55,"AAAAAH35VoA=")</f>
        <v>#VALUE!</v>
      </c>
      <c r="DZ11" t="e">
        <f>AND('Male SR Individual Speed'!K55,"AAAAAH35VoE=")</f>
        <v>#VALUE!</v>
      </c>
      <c r="EA11" t="e">
        <f>AND('Male SR Individual Speed'!L55,"AAAAAH35VoI=")</f>
        <v>#VALUE!</v>
      </c>
      <c r="EB11" t="e">
        <f>AND('Male SR Individual Speed'!M55,"AAAAAH35VoM=")</f>
        <v>#VALUE!</v>
      </c>
      <c r="EC11">
        <f>IF('Male SR Individual Speed'!56:56,"AAAAAH35VoQ=",0)</f>
        <v>0</v>
      </c>
      <c r="ED11" t="e">
        <f>AND('Male SR Individual Speed'!A56,"AAAAAH35VoU=")</f>
        <v>#VALUE!</v>
      </c>
      <c r="EE11" t="e">
        <f>AND('Male SR Individual Speed'!B56,"AAAAAH35VoY=")</f>
        <v>#VALUE!</v>
      </c>
      <c r="EF11" t="e">
        <f>AND('Male SR Individual Speed'!C56,"AAAAAH35Voc=")</f>
        <v>#VALUE!</v>
      </c>
      <c r="EG11" t="e">
        <f>AND('Male SR Individual Speed'!D56,"AAAAAH35Vog=")</f>
        <v>#VALUE!</v>
      </c>
      <c r="EH11" t="e">
        <f>AND('Male SR Individual Speed'!E56,"AAAAAH35Vok=")</f>
        <v>#VALUE!</v>
      </c>
      <c r="EI11" t="e">
        <f>AND('Male SR Individual Speed'!F56,"AAAAAH35Voo=")</f>
        <v>#VALUE!</v>
      </c>
      <c r="EJ11" t="e">
        <f>AND('Male SR Individual Speed'!G56,"AAAAAH35Vos=")</f>
        <v>#VALUE!</v>
      </c>
      <c r="EK11" t="e">
        <f>AND('Male SR Individual Speed'!H56,"AAAAAH35Vow=")</f>
        <v>#VALUE!</v>
      </c>
      <c r="EL11" t="e">
        <f>AND('Male SR Individual Speed'!I56,"AAAAAH35Vo0=")</f>
        <v>#VALUE!</v>
      </c>
      <c r="EM11" t="e">
        <f>AND('Male SR Individual Speed'!J56,"AAAAAH35Vo4=")</f>
        <v>#VALUE!</v>
      </c>
      <c r="EN11" t="e">
        <f>AND('Male SR Individual Speed'!K56,"AAAAAH35Vo8=")</f>
        <v>#VALUE!</v>
      </c>
      <c r="EO11" t="e">
        <f>AND('Male SR Individual Speed'!L56,"AAAAAH35VpA=")</f>
        <v>#VALUE!</v>
      </c>
      <c r="EP11" t="e">
        <f>AND('Male SR Individual Speed'!M56,"AAAAAH35VpE=")</f>
        <v>#VALUE!</v>
      </c>
      <c r="EQ11">
        <f>IF('Male SR Individual Speed'!57:57,"AAAAAH35VpI=",0)</f>
        <v>0</v>
      </c>
      <c r="ER11" t="e">
        <f>AND('Male SR Individual Speed'!A57,"AAAAAH35VpM=")</f>
        <v>#VALUE!</v>
      </c>
      <c r="ES11" t="e">
        <f>AND('Male SR Individual Speed'!B57,"AAAAAH35VpQ=")</f>
        <v>#VALUE!</v>
      </c>
      <c r="ET11" t="e">
        <f>AND('Male SR Individual Speed'!C57,"AAAAAH35VpU=")</f>
        <v>#VALUE!</v>
      </c>
      <c r="EU11" t="e">
        <f>AND('Male SR Individual Speed'!D57,"AAAAAH35VpY=")</f>
        <v>#VALUE!</v>
      </c>
      <c r="EV11" t="e">
        <f>AND('Male SR Individual Speed'!E57,"AAAAAH35Vpc=")</f>
        <v>#VALUE!</v>
      </c>
      <c r="EW11" t="e">
        <f>AND('Male SR Individual Speed'!F57,"AAAAAH35Vpg=")</f>
        <v>#VALUE!</v>
      </c>
      <c r="EX11" t="e">
        <f>AND('Male SR Individual Speed'!G57,"AAAAAH35Vpk=")</f>
        <v>#VALUE!</v>
      </c>
      <c r="EY11" t="e">
        <f>AND('Male SR Individual Speed'!H57,"AAAAAH35Vpo=")</f>
        <v>#VALUE!</v>
      </c>
      <c r="EZ11" t="e">
        <f>AND('Male SR Individual Speed'!I57,"AAAAAH35Vps=")</f>
        <v>#VALUE!</v>
      </c>
      <c r="FA11" t="e">
        <f>AND('Male SR Individual Speed'!J57,"AAAAAH35Vpw=")</f>
        <v>#VALUE!</v>
      </c>
      <c r="FB11" t="e">
        <f>AND('Male SR Individual Speed'!K57,"AAAAAH35Vp0=")</f>
        <v>#VALUE!</v>
      </c>
      <c r="FC11" t="e">
        <f>AND('Male SR Individual Speed'!L57,"AAAAAH35Vp4=")</f>
        <v>#VALUE!</v>
      </c>
      <c r="FD11" t="e">
        <f>AND('Male SR Individual Speed'!M57,"AAAAAH35Vp8=")</f>
        <v>#VALUE!</v>
      </c>
      <c r="FE11">
        <f>IF('Male SR Individual Speed'!58:58,"AAAAAH35VqA=",0)</f>
        <v>0</v>
      </c>
      <c r="FF11" t="e">
        <f>AND('Male SR Individual Speed'!A58,"AAAAAH35VqE=")</f>
        <v>#VALUE!</v>
      </c>
      <c r="FG11" t="e">
        <f>AND('Male SR Individual Speed'!B58,"AAAAAH35VqI=")</f>
        <v>#VALUE!</v>
      </c>
      <c r="FH11" t="e">
        <f>AND('Male SR Individual Speed'!C58,"AAAAAH35VqM=")</f>
        <v>#VALUE!</v>
      </c>
      <c r="FI11" t="e">
        <f>AND('Male SR Individual Speed'!D58,"AAAAAH35VqQ=")</f>
        <v>#VALUE!</v>
      </c>
      <c r="FJ11" t="e">
        <f>AND('Male SR Individual Speed'!E58,"AAAAAH35VqU=")</f>
        <v>#VALUE!</v>
      </c>
      <c r="FK11" t="e">
        <f>AND('Male SR Individual Speed'!F58,"AAAAAH35VqY=")</f>
        <v>#VALUE!</v>
      </c>
      <c r="FL11" t="e">
        <f>AND('Male SR Individual Speed'!G58,"AAAAAH35Vqc=")</f>
        <v>#VALUE!</v>
      </c>
      <c r="FM11" t="e">
        <f>AND('Male SR Individual Speed'!H58,"AAAAAH35Vqg=")</f>
        <v>#VALUE!</v>
      </c>
      <c r="FN11" t="e">
        <f>AND('Male SR Individual Speed'!I58,"AAAAAH35Vqk=")</f>
        <v>#VALUE!</v>
      </c>
      <c r="FO11" t="e">
        <f>AND('Male SR Individual Speed'!J58,"AAAAAH35Vqo=")</f>
        <v>#VALUE!</v>
      </c>
      <c r="FP11" t="e">
        <f>AND('Male SR Individual Speed'!K58,"AAAAAH35Vqs=")</f>
        <v>#VALUE!</v>
      </c>
      <c r="FQ11" t="e">
        <f>AND('Male SR Individual Speed'!L58,"AAAAAH35Vqw=")</f>
        <v>#VALUE!</v>
      </c>
      <c r="FR11" t="e">
        <f>AND('Male SR Individual Speed'!M58,"AAAAAH35Vq0=")</f>
        <v>#VALUE!</v>
      </c>
      <c r="FS11">
        <f>IF('Male SR Individual Speed'!59:59,"AAAAAH35Vq4=",0)</f>
        <v>0</v>
      </c>
      <c r="FT11" t="e">
        <f>AND('Male SR Individual Speed'!A59,"AAAAAH35Vq8=")</f>
        <v>#VALUE!</v>
      </c>
      <c r="FU11" t="e">
        <f>AND('Male SR Individual Speed'!B59,"AAAAAH35VrA=")</f>
        <v>#VALUE!</v>
      </c>
      <c r="FV11" t="e">
        <f>AND('Male SR Individual Speed'!C59,"AAAAAH35VrE=")</f>
        <v>#VALUE!</v>
      </c>
      <c r="FW11" t="e">
        <f>AND('Male SR Individual Speed'!D59,"AAAAAH35VrI=")</f>
        <v>#VALUE!</v>
      </c>
      <c r="FX11" t="e">
        <f>AND('Male SR Individual Speed'!E59,"AAAAAH35VrM=")</f>
        <v>#VALUE!</v>
      </c>
      <c r="FY11" t="e">
        <f>AND('Male SR Individual Speed'!F59,"AAAAAH35VrQ=")</f>
        <v>#VALUE!</v>
      </c>
      <c r="FZ11" t="e">
        <f>AND('Male SR Individual Speed'!G59,"AAAAAH35VrU=")</f>
        <v>#VALUE!</v>
      </c>
      <c r="GA11" t="e">
        <f>AND('Male SR Individual Speed'!H59,"AAAAAH35VrY=")</f>
        <v>#VALUE!</v>
      </c>
      <c r="GB11" t="e">
        <f>AND('Male SR Individual Speed'!I59,"AAAAAH35Vrc=")</f>
        <v>#VALUE!</v>
      </c>
      <c r="GC11" t="e">
        <f>AND('Male SR Individual Speed'!J59,"AAAAAH35Vrg=")</f>
        <v>#VALUE!</v>
      </c>
      <c r="GD11" t="e">
        <f>AND('Male SR Individual Speed'!K59,"AAAAAH35Vrk=")</f>
        <v>#VALUE!</v>
      </c>
      <c r="GE11" t="e">
        <f>AND('Male SR Individual Speed'!L59,"AAAAAH35Vro=")</f>
        <v>#VALUE!</v>
      </c>
      <c r="GF11" t="e">
        <f>AND('Male SR Individual Speed'!M59,"AAAAAH35Vrs=")</f>
        <v>#VALUE!</v>
      </c>
      <c r="GG11">
        <f>IF('Male SR Individual Speed'!60:60,"AAAAAH35Vrw=",0)</f>
        <v>0</v>
      </c>
      <c r="GH11" t="e">
        <f>AND('Male SR Individual Speed'!A60,"AAAAAH35Vr0=")</f>
        <v>#VALUE!</v>
      </c>
      <c r="GI11" t="e">
        <f>AND('Male SR Individual Speed'!B60,"AAAAAH35Vr4=")</f>
        <v>#VALUE!</v>
      </c>
      <c r="GJ11" t="e">
        <f>AND('Male SR Individual Speed'!C60,"AAAAAH35Vr8=")</f>
        <v>#VALUE!</v>
      </c>
      <c r="GK11" t="e">
        <f>AND('Male SR Individual Speed'!D60,"AAAAAH35VsA=")</f>
        <v>#VALUE!</v>
      </c>
      <c r="GL11" t="e">
        <f>AND('Male SR Individual Speed'!E60,"AAAAAH35VsE=")</f>
        <v>#VALUE!</v>
      </c>
      <c r="GM11" t="e">
        <f>AND('Male SR Individual Speed'!F60,"AAAAAH35VsI=")</f>
        <v>#VALUE!</v>
      </c>
      <c r="GN11" t="e">
        <f>AND('Male SR Individual Speed'!G60,"AAAAAH35VsM=")</f>
        <v>#VALUE!</v>
      </c>
      <c r="GO11" t="e">
        <f>AND('Male SR Individual Speed'!H60,"AAAAAH35VsQ=")</f>
        <v>#VALUE!</v>
      </c>
      <c r="GP11" t="e">
        <f>AND('Male SR Individual Speed'!I60,"AAAAAH35VsU=")</f>
        <v>#VALUE!</v>
      </c>
      <c r="GQ11" t="e">
        <f>AND('Male SR Individual Speed'!J60,"AAAAAH35VsY=")</f>
        <v>#VALUE!</v>
      </c>
      <c r="GR11" t="e">
        <f>AND('Male SR Individual Speed'!K60,"AAAAAH35Vsc=")</f>
        <v>#VALUE!</v>
      </c>
      <c r="GS11" t="e">
        <f>AND('Male SR Individual Speed'!L60,"AAAAAH35Vsg=")</f>
        <v>#VALUE!</v>
      </c>
      <c r="GT11" t="e">
        <f>AND('Male SR Individual Speed'!M60,"AAAAAH35Vsk=")</f>
        <v>#VALUE!</v>
      </c>
      <c r="GU11">
        <f>IF('Male SR Individual Speed'!61:61,"AAAAAH35Vso=",0)</f>
        <v>0</v>
      </c>
      <c r="GV11" t="e">
        <f>AND('Male SR Individual Speed'!A61,"AAAAAH35Vss=")</f>
        <v>#VALUE!</v>
      </c>
      <c r="GW11" t="e">
        <f>AND('Male SR Individual Speed'!B61,"AAAAAH35Vsw=")</f>
        <v>#VALUE!</v>
      </c>
      <c r="GX11" t="e">
        <f>AND('Male SR Individual Speed'!C61,"AAAAAH35Vs0=")</f>
        <v>#VALUE!</v>
      </c>
      <c r="GY11" t="e">
        <f>AND('Male SR Individual Speed'!D61,"AAAAAH35Vs4=")</f>
        <v>#VALUE!</v>
      </c>
      <c r="GZ11" t="e">
        <f>AND('Male SR Individual Speed'!E61,"AAAAAH35Vs8=")</f>
        <v>#VALUE!</v>
      </c>
      <c r="HA11" t="e">
        <f>AND('Male SR Individual Speed'!F61,"AAAAAH35VtA=")</f>
        <v>#VALUE!</v>
      </c>
      <c r="HB11" t="e">
        <f>AND('Male SR Individual Speed'!G61,"AAAAAH35VtE=")</f>
        <v>#VALUE!</v>
      </c>
      <c r="HC11" t="e">
        <f>AND('Male SR Individual Speed'!H61,"AAAAAH35VtI=")</f>
        <v>#VALUE!</v>
      </c>
      <c r="HD11" t="e">
        <f>AND('Male SR Individual Speed'!I61,"AAAAAH35VtM=")</f>
        <v>#VALUE!</v>
      </c>
      <c r="HE11" t="e">
        <f>AND('Male SR Individual Speed'!J61,"AAAAAH35VtQ=")</f>
        <v>#VALUE!</v>
      </c>
      <c r="HF11" t="e">
        <f>AND('Male SR Individual Speed'!K61,"AAAAAH35VtU=")</f>
        <v>#VALUE!</v>
      </c>
      <c r="HG11" t="e">
        <f>AND('Male SR Individual Speed'!L61,"AAAAAH35VtY=")</f>
        <v>#VALUE!</v>
      </c>
      <c r="HH11" t="e">
        <f>AND('Male SR Individual Speed'!M61,"AAAAAH35Vtc=")</f>
        <v>#VALUE!</v>
      </c>
      <c r="HI11">
        <f>IF('Male SR Individual Speed'!62:62,"AAAAAH35Vtg=",0)</f>
        <v>0</v>
      </c>
      <c r="HJ11" t="e">
        <f>AND('Male SR Individual Speed'!A62,"AAAAAH35Vtk=")</f>
        <v>#VALUE!</v>
      </c>
      <c r="HK11" t="e">
        <f>AND('Male SR Individual Speed'!B62,"AAAAAH35Vto=")</f>
        <v>#VALUE!</v>
      </c>
      <c r="HL11" t="e">
        <f>AND('Male SR Individual Speed'!C62,"AAAAAH35Vts=")</f>
        <v>#VALUE!</v>
      </c>
      <c r="HM11" t="e">
        <f>AND('Male SR Individual Speed'!D62,"AAAAAH35Vtw=")</f>
        <v>#VALUE!</v>
      </c>
      <c r="HN11" t="e">
        <f>AND('Male SR Individual Speed'!E62,"AAAAAH35Vt0=")</f>
        <v>#VALUE!</v>
      </c>
      <c r="HO11" t="e">
        <f>AND('Male SR Individual Speed'!F62,"AAAAAH35Vt4=")</f>
        <v>#VALUE!</v>
      </c>
      <c r="HP11" t="e">
        <f>AND('Male SR Individual Speed'!G62,"AAAAAH35Vt8=")</f>
        <v>#VALUE!</v>
      </c>
      <c r="HQ11" t="e">
        <f>AND('Male SR Individual Speed'!H62,"AAAAAH35VuA=")</f>
        <v>#VALUE!</v>
      </c>
      <c r="HR11" t="e">
        <f>AND('Male SR Individual Speed'!I62,"AAAAAH35VuE=")</f>
        <v>#VALUE!</v>
      </c>
      <c r="HS11" t="e">
        <f>AND('Male SR Individual Speed'!J62,"AAAAAH35VuI=")</f>
        <v>#VALUE!</v>
      </c>
      <c r="HT11" t="e">
        <f>AND('Male SR Individual Speed'!K62,"AAAAAH35VuM=")</f>
        <v>#VALUE!</v>
      </c>
      <c r="HU11" t="e">
        <f>AND('Male SR Individual Speed'!L62,"AAAAAH35VuQ=")</f>
        <v>#VALUE!</v>
      </c>
      <c r="HV11" t="e">
        <f>AND('Male SR Individual Speed'!M62,"AAAAAH35VuU=")</f>
        <v>#VALUE!</v>
      </c>
      <c r="HW11">
        <f>IF('Male SR Individual Speed'!63:63,"AAAAAH35VuY=",0)</f>
        <v>0</v>
      </c>
      <c r="HX11" t="e">
        <f>AND('Male SR Individual Speed'!A63,"AAAAAH35Vuc=")</f>
        <v>#VALUE!</v>
      </c>
      <c r="HY11" t="e">
        <f>AND('Male SR Individual Speed'!B63,"AAAAAH35Vug=")</f>
        <v>#VALUE!</v>
      </c>
      <c r="HZ11" t="e">
        <f>AND('Male SR Individual Speed'!C63,"AAAAAH35Vuk=")</f>
        <v>#VALUE!</v>
      </c>
      <c r="IA11" t="e">
        <f>AND('Male SR Individual Speed'!D63,"AAAAAH35Vuo=")</f>
        <v>#VALUE!</v>
      </c>
      <c r="IB11" t="e">
        <f>AND('Male SR Individual Speed'!E63,"AAAAAH35Vus=")</f>
        <v>#VALUE!</v>
      </c>
      <c r="IC11" t="e">
        <f>AND('Male SR Individual Speed'!F63,"AAAAAH35Vuw=")</f>
        <v>#VALUE!</v>
      </c>
      <c r="ID11" t="e">
        <f>AND('Male SR Individual Speed'!G63,"AAAAAH35Vu0=")</f>
        <v>#VALUE!</v>
      </c>
      <c r="IE11" t="e">
        <f>AND('Male SR Individual Speed'!H63,"AAAAAH35Vu4=")</f>
        <v>#VALUE!</v>
      </c>
      <c r="IF11" t="e">
        <f>AND('Male SR Individual Speed'!I63,"AAAAAH35Vu8=")</f>
        <v>#VALUE!</v>
      </c>
      <c r="IG11" t="e">
        <f>AND('Male SR Individual Speed'!J63,"AAAAAH35VvA=")</f>
        <v>#VALUE!</v>
      </c>
      <c r="IH11" t="e">
        <f>AND('Male SR Individual Speed'!K63,"AAAAAH35VvE=")</f>
        <v>#VALUE!</v>
      </c>
      <c r="II11" t="e">
        <f>AND('Male SR Individual Speed'!L63,"AAAAAH35VvI=")</f>
        <v>#VALUE!</v>
      </c>
      <c r="IJ11" t="e">
        <f>AND('Male SR Individual Speed'!M63,"AAAAAH35VvM=")</f>
        <v>#VALUE!</v>
      </c>
      <c r="IK11">
        <f>IF('Male SR Individual Speed'!64:64,"AAAAAH35VvQ=",0)</f>
        <v>0</v>
      </c>
      <c r="IL11" t="e">
        <f>AND('Male SR Individual Speed'!A64,"AAAAAH35VvU=")</f>
        <v>#VALUE!</v>
      </c>
      <c r="IM11" t="e">
        <f>AND('Male SR Individual Speed'!B64,"AAAAAH35VvY=")</f>
        <v>#VALUE!</v>
      </c>
      <c r="IN11" t="e">
        <f>AND('Male SR Individual Speed'!C64,"AAAAAH35Vvc=")</f>
        <v>#VALUE!</v>
      </c>
      <c r="IO11" t="e">
        <f>AND('Male SR Individual Speed'!D64,"AAAAAH35Vvg=")</f>
        <v>#VALUE!</v>
      </c>
      <c r="IP11" t="e">
        <f>AND('Male SR Individual Speed'!E64,"AAAAAH35Vvk=")</f>
        <v>#VALUE!</v>
      </c>
      <c r="IQ11" t="e">
        <f>AND('Male SR Individual Speed'!F64,"AAAAAH35Vvo=")</f>
        <v>#VALUE!</v>
      </c>
      <c r="IR11" t="e">
        <f>AND('Male SR Individual Speed'!G64,"AAAAAH35Vvs=")</f>
        <v>#VALUE!</v>
      </c>
      <c r="IS11" t="e">
        <f>AND('Male SR Individual Speed'!H64,"AAAAAH35Vvw=")</f>
        <v>#VALUE!</v>
      </c>
      <c r="IT11" t="e">
        <f>AND('Male SR Individual Speed'!I64,"AAAAAH35Vv0=")</f>
        <v>#VALUE!</v>
      </c>
      <c r="IU11" t="e">
        <f>AND('Male SR Individual Speed'!J64,"AAAAAH35Vv4=")</f>
        <v>#VALUE!</v>
      </c>
      <c r="IV11" t="e">
        <f>AND('Male SR Individual Speed'!K64,"AAAAAH35Vv8=")</f>
        <v>#VALUE!</v>
      </c>
    </row>
    <row r="12" spans="1:256" x14ac:dyDescent="0.25">
      <c r="A12" t="e">
        <f>AND('Male SR Individual Speed'!L64,"AAAAAH89YQA=")</f>
        <v>#VALUE!</v>
      </c>
      <c r="B12" t="e">
        <f>AND('Male SR Individual Speed'!M64,"AAAAAH89YQE=")</f>
        <v>#VALUE!</v>
      </c>
      <c r="C12" t="e">
        <f>IF('Male SR Individual Speed'!65:65,"AAAAAH89YQI=",0)</f>
        <v>#VALUE!</v>
      </c>
      <c r="D12" t="e">
        <f>AND('Male SR Individual Speed'!A65,"AAAAAH89YQM=")</f>
        <v>#VALUE!</v>
      </c>
      <c r="E12" t="e">
        <f>AND('Male SR Individual Speed'!B65,"AAAAAH89YQQ=")</f>
        <v>#VALUE!</v>
      </c>
      <c r="F12" t="e">
        <f>AND('Male SR Individual Speed'!C65,"AAAAAH89YQU=")</f>
        <v>#VALUE!</v>
      </c>
      <c r="G12" t="e">
        <f>AND('Male SR Individual Speed'!D65,"AAAAAH89YQY=")</f>
        <v>#VALUE!</v>
      </c>
      <c r="H12" t="e">
        <f>AND('Male SR Individual Speed'!E65,"AAAAAH89YQc=")</f>
        <v>#VALUE!</v>
      </c>
      <c r="I12" t="e">
        <f>AND('Male SR Individual Speed'!F65,"AAAAAH89YQg=")</f>
        <v>#VALUE!</v>
      </c>
      <c r="J12" t="e">
        <f>AND('Male SR Individual Speed'!G65,"AAAAAH89YQk=")</f>
        <v>#VALUE!</v>
      </c>
      <c r="K12" t="e">
        <f>AND('Male SR Individual Speed'!H65,"AAAAAH89YQo=")</f>
        <v>#VALUE!</v>
      </c>
      <c r="L12" t="e">
        <f>AND('Male SR Individual Speed'!I65,"AAAAAH89YQs=")</f>
        <v>#VALUE!</v>
      </c>
      <c r="M12" t="e">
        <f>AND('Male SR Individual Speed'!J65,"AAAAAH89YQw=")</f>
        <v>#VALUE!</v>
      </c>
      <c r="N12" t="e">
        <f>AND('Male SR Individual Speed'!K65,"AAAAAH89YQ0=")</f>
        <v>#VALUE!</v>
      </c>
      <c r="O12" t="e">
        <f>AND('Male SR Individual Speed'!L65,"AAAAAH89YQ4=")</f>
        <v>#VALUE!</v>
      </c>
      <c r="P12" t="e">
        <f>AND('Male SR Individual Speed'!M65,"AAAAAH89YQ8=")</f>
        <v>#VALUE!</v>
      </c>
      <c r="Q12">
        <f>IF('Male SR Individual Speed'!66:66,"AAAAAH89YRA=",0)</f>
        <v>0</v>
      </c>
      <c r="R12" t="e">
        <f>AND('Male SR Individual Speed'!A66,"AAAAAH89YRE=")</f>
        <v>#VALUE!</v>
      </c>
      <c r="S12" t="e">
        <f>AND('Male SR Individual Speed'!B66,"AAAAAH89YRI=")</f>
        <v>#VALUE!</v>
      </c>
      <c r="T12" t="e">
        <f>AND('Male SR Individual Speed'!C66,"AAAAAH89YRM=")</f>
        <v>#VALUE!</v>
      </c>
      <c r="U12" t="e">
        <f>AND('Male SR Individual Speed'!D66,"AAAAAH89YRQ=")</f>
        <v>#VALUE!</v>
      </c>
      <c r="V12" t="e">
        <f>AND('Male SR Individual Speed'!E66,"AAAAAH89YRU=")</f>
        <v>#VALUE!</v>
      </c>
      <c r="W12" t="e">
        <f>AND('Male SR Individual Speed'!F66,"AAAAAH89YRY=")</f>
        <v>#VALUE!</v>
      </c>
      <c r="X12" t="e">
        <f>AND('Male SR Individual Speed'!G66,"AAAAAH89YRc=")</f>
        <v>#VALUE!</v>
      </c>
      <c r="Y12" t="e">
        <f>AND('Male SR Individual Speed'!H66,"AAAAAH89YRg=")</f>
        <v>#VALUE!</v>
      </c>
      <c r="Z12" t="e">
        <f>AND('Male SR Individual Speed'!I66,"AAAAAH89YRk=")</f>
        <v>#VALUE!</v>
      </c>
      <c r="AA12" t="e">
        <f>AND('Male SR Individual Speed'!J66,"AAAAAH89YRo=")</f>
        <v>#VALUE!</v>
      </c>
      <c r="AB12" t="e">
        <f>AND('Male SR Individual Speed'!K66,"AAAAAH89YRs=")</f>
        <v>#VALUE!</v>
      </c>
      <c r="AC12" t="e">
        <f>AND('Male SR Individual Speed'!L66,"AAAAAH89YRw=")</f>
        <v>#VALUE!</v>
      </c>
      <c r="AD12" t="e">
        <f>AND('Male SR Individual Speed'!M66,"AAAAAH89YR0=")</f>
        <v>#VALUE!</v>
      </c>
      <c r="AE12">
        <f>IF('Male SR Individual Speed'!67:67,"AAAAAH89YR4=",0)</f>
        <v>0</v>
      </c>
      <c r="AF12" t="e">
        <f>AND('Male SR Individual Speed'!A67,"AAAAAH89YR8=")</f>
        <v>#VALUE!</v>
      </c>
      <c r="AG12" t="e">
        <f>AND('Male SR Individual Speed'!B67,"AAAAAH89YSA=")</f>
        <v>#VALUE!</v>
      </c>
      <c r="AH12" t="e">
        <f>AND('Male SR Individual Speed'!C67,"AAAAAH89YSE=")</f>
        <v>#VALUE!</v>
      </c>
      <c r="AI12" t="e">
        <f>AND('Male SR Individual Speed'!D67,"AAAAAH89YSI=")</f>
        <v>#VALUE!</v>
      </c>
      <c r="AJ12" t="e">
        <f>AND('Male SR Individual Speed'!E67,"AAAAAH89YSM=")</f>
        <v>#VALUE!</v>
      </c>
      <c r="AK12" t="e">
        <f>AND('Male SR Individual Speed'!F67,"AAAAAH89YSQ=")</f>
        <v>#VALUE!</v>
      </c>
      <c r="AL12" t="e">
        <f>AND('Male SR Individual Speed'!G67,"AAAAAH89YSU=")</f>
        <v>#VALUE!</v>
      </c>
      <c r="AM12" t="e">
        <f>AND('Male SR Individual Speed'!H67,"AAAAAH89YSY=")</f>
        <v>#VALUE!</v>
      </c>
      <c r="AN12" t="e">
        <f>AND('Male SR Individual Speed'!I67,"AAAAAH89YSc=")</f>
        <v>#VALUE!</v>
      </c>
      <c r="AO12" t="e">
        <f>AND('Male SR Individual Speed'!J67,"AAAAAH89YSg=")</f>
        <v>#VALUE!</v>
      </c>
      <c r="AP12" t="e">
        <f>AND('Male SR Individual Speed'!K67,"AAAAAH89YSk=")</f>
        <v>#VALUE!</v>
      </c>
      <c r="AQ12" t="e">
        <f>AND('Male SR Individual Speed'!L67,"AAAAAH89YSo=")</f>
        <v>#VALUE!</v>
      </c>
      <c r="AR12" t="e">
        <f>AND('Male SR Individual Speed'!M67,"AAAAAH89YSs=")</f>
        <v>#VALUE!</v>
      </c>
      <c r="AS12">
        <f>IF('Male SR Individual Speed'!70:70,"AAAAAH89YSw=",0)</f>
        <v>0</v>
      </c>
      <c r="AT12" t="e">
        <f>AND('Male SR Individual Speed'!A70,"AAAAAH89YS0=")</f>
        <v>#VALUE!</v>
      </c>
      <c r="AU12" t="e">
        <f>AND('Male SR Individual Speed'!B70,"AAAAAH89YS4=")</f>
        <v>#VALUE!</v>
      </c>
      <c r="AV12" t="e">
        <f>AND('Male SR Individual Speed'!C70,"AAAAAH89YS8=")</f>
        <v>#VALUE!</v>
      </c>
      <c r="AW12" t="e">
        <f>AND('Male SR Individual Speed'!D70,"AAAAAH89YTA=")</f>
        <v>#VALUE!</v>
      </c>
      <c r="AX12" t="e">
        <f>AND('Male SR Individual Speed'!E70,"AAAAAH89YTE=")</f>
        <v>#VALUE!</v>
      </c>
      <c r="AY12" t="e">
        <f>AND('Male SR Individual Speed'!F70,"AAAAAH89YTI=")</f>
        <v>#VALUE!</v>
      </c>
      <c r="AZ12" t="e">
        <f>AND('Male SR Individual Speed'!G70,"AAAAAH89YTM=")</f>
        <v>#VALUE!</v>
      </c>
      <c r="BA12" t="e">
        <f>AND('Male SR Individual Speed'!H70,"AAAAAH89YTQ=")</f>
        <v>#VALUE!</v>
      </c>
      <c r="BB12" t="e">
        <f>AND('Male SR Individual Speed'!I70,"AAAAAH89YTU=")</f>
        <v>#VALUE!</v>
      </c>
      <c r="BC12" t="e">
        <f>AND('Male SR Individual Speed'!J70,"AAAAAH89YTY=")</f>
        <v>#VALUE!</v>
      </c>
      <c r="BD12" t="e">
        <f>AND('Male SR Individual Speed'!K70,"AAAAAH89YTc=")</f>
        <v>#VALUE!</v>
      </c>
      <c r="BE12" t="e">
        <f>AND('Male SR Individual Speed'!L70,"AAAAAH89YTg=")</f>
        <v>#VALUE!</v>
      </c>
      <c r="BF12" t="e">
        <f>AND('Male SR Individual Speed'!M70,"AAAAAH89YTk=")</f>
        <v>#VALUE!</v>
      </c>
      <c r="BG12">
        <f>IF('Male SR Individual Speed'!71:71,"AAAAAH89YTo=",0)</f>
        <v>0</v>
      </c>
      <c r="BH12" t="e">
        <f>AND('Male SR Individual Speed'!H71,"AAAAAH89YTs=")</f>
        <v>#VALUE!</v>
      </c>
      <c r="BI12" t="e">
        <f>AND('Male SR Individual Speed'!I71,"AAAAAH89YTw=")</f>
        <v>#VALUE!</v>
      </c>
      <c r="BJ12" t="e">
        <f>AND('Male SR Individual Speed'!J71,"AAAAAH89YT0=")</f>
        <v>#VALUE!</v>
      </c>
      <c r="BK12" t="e">
        <f>AND('Male SR Individual Speed'!K71,"AAAAAH89YT4=")</f>
        <v>#VALUE!</v>
      </c>
      <c r="BL12" t="e">
        <f>AND('Male SR Individual Speed'!L71,"AAAAAH89YT8=")</f>
        <v>#VALUE!</v>
      </c>
      <c r="BM12" t="e">
        <f>AND('Male SR Individual Speed'!M71,"AAAAAH89YUA=")</f>
        <v>#VALUE!</v>
      </c>
      <c r="BN12" t="e">
        <f>AND('Male SR Individual Speed'!G71,"AAAAAH89YUE=")</f>
        <v>#VALUE!</v>
      </c>
      <c r="BO12" t="e">
        <f>AND('Male SR Individual Speed'!A79,"AAAAAH89YUI=")</f>
        <v>#VALUE!</v>
      </c>
      <c r="BP12" t="e">
        <f>AND('Male SR Individual Speed'!B79,"AAAAAH89YUM=")</f>
        <v>#VALUE!</v>
      </c>
      <c r="BQ12" t="e">
        <f>AND('Male SR Individual Speed'!C79,"AAAAAH89YUQ=")</f>
        <v>#VALUE!</v>
      </c>
      <c r="BR12" t="e">
        <f>AND('Male SR Individual Speed'!D79,"AAAAAH89YUU=")</f>
        <v>#VALUE!</v>
      </c>
      <c r="BS12" t="e">
        <f>AND('Male SR Individual Speed'!E79,"AAAAAH89YUY=")</f>
        <v>#VALUE!</v>
      </c>
      <c r="BT12" t="e">
        <f>AND('Male SR Individual Speed'!F79,"AAAAAH89YUc=")</f>
        <v>#VALUE!</v>
      </c>
      <c r="BU12">
        <f>IF('Male SR Individual Speed'!72:72,"AAAAAH89YUg=",0)</f>
        <v>0</v>
      </c>
      <c r="BV12" t="e">
        <f>AND('Male SR Individual Speed'!H72,"AAAAAH89YUk=")</f>
        <v>#VALUE!</v>
      </c>
      <c r="BW12" t="e">
        <f>AND('Male SR Individual Speed'!I72,"AAAAAH89YUo=")</f>
        <v>#VALUE!</v>
      </c>
      <c r="BX12" t="e">
        <f>AND('Male SR Individual Speed'!J72,"AAAAAH89YUs=")</f>
        <v>#VALUE!</v>
      </c>
      <c r="BY12" t="e">
        <f>AND('Male SR Individual Speed'!K72,"AAAAAH89YUw=")</f>
        <v>#VALUE!</v>
      </c>
      <c r="BZ12" t="e">
        <f>AND('Male SR Individual Speed'!L72,"AAAAAH89YU0=")</f>
        <v>#VALUE!</v>
      </c>
      <c r="CA12" t="e">
        <f>AND('Male SR Individual Speed'!M72,"AAAAAH89YU4=")</f>
        <v>#VALUE!</v>
      </c>
      <c r="CB12" t="e">
        <f>AND('Male SR Individual Speed'!G72,"AAAAAH89YU8=")</f>
        <v>#VALUE!</v>
      </c>
      <c r="CC12" t="e">
        <f>AND('Male SR Individual Speed'!A80,"AAAAAH89YVA=")</f>
        <v>#VALUE!</v>
      </c>
      <c r="CD12" t="e">
        <f>AND('Male SR Individual Speed'!B80,"AAAAAH89YVE=")</f>
        <v>#VALUE!</v>
      </c>
      <c r="CE12" t="e">
        <f>AND('Male SR Individual Speed'!C80,"AAAAAH89YVI=")</f>
        <v>#VALUE!</v>
      </c>
      <c r="CF12" t="e">
        <f>AND('Male SR Individual Speed'!D80,"AAAAAH89YVM=")</f>
        <v>#VALUE!</v>
      </c>
      <c r="CG12" t="e">
        <f>AND('Male SR Individual Speed'!E80,"AAAAAH89YVQ=")</f>
        <v>#VALUE!</v>
      </c>
      <c r="CH12" t="e">
        <f>AND('Male SR Individual Speed'!F80,"AAAAAH89YVU=")</f>
        <v>#VALUE!</v>
      </c>
      <c r="CI12">
        <f>IF('Male SR Individual Speed'!73:73,"AAAAAH89YVY=",0)</f>
        <v>0</v>
      </c>
      <c r="CJ12" t="e">
        <f>AND('Male SR Individual Speed'!H73,"AAAAAH89YVc=")</f>
        <v>#VALUE!</v>
      </c>
      <c r="CK12" t="e">
        <f>AND('Male SR Individual Speed'!I73,"AAAAAH89YVg=")</f>
        <v>#VALUE!</v>
      </c>
      <c r="CL12" t="e">
        <f>AND('Male SR Individual Speed'!J73,"AAAAAH89YVk=")</f>
        <v>#VALUE!</v>
      </c>
      <c r="CM12" t="e">
        <f>AND('Male SR Individual Speed'!K73,"AAAAAH89YVo=")</f>
        <v>#VALUE!</v>
      </c>
      <c r="CN12" t="e">
        <f>AND('Male SR Individual Speed'!L73,"AAAAAH89YVs=")</f>
        <v>#VALUE!</v>
      </c>
      <c r="CO12" t="e">
        <f>AND('Male SR Individual Speed'!M73,"AAAAAH89YVw=")</f>
        <v>#VALUE!</v>
      </c>
      <c r="CP12" t="e">
        <f>AND('Male SR Individual Speed'!G73,"AAAAAH89YV0=")</f>
        <v>#VALUE!</v>
      </c>
      <c r="CQ12" t="e">
        <f>AND('Male SR Individual Speed'!A81,"AAAAAH89YV4=")</f>
        <v>#VALUE!</v>
      </c>
      <c r="CR12" t="e">
        <f>AND('Male SR Individual Speed'!B81,"AAAAAH89YV8=")</f>
        <v>#VALUE!</v>
      </c>
      <c r="CS12" t="e">
        <f>AND('Male SR Individual Speed'!C81,"AAAAAH89YWA=")</f>
        <v>#VALUE!</v>
      </c>
      <c r="CT12" t="e">
        <f>AND('Male SR Individual Speed'!D81,"AAAAAH89YWE=")</f>
        <v>#VALUE!</v>
      </c>
      <c r="CU12" t="e">
        <f>AND('Male SR Individual Speed'!E81,"AAAAAH89YWI=")</f>
        <v>#VALUE!</v>
      </c>
      <c r="CV12" t="e">
        <f>AND('Male SR Individual Speed'!F81,"AAAAAH89YWM=")</f>
        <v>#VALUE!</v>
      </c>
      <c r="CW12">
        <f>IF('Male SR Individual Speed'!74:74,"AAAAAH89YWQ=",0)</f>
        <v>0</v>
      </c>
      <c r="CX12" t="e">
        <f>AND('Male SR Individual Speed'!H74,"AAAAAH89YWU=")</f>
        <v>#VALUE!</v>
      </c>
      <c r="CY12" t="e">
        <f>AND('Male SR Individual Speed'!I74,"AAAAAH89YWY=")</f>
        <v>#VALUE!</v>
      </c>
      <c r="CZ12" t="e">
        <f>AND('Male SR Individual Speed'!J74,"AAAAAH89YWc=")</f>
        <v>#VALUE!</v>
      </c>
      <c r="DA12" t="e">
        <f>AND('Male SR Individual Speed'!K74,"AAAAAH89YWg=")</f>
        <v>#VALUE!</v>
      </c>
      <c r="DB12" t="e">
        <f>AND('Male SR Individual Speed'!L74,"AAAAAH89YWk=")</f>
        <v>#VALUE!</v>
      </c>
      <c r="DC12" t="e">
        <f>AND('Male SR Individual Speed'!M74,"AAAAAH89YWo=")</f>
        <v>#VALUE!</v>
      </c>
      <c r="DD12" t="e">
        <f>AND('Male SR Individual Speed'!G74,"AAAAAH89YWs=")</f>
        <v>#VALUE!</v>
      </c>
      <c r="DE12" t="e">
        <f>AND('Male SR Individual Speed'!A82,"AAAAAH89YWw=")</f>
        <v>#VALUE!</v>
      </c>
      <c r="DF12" t="e">
        <f>AND('Male SR Individual Speed'!B82,"AAAAAH89YW0=")</f>
        <v>#VALUE!</v>
      </c>
      <c r="DG12" t="e">
        <f>AND('Male SR Individual Speed'!C82,"AAAAAH89YW4=")</f>
        <v>#VALUE!</v>
      </c>
      <c r="DH12" t="e">
        <f>AND('Male SR Individual Speed'!D82,"AAAAAH89YW8=")</f>
        <v>#VALUE!</v>
      </c>
      <c r="DI12" t="e">
        <f>AND('Male SR Individual Speed'!E82,"AAAAAH89YXA=")</f>
        <v>#VALUE!</v>
      </c>
      <c r="DJ12" t="e">
        <f>AND('Male SR Individual Speed'!F82,"AAAAAH89YXE=")</f>
        <v>#VALUE!</v>
      </c>
      <c r="DK12">
        <f>IF('Male SR Individual Speed'!75:75,"AAAAAH89YXI=",0)</f>
        <v>0</v>
      </c>
      <c r="DL12" t="e">
        <f>AND('Male SR Individual Speed'!H75,"AAAAAH89YXM=")</f>
        <v>#VALUE!</v>
      </c>
      <c r="DM12" t="e">
        <f>AND('Male SR Individual Speed'!I75,"AAAAAH89YXQ=")</f>
        <v>#VALUE!</v>
      </c>
      <c r="DN12" t="e">
        <f>AND('Male SR Individual Speed'!J75,"AAAAAH89YXU=")</f>
        <v>#VALUE!</v>
      </c>
      <c r="DO12" t="e">
        <f>AND('Male SR Individual Speed'!K75,"AAAAAH89YXY=")</f>
        <v>#VALUE!</v>
      </c>
      <c r="DP12" t="e">
        <f>AND('Male SR Individual Speed'!L75,"AAAAAH89YXc=")</f>
        <v>#VALUE!</v>
      </c>
      <c r="DQ12" t="e">
        <f>AND('Male SR Individual Speed'!M75,"AAAAAH89YXg=")</f>
        <v>#VALUE!</v>
      </c>
      <c r="DR12" t="e">
        <f>AND('Male SR Individual Speed'!G75,"AAAAAH89YXk=")</f>
        <v>#VALUE!</v>
      </c>
      <c r="DS12" t="e">
        <f>AND('Male SR Individual Speed'!A83,"AAAAAH89YXo=")</f>
        <v>#VALUE!</v>
      </c>
      <c r="DT12" t="e">
        <f>AND('Male SR Individual Speed'!B83,"AAAAAH89YXs=")</f>
        <v>#VALUE!</v>
      </c>
      <c r="DU12" t="e">
        <f>AND('Male SR Individual Speed'!C83,"AAAAAH89YXw=")</f>
        <v>#VALUE!</v>
      </c>
      <c r="DV12" t="e">
        <f>AND('Male SR Individual Speed'!D83,"AAAAAH89YX0=")</f>
        <v>#VALUE!</v>
      </c>
      <c r="DW12" t="e">
        <f>AND('Male SR Individual Speed'!E83,"AAAAAH89YX4=")</f>
        <v>#VALUE!</v>
      </c>
      <c r="DX12" t="e">
        <f>AND('Male SR Individual Speed'!F83,"AAAAAH89YX8=")</f>
        <v>#VALUE!</v>
      </c>
      <c r="DY12">
        <f>IF('Male SR Individual Speed'!76:76,"AAAAAH89YYA=",0)</f>
        <v>0</v>
      </c>
      <c r="DZ12" t="e">
        <f>AND('Male SR Individual Speed'!H76,"AAAAAH89YYE=")</f>
        <v>#VALUE!</v>
      </c>
      <c r="EA12" t="e">
        <f>AND('Male SR Individual Speed'!I76,"AAAAAH89YYI=")</f>
        <v>#VALUE!</v>
      </c>
      <c r="EB12" t="e">
        <f>AND('Male SR Individual Speed'!J76,"AAAAAH89YYM=")</f>
        <v>#VALUE!</v>
      </c>
      <c r="EC12" t="e">
        <f>AND('Male SR Individual Speed'!K76,"AAAAAH89YYQ=")</f>
        <v>#VALUE!</v>
      </c>
      <c r="ED12" t="e">
        <f>AND('Male SR Individual Speed'!L76,"AAAAAH89YYU=")</f>
        <v>#VALUE!</v>
      </c>
      <c r="EE12" t="e">
        <f>AND('Male SR Individual Speed'!M76,"AAAAAH89YYY=")</f>
        <v>#VALUE!</v>
      </c>
      <c r="EF12" t="e">
        <f>AND('Male SR Individual Speed'!G76,"AAAAAH89YYc=")</f>
        <v>#VALUE!</v>
      </c>
      <c r="EG12" t="e">
        <f>AND('Male SR Individual Speed'!A84,"AAAAAH89YYg=")</f>
        <v>#VALUE!</v>
      </c>
      <c r="EH12" t="e">
        <f>AND('Male SR Individual Speed'!B84,"AAAAAH89YYk=")</f>
        <v>#VALUE!</v>
      </c>
      <c r="EI12" t="e">
        <f>AND('Male SR Individual Speed'!C84,"AAAAAH89YYo=")</f>
        <v>#VALUE!</v>
      </c>
      <c r="EJ12" t="e">
        <f>AND('Male SR Individual Speed'!D84,"AAAAAH89YYs=")</f>
        <v>#VALUE!</v>
      </c>
      <c r="EK12" t="e">
        <f>AND('Male SR Individual Speed'!E84,"AAAAAH89YYw=")</f>
        <v>#VALUE!</v>
      </c>
      <c r="EL12" t="e">
        <f>AND('Male SR Individual Speed'!F84,"AAAAAH89YY0=")</f>
        <v>#VALUE!</v>
      </c>
      <c r="EM12">
        <f>IF('Male SR Individual Speed'!77:77,"AAAAAH89YY4=",0)</f>
        <v>0</v>
      </c>
      <c r="EN12" t="e">
        <f>AND('Male SR Individual Speed'!H77,"AAAAAH89YY8=")</f>
        <v>#VALUE!</v>
      </c>
      <c r="EO12" t="e">
        <f>AND('Male SR Individual Speed'!I77,"AAAAAH89YZA=")</f>
        <v>#VALUE!</v>
      </c>
      <c r="EP12" t="e">
        <f>AND('Male SR Individual Speed'!J77,"AAAAAH89YZE=")</f>
        <v>#VALUE!</v>
      </c>
      <c r="EQ12" t="e">
        <f>AND('Male SR Individual Speed'!K77,"AAAAAH89YZI=")</f>
        <v>#VALUE!</v>
      </c>
      <c r="ER12" t="e">
        <f>AND('Male SR Individual Speed'!L77,"AAAAAH89YZM=")</f>
        <v>#VALUE!</v>
      </c>
      <c r="ES12" t="e">
        <f>AND('Male SR Individual Speed'!M77,"AAAAAH89YZQ=")</f>
        <v>#VALUE!</v>
      </c>
      <c r="ET12" t="e">
        <f>AND('Male SR Individual Speed'!G77,"AAAAAH89YZU=")</f>
        <v>#VALUE!</v>
      </c>
      <c r="EU12" t="e">
        <f>AND('Male SR Individual Speed'!A85,"AAAAAH89YZY=")</f>
        <v>#VALUE!</v>
      </c>
      <c r="EV12" t="e">
        <f>AND('Male SR Individual Speed'!B85,"AAAAAH89YZc=")</f>
        <v>#VALUE!</v>
      </c>
      <c r="EW12" t="e">
        <f>AND('Male SR Individual Speed'!C85,"AAAAAH89YZg=")</f>
        <v>#VALUE!</v>
      </c>
      <c r="EX12" t="e">
        <f>AND('Male SR Individual Speed'!D85,"AAAAAH89YZk=")</f>
        <v>#VALUE!</v>
      </c>
      <c r="EY12" t="e">
        <f>AND('Male SR Individual Speed'!E85,"AAAAAH89YZo=")</f>
        <v>#VALUE!</v>
      </c>
      <c r="EZ12" t="e">
        <f>AND('Male SR Individual Speed'!F85,"AAAAAH89YZs=")</f>
        <v>#VALUE!</v>
      </c>
      <c r="FA12" t="str">
        <f>IF('Male SR Individual Speed'!A:A,"AAAAAH89YZw=",0)</f>
        <v>AAAAAH89YZw=</v>
      </c>
      <c r="FB12" t="e">
        <f>IF('Male SR Individual Speed'!B:B,"AAAAAH89YZ0=",0)</f>
        <v>#VALUE!</v>
      </c>
      <c r="FC12" t="e">
        <f>IF('Male SR Individual Speed'!C:C,"AAAAAH89YZ4=",0)</f>
        <v>#VALUE!</v>
      </c>
      <c r="FD12">
        <f>IF('Male SR Individual Speed'!D:D,"AAAAAH89YZ8=",0)</f>
        <v>0</v>
      </c>
      <c r="FE12" t="e">
        <f>IF('Male SR Individual Speed'!E:E,"AAAAAH89YaA=",0)</f>
        <v>#VALUE!</v>
      </c>
      <c r="FF12" t="e">
        <f>IF('Male SR Individual Speed'!F:F,"AAAAAH89YaE=",0)</f>
        <v>#VALUE!</v>
      </c>
      <c r="FG12">
        <f>IF('Male SR Individual Speed'!G:G,"AAAAAH89YaI=",0)</f>
        <v>0</v>
      </c>
      <c r="FH12">
        <f>IF('Male SR Individual Speed'!H:H,"AAAAAH89YaM=",0)</f>
        <v>0</v>
      </c>
      <c r="FI12">
        <f>IF('Male SR Individual Speed'!I:I,"AAAAAH89YaQ=",0)</f>
        <v>0</v>
      </c>
      <c r="FJ12">
        <f>IF('Male SR Individual Speed'!J:J,"AAAAAH89YaU=",0)</f>
        <v>0</v>
      </c>
      <c r="FK12">
        <f>IF('Male SR Individual Speed'!K:K,"AAAAAH89YaY=",0)</f>
        <v>0</v>
      </c>
      <c r="FL12">
        <f>IF('Male SR Individual Speed'!L:L,"AAAAAH89Yac=",0)</f>
        <v>0</v>
      </c>
      <c r="FM12">
        <f>IF('Male SR Individual Speed'!M:M,"AAAAAH89Yag=",0)</f>
        <v>0</v>
      </c>
      <c r="FN12">
        <f>IF('Female SR Individual Speed'!1:1,"AAAAAH89Yak=",0)</f>
        <v>0</v>
      </c>
      <c r="FO12" t="e">
        <f>AND('Female SR Individual Speed'!A1,"AAAAAH89Yao=")</f>
        <v>#VALUE!</v>
      </c>
      <c r="FP12" t="e">
        <f>AND('Female SR Individual Speed'!B1,"AAAAAH89Yas=")</f>
        <v>#VALUE!</v>
      </c>
      <c r="FQ12" t="e">
        <f>AND('Female SR Individual Speed'!C1,"AAAAAH89Yaw=")</f>
        <v>#VALUE!</v>
      </c>
      <c r="FR12" t="e">
        <f>AND('Female SR Individual Speed'!D1,"AAAAAH89Ya0=")</f>
        <v>#VALUE!</v>
      </c>
      <c r="FS12" t="e">
        <f>AND('Female SR Individual Speed'!E1,"AAAAAH89Ya4=")</f>
        <v>#VALUE!</v>
      </c>
      <c r="FT12" t="e">
        <f>AND('Female SR Individual Speed'!F1,"AAAAAH89Ya8=")</f>
        <v>#VALUE!</v>
      </c>
      <c r="FU12" t="e">
        <f>AND('Female SR Individual Speed'!G1,"AAAAAH89YbA=")</f>
        <v>#VALUE!</v>
      </c>
      <c r="FV12" t="e">
        <f>AND('Female SR Individual Speed'!H1,"AAAAAH89YbE=")</f>
        <v>#VALUE!</v>
      </c>
      <c r="FW12" t="e">
        <f>AND('Female SR Individual Speed'!I1,"AAAAAH89YbI=")</f>
        <v>#VALUE!</v>
      </c>
      <c r="FX12" t="e">
        <f>AND('Female SR Individual Speed'!J1,"AAAAAH89YbM=")</f>
        <v>#VALUE!</v>
      </c>
      <c r="FY12" t="e">
        <f>AND('Female SR Individual Speed'!K1,"AAAAAH89YbQ=")</f>
        <v>#VALUE!</v>
      </c>
      <c r="FZ12" t="e">
        <f>AND('Female SR Individual Speed'!L1,"AAAAAH89YbU=")</f>
        <v>#VALUE!</v>
      </c>
      <c r="GA12" t="e">
        <f>AND('Female SR Individual Speed'!M1,"AAAAAH89YbY=")</f>
        <v>#VALUE!</v>
      </c>
      <c r="GB12">
        <f>IF('Female SR Individual Speed'!2:2,"AAAAAH89Ybc=",0)</f>
        <v>0</v>
      </c>
      <c r="GC12" t="e">
        <f>AND('Female SR Individual Speed'!A2,"AAAAAH89Ybg=")</f>
        <v>#VALUE!</v>
      </c>
      <c r="GD12" t="e">
        <f>AND('Female SR Individual Speed'!B2,"AAAAAH89Ybk=")</f>
        <v>#VALUE!</v>
      </c>
      <c r="GE12" t="e">
        <f>AND('Female SR Individual Speed'!C2,"AAAAAH89Ybo=")</f>
        <v>#VALUE!</v>
      </c>
      <c r="GF12" t="e">
        <f>AND('Female SR Individual Speed'!D2,"AAAAAH89Ybs=")</f>
        <v>#VALUE!</v>
      </c>
      <c r="GG12" t="e">
        <f>AND('Female SR Individual Speed'!E2,"AAAAAH89Ybw=")</f>
        <v>#VALUE!</v>
      </c>
      <c r="GH12" t="e">
        <f>AND('Female SR Individual Speed'!F2,"AAAAAH89Yb0=")</f>
        <v>#VALUE!</v>
      </c>
      <c r="GI12" t="e">
        <f>AND('Female SR Individual Speed'!G2,"AAAAAH89Yb4=")</f>
        <v>#VALUE!</v>
      </c>
      <c r="GJ12" t="e">
        <f>AND('Female SR Individual Speed'!H2,"AAAAAH89Yb8=")</f>
        <v>#VALUE!</v>
      </c>
      <c r="GK12" t="e">
        <f>AND('Female SR Individual Speed'!I2,"AAAAAH89YcA=")</f>
        <v>#VALUE!</v>
      </c>
      <c r="GL12" t="e">
        <f>AND('Female SR Individual Speed'!J2,"AAAAAH89YcE=")</f>
        <v>#VALUE!</v>
      </c>
      <c r="GM12" t="e">
        <f>AND('Female SR Individual Speed'!K2,"AAAAAH89YcI=")</f>
        <v>#VALUE!</v>
      </c>
      <c r="GN12" t="e">
        <f>AND('Female SR Individual Speed'!L2,"AAAAAH89YcM=")</f>
        <v>#VALUE!</v>
      </c>
      <c r="GO12" t="e">
        <f>AND('Female SR Individual Speed'!M2,"AAAAAH89YcQ=")</f>
        <v>#VALUE!</v>
      </c>
      <c r="GP12">
        <f>IF('Female SR Individual Speed'!3:3,"AAAAAH89YcU=",0)</f>
        <v>0</v>
      </c>
      <c r="GQ12" t="e">
        <f>AND('Female SR Individual Speed'!A3,"AAAAAH89YcY=")</f>
        <v>#VALUE!</v>
      </c>
      <c r="GR12" t="e">
        <f>AND('Female SR Individual Speed'!B3,"AAAAAH89Ycc=")</f>
        <v>#VALUE!</v>
      </c>
      <c r="GS12" t="e">
        <f>AND('Female SR Individual Speed'!C3,"AAAAAH89Ycg=")</f>
        <v>#VALUE!</v>
      </c>
      <c r="GT12" t="e">
        <f>AND('Female SR Individual Speed'!D3,"AAAAAH89Yck=")</f>
        <v>#VALUE!</v>
      </c>
      <c r="GU12" t="e">
        <f>AND('Female SR Individual Speed'!E3,"AAAAAH89Yco=")</f>
        <v>#VALUE!</v>
      </c>
      <c r="GV12" t="e">
        <f>AND('Female SR Individual Speed'!F3,"AAAAAH89Ycs=")</f>
        <v>#VALUE!</v>
      </c>
      <c r="GW12" t="e">
        <f>AND('Female SR Individual Speed'!G3,"AAAAAH89Ycw=")</f>
        <v>#VALUE!</v>
      </c>
      <c r="GX12" t="e">
        <f>AND('Female SR Individual Speed'!H3,"AAAAAH89Yc0=")</f>
        <v>#VALUE!</v>
      </c>
      <c r="GY12" t="e">
        <f>AND('Female SR Individual Speed'!I3,"AAAAAH89Yc4=")</f>
        <v>#VALUE!</v>
      </c>
      <c r="GZ12" t="e">
        <f>AND('Female SR Individual Speed'!J3,"AAAAAH89Yc8=")</f>
        <v>#VALUE!</v>
      </c>
      <c r="HA12" t="e">
        <f>AND('Female SR Individual Speed'!K3,"AAAAAH89YdA=")</f>
        <v>#VALUE!</v>
      </c>
      <c r="HB12" t="e">
        <f>AND('Female SR Individual Speed'!L3,"AAAAAH89YdE=")</f>
        <v>#VALUE!</v>
      </c>
      <c r="HC12" t="e">
        <f>AND('Female SR Individual Speed'!M3,"AAAAAH89YdI=")</f>
        <v>#VALUE!</v>
      </c>
      <c r="HD12">
        <f>IF('Female SR Individual Speed'!4:4,"AAAAAH89YdM=",0)</f>
        <v>0</v>
      </c>
      <c r="HE12" t="e">
        <f>AND('Female SR Individual Speed'!A4,"AAAAAH89YdQ=")</f>
        <v>#VALUE!</v>
      </c>
      <c r="HF12" t="e">
        <f>AND('Female SR Individual Speed'!B4,"AAAAAH89YdU=")</f>
        <v>#VALUE!</v>
      </c>
      <c r="HG12" t="e">
        <f>AND('Female SR Individual Speed'!C4,"AAAAAH89YdY=")</f>
        <v>#VALUE!</v>
      </c>
      <c r="HH12" t="e">
        <f>AND('Female SR Individual Speed'!D4,"AAAAAH89Ydc=")</f>
        <v>#VALUE!</v>
      </c>
      <c r="HI12" t="e">
        <f>AND('Female SR Individual Speed'!E4,"AAAAAH89Ydg=")</f>
        <v>#VALUE!</v>
      </c>
      <c r="HJ12" t="e">
        <f>AND('Female SR Individual Speed'!F4,"AAAAAH89Ydk=")</f>
        <v>#VALUE!</v>
      </c>
      <c r="HK12" t="e">
        <f>AND('Female SR Individual Speed'!G4,"AAAAAH89Ydo=")</f>
        <v>#VALUE!</v>
      </c>
      <c r="HL12" t="e">
        <f>AND('Female SR Individual Speed'!H4,"AAAAAH89Yds=")</f>
        <v>#VALUE!</v>
      </c>
      <c r="HM12" t="e">
        <f>AND('Female SR Individual Speed'!I4,"AAAAAH89Ydw=")</f>
        <v>#VALUE!</v>
      </c>
      <c r="HN12" t="e">
        <f>AND('Female SR Individual Speed'!J4,"AAAAAH89Yd0=")</f>
        <v>#VALUE!</v>
      </c>
      <c r="HO12" t="e">
        <f>AND('Female SR Individual Speed'!K4,"AAAAAH89Yd4=")</f>
        <v>#VALUE!</v>
      </c>
      <c r="HP12" t="e">
        <f>AND('Female SR Individual Speed'!L4,"AAAAAH89Yd8=")</f>
        <v>#VALUE!</v>
      </c>
      <c r="HQ12" t="e">
        <f>AND('Female SR Individual Speed'!M4,"AAAAAH89YeA=")</f>
        <v>#VALUE!</v>
      </c>
      <c r="HR12">
        <f>IF('Female SR Individual Speed'!5:5,"AAAAAH89YeE=",0)</f>
        <v>0</v>
      </c>
      <c r="HS12" t="e">
        <f>AND('Female SR Individual Speed'!A5,"AAAAAH89YeI=")</f>
        <v>#VALUE!</v>
      </c>
      <c r="HT12" t="e">
        <f>AND('Female SR Individual Speed'!B5,"AAAAAH89YeM=")</f>
        <v>#VALUE!</v>
      </c>
      <c r="HU12" t="e">
        <f>AND('Female SR Individual Speed'!C5,"AAAAAH89YeQ=")</f>
        <v>#VALUE!</v>
      </c>
      <c r="HV12" t="e">
        <f>AND('Female SR Individual Speed'!D5,"AAAAAH89YeU=")</f>
        <v>#VALUE!</v>
      </c>
      <c r="HW12" t="e">
        <f>AND('Female SR Individual Speed'!E5,"AAAAAH89YeY=")</f>
        <v>#VALUE!</v>
      </c>
      <c r="HX12" t="e">
        <f>AND('Female SR Individual Speed'!F5,"AAAAAH89Yec=")</f>
        <v>#VALUE!</v>
      </c>
      <c r="HY12" t="e">
        <f>AND('Female SR Individual Speed'!G5,"AAAAAH89Yeg=")</f>
        <v>#VALUE!</v>
      </c>
      <c r="HZ12" t="e">
        <f>AND('Female SR Individual Speed'!H5,"AAAAAH89Yek=")</f>
        <v>#VALUE!</v>
      </c>
      <c r="IA12" t="e">
        <f>AND('Female SR Individual Speed'!I5,"AAAAAH89Yeo=")</f>
        <v>#VALUE!</v>
      </c>
      <c r="IB12" t="e">
        <f>AND('Female SR Individual Speed'!J5,"AAAAAH89Yes=")</f>
        <v>#VALUE!</v>
      </c>
      <c r="IC12" t="e">
        <f>AND('Female SR Individual Speed'!K5,"AAAAAH89Yew=")</f>
        <v>#VALUE!</v>
      </c>
      <c r="ID12" t="e">
        <f>AND('Female SR Individual Speed'!L5,"AAAAAH89Ye0=")</f>
        <v>#VALUE!</v>
      </c>
      <c r="IE12" t="e">
        <f>AND('Female SR Individual Speed'!M5,"AAAAAH89Ye4=")</f>
        <v>#VALUE!</v>
      </c>
      <c r="IF12">
        <f>IF('Female SR Individual Speed'!6:6,"AAAAAH89Ye8=",0)</f>
        <v>0</v>
      </c>
      <c r="IG12" t="e">
        <f>AND('Female SR Individual Speed'!A6,"AAAAAH89YfA=")</f>
        <v>#VALUE!</v>
      </c>
      <c r="IH12" t="e">
        <f>AND('Female SR Individual Speed'!B6,"AAAAAH89YfE=")</f>
        <v>#VALUE!</v>
      </c>
      <c r="II12" t="e">
        <f>AND('Female SR Individual Speed'!C6,"AAAAAH89YfI=")</f>
        <v>#VALUE!</v>
      </c>
      <c r="IJ12" t="e">
        <f>AND('Female SR Individual Speed'!D6,"AAAAAH89YfM=")</f>
        <v>#VALUE!</v>
      </c>
      <c r="IK12" t="e">
        <f>AND('Female SR Individual Speed'!E6,"AAAAAH89YfQ=")</f>
        <v>#VALUE!</v>
      </c>
      <c r="IL12" t="e">
        <f>AND('Female SR Individual Speed'!F6,"AAAAAH89YfU=")</f>
        <v>#VALUE!</v>
      </c>
      <c r="IM12" t="e">
        <f>AND('Female SR Individual Speed'!G6,"AAAAAH89YfY=")</f>
        <v>#VALUE!</v>
      </c>
      <c r="IN12" t="e">
        <f>AND('Female SR Individual Speed'!H6,"AAAAAH89Yfc=")</f>
        <v>#VALUE!</v>
      </c>
      <c r="IO12" t="e">
        <f>AND('Female SR Individual Speed'!I6,"AAAAAH89Yfg=")</f>
        <v>#VALUE!</v>
      </c>
      <c r="IP12" t="e">
        <f>AND('Female SR Individual Speed'!J6,"AAAAAH89Yfk=")</f>
        <v>#VALUE!</v>
      </c>
      <c r="IQ12" t="e">
        <f>AND('Female SR Individual Speed'!K6,"AAAAAH89Yfo=")</f>
        <v>#VALUE!</v>
      </c>
      <c r="IR12" t="e">
        <f>AND('Female SR Individual Speed'!L6,"AAAAAH89Yfs=")</f>
        <v>#VALUE!</v>
      </c>
      <c r="IS12" t="e">
        <f>AND('Female SR Individual Speed'!M6,"AAAAAH89Yfw=")</f>
        <v>#VALUE!</v>
      </c>
      <c r="IT12">
        <f>IF('Female SR Individual Speed'!7:7,"AAAAAH89Yf0=",0)</f>
        <v>0</v>
      </c>
      <c r="IU12" t="e">
        <f>AND('Female SR Individual Speed'!A7,"AAAAAH89Yf4=")</f>
        <v>#VALUE!</v>
      </c>
      <c r="IV12" t="e">
        <f>AND('Female SR Individual Speed'!B7,"AAAAAH89Yf8=")</f>
        <v>#VALUE!</v>
      </c>
    </row>
    <row r="13" spans="1:256" x14ac:dyDescent="0.25">
      <c r="A13" t="e">
        <f>AND('Female SR Individual Speed'!C7,"AAAAAH/DkwA=")</f>
        <v>#VALUE!</v>
      </c>
      <c r="B13" t="e">
        <f>AND('Female SR Individual Speed'!D7,"AAAAAH/DkwE=")</f>
        <v>#VALUE!</v>
      </c>
      <c r="C13" t="e">
        <f>AND('Female SR Individual Speed'!E7,"AAAAAH/DkwI=")</f>
        <v>#VALUE!</v>
      </c>
      <c r="D13" t="e">
        <f>AND('Female SR Individual Speed'!F7,"AAAAAH/DkwM=")</f>
        <v>#VALUE!</v>
      </c>
      <c r="E13" t="e">
        <f>AND('Female SR Individual Speed'!G7,"AAAAAH/DkwQ=")</f>
        <v>#VALUE!</v>
      </c>
      <c r="F13" t="e">
        <f>AND('Female SR Individual Speed'!H7,"AAAAAH/DkwU=")</f>
        <v>#VALUE!</v>
      </c>
      <c r="G13" t="e">
        <f>AND('Female SR Individual Speed'!I7,"AAAAAH/DkwY=")</f>
        <v>#VALUE!</v>
      </c>
      <c r="H13" t="e">
        <f>AND('Female SR Individual Speed'!J7,"AAAAAH/Dkwc=")</f>
        <v>#VALUE!</v>
      </c>
      <c r="I13" t="e">
        <f>AND('Female SR Individual Speed'!K7,"AAAAAH/Dkwg=")</f>
        <v>#VALUE!</v>
      </c>
      <c r="J13" t="e">
        <f>AND('Female SR Individual Speed'!L7,"AAAAAH/Dkwk=")</f>
        <v>#VALUE!</v>
      </c>
      <c r="K13" t="e">
        <f>AND('Female SR Individual Speed'!M7,"AAAAAH/Dkwo=")</f>
        <v>#VALUE!</v>
      </c>
      <c r="L13" t="e">
        <f>IF('Female SR Individual Speed'!8:8,"AAAAAH/Dkws=",0)</f>
        <v>#VALUE!</v>
      </c>
      <c r="M13" t="e">
        <f>AND('Female SR Individual Speed'!A8,"AAAAAH/Dkww=")</f>
        <v>#VALUE!</v>
      </c>
      <c r="N13" t="e">
        <f>AND('Female SR Individual Speed'!B8,"AAAAAH/Dkw0=")</f>
        <v>#VALUE!</v>
      </c>
      <c r="O13" t="e">
        <f>AND('Female SR Individual Speed'!C8,"AAAAAH/Dkw4=")</f>
        <v>#VALUE!</v>
      </c>
      <c r="P13" t="e">
        <f>AND('Female SR Individual Speed'!D8,"AAAAAH/Dkw8=")</f>
        <v>#VALUE!</v>
      </c>
      <c r="Q13" t="e">
        <f>AND('Female SR Individual Speed'!E8,"AAAAAH/DkxA=")</f>
        <v>#VALUE!</v>
      </c>
      <c r="R13" t="e">
        <f>AND('Female SR Individual Speed'!F8,"AAAAAH/DkxE=")</f>
        <v>#VALUE!</v>
      </c>
      <c r="S13" t="e">
        <f>AND('Female SR Individual Speed'!G8,"AAAAAH/DkxI=")</f>
        <v>#VALUE!</v>
      </c>
      <c r="T13" t="e">
        <f>AND('Female SR Individual Speed'!H8,"AAAAAH/DkxM=")</f>
        <v>#VALUE!</v>
      </c>
      <c r="U13" t="e">
        <f>AND('Female SR Individual Speed'!I8,"AAAAAH/DkxQ=")</f>
        <v>#VALUE!</v>
      </c>
      <c r="V13" t="e">
        <f>AND('Female SR Individual Speed'!J8,"AAAAAH/DkxU=")</f>
        <v>#VALUE!</v>
      </c>
      <c r="W13" t="e">
        <f>AND('Female SR Individual Speed'!K8,"AAAAAH/DkxY=")</f>
        <v>#VALUE!</v>
      </c>
      <c r="X13" t="e">
        <f>AND('Female SR Individual Speed'!L8,"AAAAAH/Dkxc=")</f>
        <v>#VALUE!</v>
      </c>
      <c r="Y13" t="e">
        <f>AND('Female SR Individual Speed'!M8,"AAAAAH/Dkxg=")</f>
        <v>#VALUE!</v>
      </c>
      <c r="Z13">
        <f>IF('Female SR Individual Speed'!9:9,"AAAAAH/Dkxk=",0)</f>
        <v>0</v>
      </c>
      <c r="AA13" t="e">
        <f>AND('Female SR Individual Speed'!A9,"AAAAAH/Dkxo=")</f>
        <v>#VALUE!</v>
      </c>
      <c r="AB13" t="e">
        <f>AND('Female SR Individual Speed'!B9,"AAAAAH/Dkxs=")</f>
        <v>#VALUE!</v>
      </c>
      <c r="AC13" t="e">
        <f>AND('Female SR Individual Speed'!C9,"AAAAAH/Dkxw=")</f>
        <v>#VALUE!</v>
      </c>
      <c r="AD13" t="e">
        <f>AND('Female SR Individual Speed'!D9,"AAAAAH/Dkx0=")</f>
        <v>#VALUE!</v>
      </c>
      <c r="AE13" t="e">
        <f>AND('Female SR Individual Speed'!E9,"AAAAAH/Dkx4=")</f>
        <v>#VALUE!</v>
      </c>
      <c r="AF13" t="e">
        <f>AND('Female SR Individual Speed'!F9,"AAAAAH/Dkx8=")</f>
        <v>#VALUE!</v>
      </c>
      <c r="AG13" t="e">
        <f>AND('Female SR Individual Speed'!G9,"AAAAAH/DkyA=")</f>
        <v>#VALUE!</v>
      </c>
      <c r="AH13" t="e">
        <f>AND('Female SR Individual Speed'!H9,"AAAAAH/DkyE=")</f>
        <v>#VALUE!</v>
      </c>
      <c r="AI13" t="e">
        <f>AND('Female SR Individual Speed'!I9,"AAAAAH/DkyI=")</f>
        <v>#VALUE!</v>
      </c>
      <c r="AJ13" t="e">
        <f>AND('Female SR Individual Speed'!J9,"AAAAAH/DkyM=")</f>
        <v>#VALUE!</v>
      </c>
      <c r="AK13" t="e">
        <f>AND('Female SR Individual Speed'!K9,"AAAAAH/DkyQ=")</f>
        <v>#VALUE!</v>
      </c>
      <c r="AL13" t="e">
        <f>AND('Female SR Individual Speed'!L9,"AAAAAH/DkyU=")</f>
        <v>#VALUE!</v>
      </c>
      <c r="AM13" t="e">
        <f>AND('Female SR Individual Speed'!M9,"AAAAAH/DkyY=")</f>
        <v>#VALUE!</v>
      </c>
      <c r="AN13">
        <f>IF('Female SR Individual Speed'!10:10,"AAAAAH/Dkyc=",0)</f>
        <v>0</v>
      </c>
      <c r="AO13" t="e">
        <f>AND('Female SR Individual Speed'!A10,"AAAAAH/Dkyg=")</f>
        <v>#VALUE!</v>
      </c>
      <c r="AP13" t="e">
        <f>AND('Female SR Individual Speed'!B10,"AAAAAH/Dkyk=")</f>
        <v>#VALUE!</v>
      </c>
      <c r="AQ13" t="e">
        <f>AND('Female SR Individual Speed'!C10,"AAAAAH/Dkyo=")</f>
        <v>#VALUE!</v>
      </c>
      <c r="AR13" t="e">
        <f>AND('Female SR Individual Speed'!D10,"AAAAAH/Dkys=")</f>
        <v>#VALUE!</v>
      </c>
      <c r="AS13" t="e">
        <f>AND('Female SR Individual Speed'!E10,"AAAAAH/Dkyw=")</f>
        <v>#VALUE!</v>
      </c>
      <c r="AT13" t="e">
        <f>AND('Female SR Individual Speed'!F10,"AAAAAH/Dky0=")</f>
        <v>#VALUE!</v>
      </c>
      <c r="AU13" t="e">
        <f>AND('Female SR Individual Speed'!G10,"AAAAAH/Dky4=")</f>
        <v>#VALUE!</v>
      </c>
      <c r="AV13" t="e">
        <f>AND('Female SR Individual Speed'!H10,"AAAAAH/Dky8=")</f>
        <v>#VALUE!</v>
      </c>
      <c r="AW13" t="e">
        <f>AND('Female SR Individual Speed'!I10,"AAAAAH/DkzA=")</f>
        <v>#VALUE!</v>
      </c>
      <c r="AX13" t="e">
        <f>AND('Female SR Individual Speed'!J10,"AAAAAH/DkzE=")</f>
        <v>#VALUE!</v>
      </c>
      <c r="AY13" t="e">
        <f>AND('Female SR Individual Speed'!K10,"AAAAAH/DkzI=")</f>
        <v>#VALUE!</v>
      </c>
      <c r="AZ13" t="e">
        <f>AND('Female SR Individual Speed'!L10,"AAAAAH/DkzM=")</f>
        <v>#VALUE!</v>
      </c>
      <c r="BA13" t="e">
        <f>AND('Female SR Individual Speed'!M10,"AAAAAH/DkzQ=")</f>
        <v>#VALUE!</v>
      </c>
      <c r="BB13">
        <f>IF('Female SR Individual Speed'!11:11,"AAAAAH/DkzU=",0)</f>
        <v>0</v>
      </c>
      <c r="BC13" t="e">
        <f>AND('Female SR Individual Speed'!A11,"AAAAAH/DkzY=")</f>
        <v>#VALUE!</v>
      </c>
      <c r="BD13" t="e">
        <f>AND('Female SR Individual Speed'!B11,"AAAAAH/Dkzc=")</f>
        <v>#VALUE!</v>
      </c>
      <c r="BE13" t="e">
        <f>AND('Female SR Individual Speed'!C11,"AAAAAH/Dkzg=")</f>
        <v>#VALUE!</v>
      </c>
      <c r="BF13" t="e">
        <f>AND('Female SR Individual Speed'!D11,"AAAAAH/Dkzk=")</f>
        <v>#VALUE!</v>
      </c>
      <c r="BG13" t="e">
        <f>AND('Female SR Individual Speed'!E11,"AAAAAH/Dkzo=")</f>
        <v>#VALUE!</v>
      </c>
      <c r="BH13" t="e">
        <f>AND('Female SR Individual Speed'!F11,"AAAAAH/Dkzs=")</f>
        <v>#VALUE!</v>
      </c>
      <c r="BI13" t="e">
        <f>AND('Female SR Individual Speed'!G11,"AAAAAH/Dkzw=")</f>
        <v>#VALUE!</v>
      </c>
      <c r="BJ13" t="e">
        <f>AND('Female SR Individual Speed'!H11,"AAAAAH/Dkz0=")</f>
        <v>#VALUE!</v>
      </c>
      <c r="BK13" t="e">
        <f>AND('Female SR Individual Speed'!I11,"AAAAAH/Dkz4=")</f>
        <v>#VALUE!</v>
      </c>
      <c r="BL13" t="e">
        <f>AND('Female SR Individual Speed'!J11,"AAAAAH/Dkz8=")</f>
        <v>#VALUE!</v>
      </c>
      <c r="BM13" t="e">
        <f>AND('Female SR Individual Speed'!K11,"AAAAAH/Dk0A=")</f>
        <v>#VALUE!</v>
      </c>
      <c r="BN13" t="e">
        <f>AND('Female SR Individual Speed'!L11,"AAAAAH/Dk0E=")</f>
        <v>#VALUE!</v>
      </c>
      <c r="BO13" t="e">
        <f>AND('Female SR Individual Speed'!M11,"AAAAAH/Dk0I=")</f>
        <v>#VALUE!</v>
      </c>
      <c r="BP13">
        <f>IF('Female SR Individual Speed'!12:12,"AAAAAH/Dk0M=",0)</f>
        <v>0</v>
      </c>
      <c r="BQ13" t="e">
        <f>AND('Female SR Individual Speed'!A12,"AAAAAH/Dk0Q=")</f>
        <v>#VALUE!</v>
      </c>
      <c r="BR13" t="e">
        <f>AND('Female SR Individual Speed'!B12,"AAAAAH/Dk0U=")</f>
        <v>#VALUE!</v>
      </c>
      <c r="BS13" t="e">
        <f>AND('Female SR Individual Speed'!C12,"AAAAAH/Dk0Y=")</f>
        <v>#VALUE!</v>
      </c>
      <c r="BT13" t="e">
        <f>AND('Female SR Individual Speed'!D12,"AAAAAH/Dk0c=")</f>
        <v>#VALUE!</v>
      </c>
      <c r="BU13" t="e">
        <f>AND('Female SR Individual Speed'!E12,"AAAAAH/Dk0g=")</f>
        <v>#VALUE!</v>
      </c>
      <c r="BV13" t="e">
        <f>AND('Female SR Individual Speed'!F12,"AAAAAH/Dk0k=")</f>
        <v>#VALUE!</v>
      </c>
      <c r="BW13" t="e">
        <f>AND('Female SR Individual Speed'!G12,"AAAAAH/Dk0o=")</f>
        <v>#VALUE!</v>
      </c>
      <c r="BX13" t="e">
        <f>AND('Female SR Individual Speed'!H12,"AAAAAH/Dk0s=")</f>
        <v>#VALUE!</v>
      </c>
      <c r="BY13" t="e">
        <f>AND('Female SR Individual Speed'!I12,"AAAAAH/Dk0w=")</f>
        <v>#VALUE!</v>
      </c>
      <c r="BZ13" t="e">
        <f>AND('Female SR Individual Speed'!J12,"AAAAAH/Dk00=")</f>
        <v>#VALUE!</v>
      </c>
      <c r="CA13" t="e">
        <f>AND('Female SR Individual Speed'!K12,"AAAAAH/Dk04=")</f>
        <v>#VALUE!</v>
      </c>
      <c r="CB13" t="e">
        <f>AND('Female SR Individual Speed'!L12,"AAAAAH/Dk08=")</f>
        <v>#VALUE!</v>
      </c>
      <c r="CC13" t="e">
        <f>AND('Female SR Individual Speed'!M12,"AAAAAH/Dk1A=")</f>
        <v>#VALUE!</v>
      </c>
      <c r="CD13">
        <f>IF('Female SR Individual Speed'!13:13,"AAAAAH/Dk1E=",0)</f>
        <v>0</v>
      </c>
      <c r="CE13" t="e">
        <f>AND('Female SR Individual Speed'!A13,"AAAAAH/Dk1I=")</f>
        <v>#VALUE!</v>
      </c>
      <c r="CF13" t="e">
        <f>AND('Female SR Individual Speed'!B13,"AAAAAH/Dk1M=")</f>
        <v>#VALUE!</v>
      </c>
      <c r="CG13" t="e">
        <f>AND('Female SR Individual Speed'!C13,"AAAAAH/Dk1Q=")</f>
        <v>#VALUE!</v>
      </c>
      <c r="CH13" t="e">
        <f>AND('Female SR Individual Speed'!D13,"AAAAAH/Dk1U=")</f>
        <v>#VALUE!</v>
      </c>
      <c r="CI13" t="e">
        <f>AND('Female SR Individual Speed'!E13,"AAAAAH/Dk1Y=")</f>
        <v>#VALUE!</v>
      </c>
      <c r="CJ13" t="e">
        <f>AND('Female SR Individual Speed'!F13,"AAAAAH/Dk1c=")</f>
        <v>#VALUE!</v>
      </c>
      <c r="CK13" t="e">
        <f>AND('Female SR Individual Speed'!G13,"AAAAAH/Dk1g=")</f>
        <v>#VALUE!</v>
      </c>
      <c r="CL13" t="e">
        <f>AND('Female SR Individual Speed'!H13,"AAAAAH/Dk1k=")</f>
        <v>#VALUE!</v>
      </c>
      <c r="CM13" t="e">
        <f>AND('Female SR Individual Speed'!I13,"AAAAAH/Dk1o=")</f>
        <v>#VALUE!</v>
      </c>
      <c r="CN13" t="e">
        <f>AND('Female SR Individual Speed'!J13,"AAAAAH/Dk1s=")</f>
        <v>#VALUE!</v>
      </c>
      <c r="CO13" t="e">
        <f>AND('Female SR Individual Speed'!K13,"AAAAAH/Dk1w=")</f>
        <v>#VALUE!</v>
      </c>
      <c r="CP13" t="e">
        <f>AND('Female SR Individual Speed'!L13,"AAAAAH/Dk10=")</f>
        <v>#VALUE!</v>
      </c>
      <c r="CQ13" t="e">
        <f>AND('Female SR Individual Speed'!M13,"AAAAAH/Dk14=")</f>
        <v>#VALUE!</v>
      </c>
      <c r="CR13">
        <f>IF('Female SR Individual Speed'!14:14,"AAAAAH/Dk18=",0)</f>
        <v>0</v>
      </c>
      <c r="CS13" t="e">
        <f>AND('Female SR Individual Speed'!A14,"AAAAAH/Dk2A=")</f>
        <v>#VALUE!</v>
      </c>
      <c r="CT13" t="e">
        <f>AND('Female SR Individual Speed'!B14,"AAAAAH/Dk2E=")</f>
        <v>#VALUE!</v>
      </c>
      <c r="CU13" t="e">
        <f>AND('Female SR Individual Speed'!C14,"AAAAAH/Dk2I=")</f>
        <v>#VALUE!</v>
      </c>
      <c r="CV13" t="e">
        <f>AND('Female SR Individual Speed'!D14,"AAAAAH/Dk2M=")</f>
        <v>#VALUE!</v>
      </c>
      <c r="CW13" t="e">
        <f>AND('Female SR Individual Speed'!E14,"AAAAAH/Dk2Q=")</f>
        <v>#VALUE!</v>
      </c>
      <c r="CX13" t="e">
        <f>AND('Female SR Individual Speed'!F14,"AAAAAH/Dk2U=")</f>
        <v>#VALUE!</v>
      </c>
      <c r="CY13" t="e">
        <f>AND('Female SR Individual Speed'!G14,"AAAAAH/Dk2Y=")</f>
        <v>#VALUE!</v>
      </c>
      <c r="CZ13" t="e">
        <f>AND('Female SR Individual Speed'!H14,"AAAAAH/Dk2c=")</f>
        <v>#VALUE!</v>
      </c>
      <c r="DA13" t="e">
        <f>AND('Female SR Individual Speed'!I14,"AAAAAH/Dk2g=")</f>
        <v>#VALUE!</v>
      </c>
      <c r="DB13" t="e">
        <f>AND('Female SR Individual Speed'!J14,"AAAAAH/Dk2k=")</f>
        <v>#VALUE!</v>
      </c>
      <c r="DC13" t="e">
        <f>AND('Female SR Individual Speed'!K14,"AAAAAH/Dk2o=")</f>
        <v>#VALUE!</v>
      </c>
      <c r="DD13" t="e">
        <f>AND('Female SR Individual Speed'!L14,"AAAAAH/Dk2s=")</f>
        <v>#VALUE!</v>
      </c>
      <c r="DE13" t="e">
        <f>AND('Female SR Individual Speed'!M14,"AAAAAH/Dk2w=")</f>
        <v>#VALUE!</v>
      </c>
      <c r="DF13">
        <f>IF('Female SR Individual Speed'!15:15,"AAAAAH/Dk20=",0)</f>
        <v>0</v>
      </c>
      <c r="DG13" t="e">
        <f>AND('Female SR Individual Speed'!A15,"AAAAAH/Dk24=")</f>
        <v>#VALUE!</v>
      </c>
      <c r="DH13" t="e">
        <f>AND('Female SR Individual Speed'!B15,"AAAAAH/Dk28=")</f>
        <v>#VALUE!</v>
      </c>
      <c r="DI13" t="e">
        <f>AND('Female SR Individual Speed'!C15,"AAAAAH/Dk3A=")</f>
        <v>#VALUE!</v>
      </c>
      <c r="DJ13" t="e">
        <f>AND('Female SR Individual Speed'!D15,"AAAAAH/Dk3E=")</f>
        <v>#VALUE!</v>
      </c>
      <c r="DK13" t="e">
        <f>AND('Female SR Individual Speed'!E15,"AAAAAH/Dk3I=")</f>
        <v>#VALUE!</v>
      </c>
      <c r="DL13" t="e">
        <f>AND('Female SR Individual Speed'!F15,"AAAAAH/Dk3M=")</f>
        <v>#VALUE!</v>
      </c>
      <c r="DM13" t="e">
        <f>AND('Female SR Individual Speed'!G15,"AAAAAH/Dk3Q=")</f>
        <v>#VALUE!</v>
      </c>
      <c r="DN13" t="e">
        <f>AND('Female SR Individual Speed'!H15,"AAAAAH/Dk3U=")</f>
        <v>#VALUE!</v>
      </c>
      <c r="DO13" t="e">
        <f>AND('Female SR Individual Speed'!I15,"AAAAAH/Dk3Y=")</f>
        <v>#VALUE!</v>
      </c>
      <c r="DP13" t="e">
        <f>AND('Female SR Individual Speed'!J15,"AAAAAH/Dk3c=")</f>
        <v>#VALUE!</v>
      </c>
      <c r="DQ13" t="e">
        <f>AND('Female SR Individual Speed'!K15,"AAAAAH/Dk3g=")</f>
        <v>#VALUE!</v>
      </c>
      <c r="DR13" t="e">
        <f>AND('Female SR Individual Speed'!L15,"AAAAAH/Dk3k=")</f>
        <v>#VALUE!</v>
      </c>
      <c r="DS13" t="e">
        <f>AND('Female SR Individual Speed'!M15,"AAAAAH/Dk3o=")</f>
        <v>#VALUE!</v>
      </c>
      <c r="DT13">
        <f>IF('Female SR Individual Speed'!16:16,"AAAAAH/Dk3s=",0)</f>
        <v>0</v>
      </c>
      <c r="DU13" t="e">
        <f>AND('Female SR Individual Speed'!A16,"AAAAAH/Dk3w=")</f>
        <v>#VALUE!</v>
      </c>
      <c r="DV13" t="e">
        <f>AND('Female SR Individual Speed'!B16,"AAAAAH/Dk30=")</f>
        <v>#VALUE!</v>
      </c>
      <c r="DW13" t="e">
        <f>AND('Female SR Individual Speed'!C16,"AAAAAH/Dk34=")</f>
        <v>#VALUE!</v>
      </c>
      <c r="DX13" t="e">
        <f>AND('Female SR Individual Speed'!D16,"AAAAAH/Dk38=")</f>
        <v>#VALUE!</v>
      </c>
      <c r="DY13" t="e">
        <f>AND('Female SR Individual Speed'!E16,"AAAAAH/Dk4A=")</f>
        <v>#VALUE!</v>
      </c>
      <c r="DZ13" t="e">
        <f>AND('Female SR Individual Speed'!F16,"AAAAAH/Dk4E=")</f>
        <v>#VALUE!</v>
      </c>
      <c r="EA13" t="e">
        <f>AND('Female SR Individual Speed'!G16,"AAAAAH/Dk4I=")</f>
        <v>#VALUE!</v>
      </c>
      <c r="EB13" t="e">
        <f>AND('Female SR Individual Speed'!H16,"AAAAAH/Dk4M=")</f>
        <v>#VALUE!</v>
      </c>
      <c r="EC13" t="e">
        <f>AND('Female SR Individual Speed'!I16,"AAAAAH/Dk4Q=")</f>
        <v>#VALUE!</v>
      </c>
      <c r="ED13" t="e">
        <f>AND('Female SR Individual Speed'!J16,"AAAAAH/Dk4U=")</f>
        <v>#VALUE!</v>
      </c>
      <c r="EE13" t="e">
        <f>AND('Female SR Individual Speed'!K16,"AAAAAH/Dk4Y=")</f>
        <v>#VALUE!</v>
      </c>
      <c r="EF13" t="e">
        <f>AND('Female SR Individual Speed'!L16,"AAAAAH/Dk4c=")</f>
        <v>#VALUE!</v>
      </c>
      <c r="EG13" t="e">
        <f>AND('Female SR Individual Speed'!M16,"AAAAAH/Dk4g=")</f>
        <v>#VALUE!</v>
      </c>
      <c r="EH13">
        <f>IF('Female SR Individual Speed'!17:17,"AAAAAH/Dk4k=",0)</f>
        <v>0</v>
      </c>
      <c r="EI13" t="e">
        <f>AND('Female SR Individual Speed'!A17,"AAAAAH/Dk4o=")</f>
        <v>#VALUE!</v>
      </c>
      <c r="EJ13" t="e">
        <f>AND('Female SR Individual Speed'!B17,"AAAAAH/Dk4s=")</f>
        <v>#VALUE!</v>
      </c>
      <c r="EK13" t="e">
        <f>AND('Female SR Individual Speed'!C17,"AAAAAH/Dk4w=")</f>
        <v>#VALUE!</v>
      </c>
      <c r="EL13" t="e">
        <f>AND('Female SR Individual Speed'!D17,"AAAAAH/Dk40=")</f>
        <v>#VALUE!</v>
      </c>
      <c r="EM13" t="e">
        <f>AND('Female SR Individual Speed'!E17,"AAAAAH/Dk44=")</f>
        <v>#VALUE!</v>
      </c>
      <c r="EN13" t="e">
        <f>AND('Female SR Individual Speed'!F17,"AAAAAH/Dk48=")</f>
        <v>#VALUE!</v>
      </c>
      <c r="EO13" t="e">
        <f>AND('Female SR Individual Speed'!G17,"AAAAAH/Dk5A=")</f>
        <v>#VALUE!</v>
      </c>
      <c r="EP13" t="e">
        <f>AND('Female SR Individual Speed'!H17,"AAAAAH/Dk5E=")</f>
        <v>#VALUE!</v>
      </c>
      <c r="EQ13" t="e">
        <f>AND('Female SR Individual Speed'!I17,"AAAAAH/Dk5I=")</f>
        <v>#VALUE!</v>
      </c>
      <c r="ER13" t="e">
        <f>AND('Female SR Individual Speed'!J17,"AAAAAH/Dk5M=")</f>
        <v>#VALUE!</v>
      </c>
      <c r="ES13" t="e">
        <f>AND('Female SR Individual Speed'!K17,"AAAAAH/Dk5Q=")</f>
        <v>#VALUE!</v>
      </c>
      <c r="ET13" t="e">
        <f>AND('Female SR Individual Speed'!L17,"AAAAAH/Dk5U=")</f>
        <v>#VALUE!</v>
      </c>
      <c r="EU13" t="e">
        <f>AND('Female SR Individual Speed'!M17,"AAAAAH/Dk5Y=")</f>
        <v>#VALUE!</v>
      </c>
      <c r="EV13">
        <f>IF('Female SR Individual Speed'!18:18,"AAAAAH/Dk5c=",0)</f>
        <v>0</v>
      </c>
      <c r="EW13" t="e">
        <f>AND('Female SR Individual Speed'!A18,"AAAAAH/Dk5g=")</f>
        <v>#VALUE!</v>
      </c>
      <c r="EX13" t="e">
        <f>AND('Female SR Individual Speed'!B18,"AAAAAH/Dk5k=")</f>
        <v>#VALUE!</v>
      </c>
      <c r="EY13" t="e">
        <f>AND('Female SR Individual Speed'!C18,"AAAAAH/Dk5o=")</f>
        <v>#VALUE!</v>
      </c>
      <c r="EZ13" t="e">
        <f>AND('Female SR Individual Speed'!D18,"AAAAAH/Dk5s=")</f>
        <v>#VALUE!</v>
      </c>
      <c r="FA13" t="e">
        <f>AND('Female SR Individual Speed'!E18,"AAAAAH/Dk5w=")</f>
        <v>#VALUE!</v>
      </c>
      <c r="FB13" t="e">
        <f>AND('Female SR Individual Speed'!F18,"AAAAAH/Dk50=")</f>
        <v>#VALUE!</v>
      </c>
      <c r="FC13" t="e">
        <f>AND('Female SR Individual Speed'!G18,"AAAAAH/Dk54=")</f>
        <v>#VALUE!</v>
      </c>
      <c r="FD13" t="e">
        <f>AND('Female SR Individual Speed'!H18,"AAAAAH/Dk58=")</f>
        <v>#VALUE!</v>
      </c>
      <c r="FE13" t="e">
        <f>AND('Female SR Individual Speed'!I18,"AAAAAH/Dk6A=")</f>
        <v>#VALUE!</v>
      </c>
      <c r="FF13" t="e">
        <f>AND('Female SR Individual Speed'!J18,"AAAAAH/Dk6E=")</f>
        <v>#VALUE!</v>
      </c>
      <c r="FG13" t="e">
        <f>AND('Female SR Individual Speed'!K18,"AAAAAH/Dk6I=")</f>
        <v>#VALUE!</v>
      </c>
      <c r="FH13" t="e">
        <f>AND('Female SR Individual Speed'!L18,"AAAAAH/Dk6M=")</f>
        <v>#VALUE!</v>
      </c>
      <c r="FI13" t="e">
        <f>AND('Female SR Individual Speed'!M18,"AAAAAH/Dk6Q=")</f>
        <v>#VALUE!</v>
      </c>
      <c r="FJ13">
        <f>IF('Female SR Individual Speed'!19:19,"AAAAAH/Dk6U=",0)</f>
        <v>0</v>
      </c>
      <c r="FK13" t="e">
        <f>AND('Female SR Individual Speed'!A19,"AAAAAH/Dk6Y=")</f>
        <v>#VALUE!</v>
      </c>
      <c r="FL13" t="e">
        <f>AND('Female SR Individual Speed'!B19,"AAAAAH/Dk6c=")</f>
        <v>#VALUE!</v>
      </c>
      <c r="FM13" t="e">
        <f>AND('Female SR Individual Speed'!C19,"AAAAAH/Dk6g=")</f>
        <v>#VALUE!</v>
      </c>
      <c r="FN13" t="e">
        <f>AND('Female SR Individual Speed'!D19,"AAAAAH/Dk6k=")</f>
        <v>#VALUE!</v>
      </c>
      <c r="FO13" t="e">
        <f>AND('Female SR Individual Speed'!E19,"AAAAAH/Dk6o=")</f>
        <v>#VALUE!</v>
      </c>
      <c r="FP13" t="e">
        <f>AND('Female SR Individual Speed'!F19,"AAAAAH/Dk6s=")</f>
        <v>#VALUE!</v>
      </c>
      <c r="FQ13" t="e">
        <f>AND('Female SR Individual Speed'!G19,"AAAAAH/Dk6w=")</f>
        <v>#VALUE!</v>
      </c>
      <c r="FR13" t="e">
        <f>AND('Female SR Individual Speed'!H19,"AAAAAH/Dk60=")</f>
        <v>#VALUE!</v>
      </c>
      <c r="FS13" t="e">
        <f>AND('Female SR Individual Speed'!I19,"AAAAAH/Dk64=")</f>
        <v>#VALUE!</v>
      </c>
      <c r="FT13" t="e">
        <f>AND('Female SR Individual Speed'!J19,"AAAAAH/Dk68=")</f>
        <v>#VALUE!</v>
      </c>
      <c r="FU13" t="e">
        <f>AND('Female SR Individual Speed'!K19,"AAAAAH/Dk7A=")</f>
        <v>#VALUE!</v>
      </c>
      <c r="FV13" t="e">
        <f>AND('Female SR Individual Speed'!L19,"AAAAAH/Dk7E=")</f>
        <v>#VALUE!</v>
      </c>
      <c r="FW13" t="e">
        <f>AND('Female SR Individual Speed'!M19,"AAAAAH/Dk7I=")</f>
        <v>#VALUE!</v>
      </c>
      <c r="FX13">
        <f>IF('Female SR Individual Speed'!20:20,"AAAAAH/Dk7M=",0)</f>
        <v>0</v>
      </c>
      <c r="FY13" t="e">
        <f>AND('Female SR Individual Speed'!A20,"AAAAAH/Dk7Q=")</f>
        <v>#VALUE!</v>
      </c>
      <c r="FZ13" t="e">
        <f>AND('Female SR Individual Speed'!B20,"AAAAAH/Dk7U=")</f>
        <v>#VALUE!</v>
      </c>
      <c r="GA13" t="e">
        <f>AND('Female SR Individual Speed'!C20,"AAAAAH/Dk7Y=")</f>
        <v>#VALUE!</v>
      </c>
      <c r="GB13" t="e">
        <f>AND('Female SR Individual Speed'!D20,"AAAAAH/Dk7c=")</f>
        <v>#VALUE!</v>
      </c>
      <c r="GC13" t="e">
        <f>AND('Female SR Individual Speed'!E20,"AAAAAH/Dk7g=")</f>
        <v>#VALUE!</v>
      </c>
      <c r="GD13" t="e">
        <f>AND('Female SR Individual Speed'!F20,"AAAAAH/Dk7k=")</f>
        <v>#VALUE!</v>
      </c>
      <c r="GE13" t="e">
        <f>AND('Female SR Individual Speed'!G20,"AAAAAH/Dk7o=")</f>
        <v>#VALUE!</v>
      </c>
      <c r="GF13" t="e">
        <f>AND('Female SR Individual Speed'!H20,"AAAAAH/Dk7s=")</f>
        <v>#VALUE!</v>
      </c>
      <c r="GG13" t="e">
        <f>AND('Female SR Individual Speed'!I20,"AAAAAH/Dk7w=")</f>
        <v>#VALUE!</v>
      </c>
      <c r="GH13" t="e">
        <f>AND('Female SR Individual Speed'!J20,"AAAAAH/Dk70=")</f>
        <v>#VALUE!</v>
      </c>
      <c r="GI13" t="e">
        <f>AND('Female SR Individual Speed'!K20,"AAAAAH/Dk74=")</f>
        <v>#VALUE!</v>
      </c>
      <c r="GJ13" t="e">
        <f>AND('Female SR Individual Speed'!L20,"AAAAAH/Dk78=")</f>
        <v>#VALUE!</v>
      </c>
      <c r="GK13" t="e">
        <f>AND('Female SR Individual Speed'!M20,"AAAAAH/Dk8A=")</f>
        <v>#VALUE!</v>
      </c>
      <c r="GL13">
        <f>IF('Female SR Individual Speed'!21:21,"AAAAAH/Dk8E=",0)</f>
        <v>0</v>
      </c>
      <c r="GM13" t="e">
        <f>AND('Female SR Individual Speed'!A21,"AAAAAH/Dk8I=")</f>
        <v>#VALUE!</v>
      </c>
      <c r="GN13" t="e">
        <f>AND('Female SR Individual Speed'!B21,"AAAAAH/Dk8M=")</f>
        <v>#VALUE!</v>
      </c>
      <c r="GO13" t="e">
        <f>AND('Female SR Individual Speed'!C21,"AAAAAH/Dk8Q=")</f>
        <v>#VALUE!</v>
      </c>
      <c r="GP13" t="e">
        <f>AND('Female SR Individual Speed'!D21,"AAAAAH/Dk8U=")</f>
        <v>#VALUE!</v>
      </c>
      <c r="GQ13" t="e">
        <f>AND('Female SR Individual Speed'!E21,"AAAAAH/Dk8Y=")</f>
        <v>#VALUE!</v>
      </c>
      <c r="GR13" t="e">
        <f>AND('Female SR Individual Speed'!F21,"AAAAAH/Dk8c=")</f>
        <v>#VALUE!</v>
      </c>
      <c r="GS13" t="e">
        <f>AND('Female SR Individual Speed'!G21,"AAAAAH/Dk8g=")</f>
        <v>#VALUE!</v>
      </c>
      <c r="GT13" t="e">
        <f>AND('Female SR Individual Speed'!H21,"AAAAAH/Dk8k=")</f>
        <v>#VALUE!</v>
      </c>
      <c r="GU13" t="e">
        <f>AND('Female SR Individual Speed'!I21,"AAAAAH/Dk8o=")</f>
        <v>#VALUE!</v>
      </c>
      <c r="GV13" t="e">
        <f>AND('Female SR Individual Speed'!J21,"AAAAAH/Dk8s=")</f>
        <v>#VALUE!</v>
      </c>
      <c r="GW13" t="e">
        <f>AND('Female SR Individual Speed'!K21,"AAAAAH/Dk8w=")</f>
        <v>#VALUE!</v>
      </c>
      <c r="GX13" t="e">
        <f>AND('Female SR Individual Speed'!L21,"AAAAAH/Dk80=")</f>
        <v>#VALUE!</v>
      </c>
      <c r="GY13" t="e">
        <f>AND('Female SR Individual Speed'!M21,"AAAAAH/Dk84=")</f>
        <v>#VALUE!</v>
      </c>
      <c r="GZ13">
        <f>IF('Female SR Individual Speed'!22:22,"AAAAAH/Dk88=",0)</f>
        <v>0</v>
      </c>
      <c r="HA13" t="e">
        <f>AND('Female SR Individual Speed'!A22,"AAAAAH/Dk9A=")</f>
        <v>#VALUE!</v>
      </c>
      <c r="HB13" t="e">
        <f>AND('Female SR Individual Speed'!B22,"AAAAAH/Dk9E=")</f>
        <v>#VALUE!</v>
      </c>
      <c r="HC13" t="e">
        <f>AND('Female SR Individual Speed'!C22,"AAAAAH/Dk9I=")</f>
        <v>#VALUE!</v>
      </c>
      <c r="HD13" t="e">
        <f>AND('Female SR Individual Speed'!D22,"AAAAAH/Dk9M=")</f>
        <v>#VALUE!</v>
      </c>
      <c r="HE13" t="e">
        <f>AND('Female SR Individual Speed'!E22,"AAAAAH/Dk9Q=")</f>
        <v>#VALUE!</v>
      </c>
      <c r="HF13" t="e">
        <f>AND('Female SR Individual Speed'!F22,"AAAAAH/Dk9U=")</f>
        <v>#VALUE!</v>
      </c>
      <c r="HG13" t="e">
        <f>AND('Female SR Individual Speed'!G22,"AAAAAH/Dk9Y=")</f>
        <v>#VALUE!</v>
      </c>
      <c r="HH13" t="e">
        <f>AND('Female SR Individual Speed'!H22,"AAAAAH/Dk9c=")</f>
        <v>#VALUE!</v>
      </c>
      <c r="HI13" t="e">
        <f>AND('Female SR Individual Speed'!I22,"AAAAAH/Dk9g=")</f>
        <v>#VALUE!</v>
      </c>
      <c r="HJ13" t="e">
        <f>AND('Female SR Individual Speed'!J22,"AAAAAH/Dk9k=")</f>
        <v>#VALUE!</v>
      </c>
      <c r="HK13" t="e">
        <f>AND('Female SR Individual Speed'!K22,"AAAAAH/Dk9o=")</f>
        <v>#VALUE!</v>
      </c>
      <c r="HL13" t="e">
        <f>AND('Female SR Individual Speed'!L22,"AAAAAH/Dk9s=")</f>
        <v>#VALUE!</v>
      </c>
      <c r="HM13" t="e">
        <f>AND('Female SR Individual Speed'!M22,"AAAAAH/Dk9w=")</f>
        <v>#VALUE!</v>
      </c>
      <c r="HN13">
        <f>IF('Female SR Individual Speed'!23:23,"AAAAAH/Dk90=",0)</f>
        <v>0</v>
      </c>
      <c r="HO13" t="e">
        <f>AND('Female SR Individual Speed'!A23,"AAAAAH/Dk94=")</f>
        <v>#VALUE!</v>
      </c>
      <c r="HP13" t="e">
        <f>AND('Female SR Individual Speed'!B23,"AAAAAH/Dk98=")</f>
        <v>#VALUE!</v>
      </c>
      <c r="HQ13" t="e">
        <f>AND('Female SR Individual Speed'!C23,"AAAAAH/Dk+A=")</f>
        <v>#VALUE!</v>
      </c>
      <c r="HR13" t="e">
        <f>AND('Female SR Individual Speed'!D23,"AAAAAH/Dk+E=")</f>
        <v>#VALUE!</v>
      </c>
      <c r="HS13" t="e">
        <f>AND('Female SR Individual Speed'!E23,"AAAAAH/Dk+I=")</f>
        <v>#VALUE!</v>
      </c>
      <c r="HT13" t="e">
        <f>AND('Female SR Individual Speed'!F23,"AAAAAH/Dk+M=")</f>
        <v>#VALUE!</v>
      </c>
      <c r="HU13" t="e">
        <f>AND('Female SR Individual Speed'!G23,"AAAAAH/Dk+Q=")</f>
        <v>#VALUE!</v>
      </c>
      <c r="HV13" t="e">
        <f>AND('Female SR Individual Speed'!H23,"AAAAAH/Dk+U=")</f>
        <v>#VALUE!</v>
      </c>
      <c r="HW13" t="e">
        <f>AND('Female SR Individual Speed'!I23,"AAAAAH/Dk+Y=")</f>
        <v>#VALUE!</v>
      </c>
      <c r="HX13" t="e">
        <f>AND('Female SR Individual Speed'!J23,"AAAAAH/Dk+c=")</f>
        <v>#VALUE!</v>
      </c>
      <c r="HY13" t="e">
        <f>AND('Female SR Individual Speed'!K23,"AAAAAH/Dk+g=")</f>
        <v>#VALUE!</v>
      </c>
      <c r="HZ13" t="e">
        <f>AND('Female SR Individual Speed'!L23,"AAAAAH/Dk+k=")</f>
        <v>#VALUE!</v>
      </c>
      <c r="IA13" t="e">
        <f>AND('Female SR Individual Speed'!M23,"AAAAAH/Dk+o=")</f>
        <v>#VALUE!</v>
      </c>
      <c r="IB13">
        <f>IF('Female SR Individual Speed'!24:24,"AAAAAH/Dk+s=",0)</f>
        <v>0</v>
      </c>
      <c r="IC13" t="e">
        <f>AND('Female SR Individual Speed'!A24,"AAAAAH/Dk+w=")</f>
        <v>#VALUE!</v>
      </c>
      <c r="ID13" t="e">
        <f>AND('Female SR Individual Speed'!B24,"AAAAAH/Dk+0=")</f>
        <v>#VALUE!</v>
      </c>
      <c r="IE13" t="e">
        <f>AND('Female SR Individual Speed'!C24,"AAAAAH/Dk+4=")</f>
        <v>#VALUE!</v>
      </c>
      <c r="IF13" t="e">
        <f>AND('Female SR Individual Speed'!D24,"AAAAAH/Dk+8=")</f>
        <v>#VALUE!</v>
      </c>
      <c r="IG13" t="e">
        <f>AND('Female SR Individual Speed'!E24,"AAAAAH/Dk/A=")</f>
        <v>#VALUE!</v>
      </c>
      <c r="IH13" t="e">
        <f>AND('Female SR Individual Speed'!F24,"AAAAAH/Dk/E=")</f>
        <v>#VALUE!</v>
      </c>
      <c r="II13" t="e">
        <f>AND('Female SR Individual Speed'!G24,"AAAAAH/Dk/I=")</f>
        <v>#VALUE!</v>
      </c>
      <c r="IJ13" t="e">
        <f>AND('Female SR Individual Speed'!H24,"AAAAAH/Dk/M=")</f>
        <v>#VALUE!</v>
      </c>
      <c r="IK13" t="e">
        <f>AND('Female SR Individual Speed'!I24,"AAAAAH/Dk/Q=")</f>
        <v>#VALUE!</v>
      </c>
      <c r="IL13" t="e">
        <f>AND('Female SR Individual Speed'!J24,"AAAAAH/Dk/U=")</f>
        <v>#VALUE!</v>
      </c>
      <c r="IM13" t="e">
        <f>AND('Female SR Individual Speed'!K24,"AAAAAH/Dk/Y=")</f>
        <v>#VALUE!</v>
      </c>
      <c r="IN13" t="e">
        <f>AND('Female SR Individual Speed'!L24,"AAAAAH/Dk/c=")</f>
        <v>#VALUE!</v>
      </c>
      <c r="IO13" t="e">
        <f>AND('Female SR Individual Speed'!M24,"AAAAAH/Dk/g=")</f>
        <v>#VALUE!</v>
      </c>
      <c r="IP13">
        <f>IF('Female SR Individual Speed'!25:25,"AAAAAH/Dk/k=",0)</f>
        <v>0</v>
      </c>
      <c r="IQ13" t="e">
        <f>AND('Female SR Individual Speed'!A25,"AAAAAH/Dk/o=")</f>
        <v>#VALUE!</v>
      </c>
      <c r="IR13" t="e">
        <f>AND('Female SR Individual Speed'!B25,"AAAAAH/Dk/s=")</f>
        <v>#VALUE!</v>
      </c>
      <c r="IS13" t="e">
        <f>AND('Female SR Individual Speed'!C25,"AAAAAH/Dk/w=")</f>
        <v>#VALUE!</v>
      </c>
      <c r="IT13" t="e">
        <f>AND('Female SR Individual Speed'!D25,"AAAAAH/Dk/0=")</f>
        <v>#VALUE!</v>
      </c>
      <c r="IU13" t="e">
        <f>AND('Female SR Individual Speed'!E25,"AAAAAH/Dk/4=")</f>
        <v>#VALUE!</v>
      </c>
      <c r="IV13" t="e">
        <f>AND('Female SR Individual Speed'!F25,"AAAAAH/Dk/8=")</f>
        <v>#VALUE!</v>
      </c>
    </row>
    <row r="14" spans="1:256" x14ac:dyDescent="0.25">
      <c r="A14" t="e">
        <f>AND('Female SR Individual Speed'!G25,"AAAAAFzf9wA=")</f>
        <v>#VALUE!</v>
      </c>
      <c r="B14" t="e">
        <f>AND('Female SR Individual Speed'!H25,"AAAAAFzf9wE=")</f>
        <v>#VALUE!</v>
      </c>
      <c r="C14" t="e">
        <f>AND('Female SR Individual Speed'!I25,"AAAAAFzf9wI=")</f>
        <v>#VALUE!</v>
      </c>
      <c r="D14" t="e">
        <f>AND('Female SR Individual Speed'!J25,"AAAAAFzf9wM=")</f>
        <v>#VALUE!</v>
      </c>
      <c r="E14" t="e">
        <f>AND('Female SR Individual Speed'!K25,"AAAAAFzf9wQ=")</f>
        <v>#VALUE!</v>
      </c>
      <c r="F14" t="e">
        <f>AND('Female SR Individual Speed'!L25,"AAAAAFzf9wU=")</f>
        <v>#VALUE!</v>
      </c>
      <c r="G14" t="e">
        <f>AND('Female SR Individual Speed'!M25,"AAAAAFzf9wY=")</f>
        <v>#VALUE!</v>
      </c>
      <c r="H14" t="e">
        <f>IF('Female SR Individual Speed'!26:26,"AAAAAFzf9wc=",0)</f>
        <v>#VALUE!</v>
      </c>
      <c r="I14" t="e">
        <f>AND('Female SR Individual Speed'!A26,"AAAAAFzf9wg=")</f>
        <v>#VALUE!</v>
      </c>
      <c r="J14" t="e">
        <f>AND('Female SR Individual Speed'!B26,"AAAAAFzf9wk=")</f>
        <v>#VALUE!</v>
      </c>
      <c r="K14" t="e">
        <f>AND('Female SR Individual Speed'!C26,"AAAAAFzf9wo=")</f>
        <v>#VALUE!</v>
      </c>
      <c r="L14" t="e">
        <f>AND('Female SR Individual Speed'!D26,"AAAAAFzf9ws=")</f>
        <v>#VALUE!</v>
      </c>
      <c r="M14" t="e">
        <f>AND('Female SR Individual Speed'!E26,"AAAAAFzf9ww=")</f>
        <v>#VALUE!</v>
      </c>
      <c r="N14" t="e">
        <f>AND('Female SR Individual Speed'!F26,"AAAAAFzf9w0=")</f>
        <v>#VALUE!</v>
      </c>
      <c r="O14" t="e">
        <f>AND('Female SR Individual Speed'!G26,"AAAAAFzf9w4=")</f>
        <v>#VALUE!</v>
      </c>
      <c r="P14" t="e">
        <f>AND('Female SR Individual Speed'!H26,"AAAAAFzf9w8=")</f>
        <v>#VALUE!</v>
      </c>
      <c r="Q14" t="e">
        <f>AND('Female SR Individual Speed'!I26,"AAAAAFzf9xA=")</f>
        <v>#VALUE!</v>
      </c>
      <c r="R14" t="e">
        <f>AND('Female SR Individual Speed'!J26,"AAAAAFzf9xE=")</f>
        <v>#VALUE!</v>
      </c>
      <c r="S14" t="e">
        <f>AND('Female SR Individual Speed'!K26,"AAAAAFzf9xI=")</f>
        <v>#VALUE!</v>
      </c>
      <c r="T14" t="e">
        <f>AND('Female SR Individual Speed'!L26,"AAAAAFzf9xM=")</f>
        <v>#VALUE!</v>
      </c>
      <c r="U14" t="e">
        <f>AND('Female SR Individual Speed'!M26,"AAAAAFzf9xQ=")</f>
        <v>#VALUE!</v>
      </c>
      <c r="V14">
        <f>IF('Female SR Individual Speed'!27:27,"AAAAAFzf9xU=",0)</f>
        <v>0</v>
      </c>
      <c r="W14" t="e">
        <f>AND('Female SR Individual Speed'!A27,"AAAAAFzf9xY=")</f>
        <v>#VALUE!</v>
      </c>
      <c r="X14" t="e">
        <f>AND('Female SR Individual Speed'!B27,"AAAAAFzf9xc=")</f>
        <v>#VALUE!</v>
      </c>
      <c r="Y14" t="e">
        <f>AND('Female SR Individual Speed'!C27,"AAAAAFzf9xg=")</f>
        <v>#VALUE!</v>
      </c>
      <c r="Z14" t="e">
        <f>AND('Female SR Individual Speed'!D27,"AAAAAFzf9xk=")</f>
        <v>#VALUE!</v>
      </c>
      <c r="AA14" t="e">
        <f>AND('Female SR Individual Speed'!E27,"AAAAAFzf9xo=")</f>
        <v>#VALUE!</v>
      </c>
      <c r="AB14" t="e">
        <f>AND('Female SR Individual Speed'!F27,"AAAAAFzf9xs=")</f>
        <v>#VALUE!</v>
      </c>
      <c r="AC14" t="e">
        <f>AND('Female SR Individual Speed'!G27,"AAAAAFzf9xw=")</f>
        <v>#VALUE!</v>
      </c>
      <c r="AD14" t="e">
        <f>AND('Female SR Individual Speed'!H27,"AAAAAFzf9x0=")</f>
        <v>#VALUE!</v>
      </c>
      <c r="AE14" t="e">
        <f>AND('Female SR Individual Speed'!I27,"AAAAAFzf9x4=")</f>
        <v>#VALUE!</v>
      </c>
      <c r="AF14" t="e">
        <f>AND('Female SR Individual Speed'!J27,"AAAAAFzf9x8=")</f>
        <v>#VALUE!</v>
      </c>
      <c r="AG14" t="e">
        <f>AND('Female SR Individual Speed'!K27,"AAAAAFzf9yA=")</f>
        <v>#VALUE!</v>
      </c>
      <c r="AH14" t="e">
        <f>AND('Female SR Individual Speed'!L27,"AAAAAFzf9yE=")</f>
        <v>#VALUE!</v>
      </c>
      <c r="AI14" t="e">
        <f>AND('Female SR Individual Speed'!M27,"AAAAAFzf9yI=")</f>
        <v>#VALUE!</v>
      </c>
      <c r="AJ14">
        <f>IF('Female SR Individual Speed'!28:28,"AAAAAFzf9yM=",0)</f>
        <v>0</v>
      </c>
      <c r="AK14" t="e">
        <f>AND('Female SR Individual Speed'!A28,"AAAAAFzf9yQ=")</f>
        <v>#VALUE!</v>
      </c>
      <c r="AL14" t="e">
        <f>AND('Female SR Individual Speed'!B28,"AAAAAFzf9yU=")</f>
        <v>#VALUE!</v>
      </c>
      <c r="AM14" t="e">
        <f>AND('Female SR Individual Speed'!C28,"AAAAAFzf9yY=")</f>
        <v>#VALUE!</v>
      </c>
      <c r="AN14" t="e">
        <f>AND('Female SR Individual Speed'!D28,"AAAAAFzf9yc=")</f>
        <v>#VALUE!</v>
      </c>
      <c r="AO14" t="e">
        <f>AND('Female SR Individual Speed'!E28,"AAAAAFzf9yg=")</f>
        <v>#VALUE!</v>
      </c>
      <c r="AP14" t="e">
        <f>AND('Female SR Individual Speed'!F28,"AAAAAFzf9yk=")</f>
        <v>#VALUE!</v>
      </c>
      <c r="AQ14" t="e">
        <f>AND('Female SR Individual Speed'!G28,"AAAAAFzf9yo=")</f>
        <v>#VALUE!</v>
      </c>
      <c r="AR14" t="e">
        <f>AND('Female SR Individual Speed'!H28,"AAAAAFzf9ys=")</f>
        <v>#VALUE!</v>
      </c>
      <c r="AS14" t="e">
        <f>AND('Female SR Individual Speed'!I28,"AAAAAFzf9yw=")</f>
        <v>#VALUE!</v>
      </c>
      <c r="AT14" t="e">
        <f>AND('Female SR Individual Speed'!J28,"AAAAAFzf9y0=")</f>
        <v>#VALUE!</v>
      </c>
      <c r="AU14" t="e">
        <f>AND('Female SR Individual Speed'!K28,"AAAAAFzf9y4=")</f>
        <v>#VALUE!</v>
      </c>
      <c r="AV14" t="e">
        <f>AND('Female SR Individual Speed'!L28,"AAAAAFzf9y8=")</f>
        <v>#VALUE!</v>
      </c>
      <c r="AW14" t="e">
        <f>AND('Female SR Individual Speed'!M28,"AAAAAFzf9zA=")</f>
        <v>#VALUE!</v>
      </c>
      <c r="AX14">
        <f>IF('Female SR Individual Speed'!29:29,"AAAAAFzf9zE=",0)</f>
        <v>0</v>
      </c>
      <c r="AY14" t="e">
        <f>AND('Female SR Individual Speed'!A29,"AAAAAFzf9zI=")</f>
        <v>#VALUE!</v>
      </c>
      <c r="AZ14" t="e">
        <f>AND('Female SR Individual Speed'!B29,"AAAAAFzf9zM=")</f>
        <v>#VALUE!</v>
      </c>
      <c r="BA14" t="e">
        <f>AND('Female SR Individual Speed'!C29,"AAAAAFzf9zQ=")</f>
        <v>#VALUE!</v>
      </c>
      <c r="BB14" t="e">
        <f>AND('Female SR Individual Speed'!D29,"AAAAAFzf9zU=")</f>
        <v>#VALUE!</v>
      </c>
      <c r="BC14" t="e">
        <f>AND('Female SR Individual Speed'!E29,"AAAAAFzf9zY=")</f>
        <v>#VALUE!</v>
      </c>
      <c r="BD14" t="e">
        <f>AND('Female SR Individual Speed'!F29,"AAAAAFzf9zc=")</f>
        <v>#VALUE!</v>
      </c>
      <c r="BE14" t="e">
        <f>AND('Female SR Individual Speed'!G29,"AAAAAFzf9zg=")</f>
        <v>#VALUE!</v>
      </c>
      <c r="BF14" t="e">
        <f>AND('Female SR Individual Speed'!H29,"AAAAAFzf9zk=")</f>
        <v>#VALUE!</v>
      </c>
      <c r="BG14" t="e">
        <f>AND('Female SR Individual Speed'!I29,"AAAAAFzf9zo=")</f>
        <v>#VALUE!</v>
      </c>
      <c r="BH14" t="e">
        <f>AND('Female SR Individual Speed'!J29,"AAAAAFzf9zs=")</f>
        <v>#VALUE!</v>
      </c>
      <c r="BI14" t="e">
        <f>AND('Female SR Individual Speed'!K29,"AAAAAFzf9zw=")</f>
        <v>#VALUE!</v>
      </c>
      <c r="BJ14" t="e">
        <f>AND('Female SR Individual Speed'!L29,"AAAAAFzf9z0=")</f>
        <v>#VALUE!</v>
      </c>
      <c r="BK14" t="e">
        <f>AND('Female SR Individual Speed'!M29,"AAAAAFzf9z4=")</f>
        <v>#VALUE!</v>
      </c>
      <c r="BL14">
        <f>IF('Female SR Individual Speed'!30:30,"AAAAAFzf9z8=",0)</f>
        <v>0</v>
      </c>
      <c r="BM14" t="e">
        <f>AND('Female SR Individual Speed'!A30,"AAAAAFzf90A=")</f>
        <v>#VALUE!</v>
      </c>
      <c r="BN14" t="e">
        <f>AND('Female SR Individual Speed'!B30,"AAAAAFzf90E=")</f>
        <v>#VALUE!</v>
      </c>
      <c r="BO14" t="e">
        <f>AND('Female SR Individual Speed'!C30,"AAAAAFzf90I=")</f>
        <v>#VALUE!</v>
      </c>
      <c r="BP14" t="e">
        <f>AND('Female SR Individual Speed'!D30,"AAAAAFzf90M=")</f>
        <v>#VALUE!</v>
      </c>
      <c r="BQ14" t="e">
        <f>AND('Female SR Individual Speed'!E30,"AAAAAFzf90Q=")</f>
        <v>#VALUE!</v>
      </c>
      <c r="BR14" t="e">
        <f>AND('Female SR Individual Speed'!F30,"AAAAAFzf90U=")</f>
        <v>#VALUE!</v>
      </c>
      <c r="BS14" t="e">
        <f>AND('Female SR Individual Speed'!G30,"AAAAAFzf90Y=")</f>
        <v>#VALUE!</v>
      </c>
      <c r="BT14" t="e">
        <f>AND('Female SR Individual Speed'!H30,"AAAAAFzf90c=")</f>
        <v>#VALUE!</v>
      </c>
      <c r="BU14" t="e">
        <f>AND('Female SR Individual Speed'!I30,"AAAAAFzf90g=")</f>
        <v>#VALUE!</v>
      </c>
      <c r="BV14" t="e">
        <f>AND('Female SR Individual Speed'!J30,"AAAAAFzf90k=")</f>
        <v>#VALUE!</v>
      </c>
      <c r="BW14" t="e">
        <f>AND('Female SR Individual Speed'!K30,"AAAAAFzf90o=")</f>
        <v>#VALUE!</v>
      </c>
      <c r="BX14" t="e">
        <f>AND('Female SR Individual Speed'!L30,"AAAAAFzf90s=")</f>
        <v>#VALUE!</v>
      </c>
      <c r="BY14" t="e">
        <f>AND('Female SR Individual Speed'!M30,"AAAAAFzf90w=")</f>
        <v>#VALUE!</v>
      </c>
      <c r="BZ14">
        <f>IF('Female SR Individual Speed'!31:31,"AAAAAFzf900=",0)</f>
        <v>0</v>
      </c>
      <c r="CA14" t="e">
        <f>AND('Female SR Individual Speed'!A31,"AAAAAFzf904=")</f>
        <v>#VALUE!</v>
      </c>
      <c r="CB14" t="e">
        <f>AND('Female SR Individual Speed'!B31,"AAAAAFzf908=")</f>
        <v>#VALUE!</v>
      </c>
      <c r="CC14" t="e">
        <f>AND('Female SR Individual Speed'!C31,"AAAAAFzf91A=")</f>
        <v>#VALUE!</v>
      </c>
      <c r="CD14" t="e">
        <f>AND('Female SR Individual Speed'!D31,"AAAAAFzf91E=")</f>
        <v>#VALUE!</v>
      </c>
      <c r="CE14" t="e">
        <f>AND('Female SR Individual Speed'!E31,"AAAAAFzf91I=")</f>
        <v>#VALUE!</v>
      </c>
      <c r="CF14" t="e">
        <f>AND('Female SR Individual Speed'!F31,"AAAAAFzf91M=")</f>
        <v>#VALUE!</v>
      </c>
      <c r="CG14" t="e">
        <f>AND('Female SR Individual Speed'!G31,"AAAAAFzf91Q=")</f>
        <v>#VALUE!</v>
      </c>
      <c r="CH14" t="e">
        <f>AND('Female SR Individual Speed'!H31,"AAAAAFzf91U=")</f>
        <v>#VALUE!</v>
      </c>
      <c r="CI14" t="e">
        <f>AND('Female SR Individual Speed'!I31,"AAAAAFzf91Y=")</f>
        <v>#VALUE!</v>
      </c>
      <c r="CJ14" t="e">
        <f>AND('Female SR Individual Speed'!J31,"AAAAAFzf91c=")</f>
        <v>#VALUE!</v>
      </c>
      <c r="CK14" t="e">
        <f>AND('Female SR Individual Speed'!K31,"AAAAAFzf91g=")</f>
        <v>#VALUE!</v>
      </c>
      <c r="CL14" t="e">
        <f>AND('Female SR Individual Speed'!L31,"AAAAAFzf91k=")</f>
        <v>#VALUE!</v>
      </c>
      <c r="CM14" t="e">
        <f>AND('Female SR Individual Speed'!M31,"AAAAAFzf91o=")</f>
        <v>#VALUE!</v>
      </c>
      <c r="CN14">
        <f>IF('Female SR Individual Speed'!32:32,"AAAAAFzf91s=",0)</f>
        <v>0</v>
      </c>
      <c r="CO14" t="e">
        <f>AND('Female SR Individual Speed'!A32,"AAAAAFzf91w=")</f>
        <v>#VALUE!</v>
      </c>
      <c r="CP14" t="e">
        <f>AND('Female SR Individual Speed'!B32,"AAAAAFzf910=")</f>
        <v>#VALUE!</v>
      </c>
      <c r="CQ14" t="e">
        <f>AND('Female SR Individual Speed'!C32,"AAAAAFzf914=")</f>
        <v>#VALUE!</v>
      </c>
      <c r="CR14" t="e">
        <f>AND('Female SR Individual Speed'!D32,"AAAAAFzf918=")</f>
        <v>#VALUE!</v>
      </c>
      <c r="CS14" t="e">
        <f>AND('Female SR Individual Speed'!E32,"AAAAAFzf92A=")</f>
        <v>#VALUE!</v>
      </c>
      <c r="CT14" t="e">
        <f>AND('Female SR Individual Speed'!F32,"AAAAAFzf92E=")</f>
        <v>#VALUE!</v>
      </c>
      <c r="CU14" t="e">
        <f>AND('Female SR Individual Speed'!G32,"AAAAAFzf92I=")</f>
        <v>#VALUE!</v>
      </c>
      <c r="CV14" t="e">
        <f>AND('Female SR Individual Speed'!H32,"AAAAAFzf92M=")</f>
        <v>#VALUE!</v>
      </c>
      <c r="CW14" t="e">
        <f>AND('Female SR Individual Speed'!I32,"AAAAAFzf92Q=")</f>
        <v>#VALUE!</v>
      </c>
      <c r="CX14" t="e">
        <f>AND('Female SR Individual Speed'!J32,"AAAAAFzf92U=")</f>
        <v>#VALUE!</v>
      </c>
      <c r="CY14" t="e">
        <f>AND('Female SR Individual Speed'!K32,"AAAAAFzf92Y=")</f>
        <v>#VALUE!</v>
      </c>
      <c r="CZ14" t="e">
        <f>AND('Female SR Individual Speed'!L32,"AAAAAFzf92c=")</f>
        <v>#VALUE!</v>
      </c>
      <c r="DA14" t="e">
        <f>AND('Female SR Individual Speed'!M32,"AAAAAFzf92g=")</f>
        <v>#VALUE!</v>
      </c>
      <c r="DB14">
        <f>IF('Female SR Individual Speed'!33:33,"AAAAAFzf92k=",0)</f>
        <v>0</v>
      </c>
      <c r="DC14" t="e">
        <f>AND('Female SR Individual Speed'!A33,"AAAAAFzf92o=")</f>
        <v>#VALUE!</v>
      </c>
      <c r="DD14" t="e">
        <f>AND('Female SR Individual Speed'!B33,"AAAAAFzf92s=")</f>
        <v>#VALUE!</v>
      </c>
      <c r="DE14" t="e">
        <f>AND('Female SR Individual Speed'!C33,"AAAAAFzf92w=")</f>
        <v>#VALUE!</v>
      </c>
      <c r="DF14" t="e">
        <f>AND('Female SR Individual Speed'!D33,"AAAAAFzf920=")</f>
        <v>#VALUE!</v>
      </c>
      <c r="DG14" t="e">
        <f>AND('Female SR Individual Speed'!E33,"AAAAAFzf924=")</f>
        <v>#VALUE!</v>
      </c>
      <c r="DH14" t="e">
        <f>AND('Female SR Individual Speed'!F33,"AAAAAFzf928=")</f>
        <v>#VALUE!</v>
      </c>
      <c r="DI14" t="e">
        <f>AND('Female SR Individual Speed'!G33,"AAAAAFzf93A=")</f>
        <v>#VALUE!</v>
      </c>
      <c r="DJ14" t="e">
        <f>AND('Female SR Individual Speed'!H33,"AAAAAFzf93E=")</f>
        <v>#VALUE!</v>
      </c>
      <c r="DK14" t="e">
        <f>AND('Female SR Individual Speed'!I33,"AAAAAFzf93I=")</f>
        <v>#VALUE!</v>
      </c>
      <c r="DL14" t="e">
        <f>AND('Female SR Individual Speed'!J33,"AAAAAFzf93M=")</f>
        <v>#VALUE!</v>
      </c>
      <c r="DM14" t="e">
        <f>AND('Female SR Individual Speed'!K33,"AAAAAFzf93Q=")</f>
        <v>#VALUE!</v>
      </c>
      <c r="DN14" t="e">
        <f>AND('Female SR Individual Speed'!L33,"AAAAAFzf93U=")</f>
        <v>#VALUE!</v>
      </c>
      <c r="DO14" t="e">
        <f>AND('Female SR Individual Speed'!M33,"AAAAAFzf93Y=")</f>
        <v>#VALUE!</v>
      </c>
      <c r="DP14">
        <f>IF('Female SR Individual Speed'!34:34,"AAAAAFzf93c=",0)</f>
        <v>0</v>
      </c>
      <c r="DQ14" t="e">
        <f>AND('Female SR Individual Speed'!A34,"AAAAAFzf93g=")</f>
        <v>#VALUE!</v>
      </c>
      <c r="DR14" t="e">
        <f>AND('Female SR Individual Speed'!B34,"AAAAAFzf93k=")</f>
        <v>#VALUE!</v>
      </c>
      <c r="DS14" t="e">
        <f>AND('Female SR Individual Speed'!C34,"AAAAAFzf93o=")</f>
        <v>#VALUE!</v>
      </c>
      <c r="DT14" t="e">
        <f>AND('Female SR Individual Speed'!D34,"AAAAAFzf93s=")</f>
        <v>#VALUE!</v>
      </c>
      <c r="DU14" t="e">
        <f>AND('Female SR Individual Speed'!E34,"AAAAAFzf93w=")</f>
        <v>#VALUE!</v>
      </c>
      <c r="DV14" t="e">
        <f>AND('Female SR Individual Speed'!F34,"AAAAAFzf930=")</f>
        <v>#VALUE!</v>
      </c>
      <c r="DW14" t="e">
        <f>AND('Female SR Individual Speed'!G34,"AAAAAFzf934=")</f>
        <v>#VALUE!</v>
      </c>
      <c r="DX14" t="e">
        <f>AND('Female SR Individual Speed'!H34,"AAAAAFzf938=")</f>
        <v>#VALUE!</v>
      </c>
      <c r="DY14" t="e">
        <f>AND('Female SR Individual Speed'!I34,"AAAAAFzf94A=")</f>
        <v>#VALUE!</v>
      </c>
      <c r="DZ14" t="e">
        <f>AND('Female SR Individual Speed'!J34,"AAAAAFzf94E=")</f>
        <v>#VALUE!</v>
      </c>
      <c r="EA14" t="e">
        <f>AND('Female SR Individual Speed'!K34,"AAAAAFzf94I=")</f>
        <v>#VALUE!</v>
      </c>
      <c r="EB14" t="e">
        <f>AND('Female SR Individual Speed'!L34,"AAAAAFzf94M=")</f>
        <v>#VALUE!</v>
      </c>
      <c r="EC14" t="e">
        <f>AND('Female SR Individual Speed'!M34,"AAAAAFzf94Q=")</f>
        <v>#VALUE!</v>
      </c>
      <c r="ED14">
        <f>IF('Female SR Individual Speed'!35:35,"AAAAAFzf94U=",0)</f>
        <v>0</v>
      </c>
      <c r="EE14" t="e">
        <f>AND('Female SR Individual Speed'!A35,"AAAAAFzf94Y=")</f>
        <v>#VALUE!</v>
      </c>
      <c r="EF14" t="e">
        <f>AND('Female SR Individual Speed'!B35,"AAAAAFzf94c=")</f>
        <v>#VALUE!</v>
      </c>
      <c r="EG14" t="e">
        <f>AND('Female SR Individual Speed'!C35,"AAAAAFzf94g=")</f>
        <v>#VALUE!</v>
      </c>
      <c r="EH14" t="e">
        <f>AND('Female SR Individual Speed'!D35,"AAAAAFzf94k=")</f>
        <v>#VALUE!</v>
      </c>
      <c r="EI14" t="e">
        <f>AND('Female SR Individual Speed'!E35,"AAAAAFzf94o=")</f>
        <v>#VALUE!</v>
      </c>
      <c r="EJ14" t="e">
        <f>AND('Female SR Individual Speed'!F35,"AAAAAFzf94s=")</f>
        <v>#VALUE!</v>
      </c>
      <c r="EK14" t="e">
        <f>AND('Female SR Individual Speed'!G35,"AAAAAFzf94w=")</f>
        <v>#VALUE!</v>
      </c>
      <c r="EL14" t="e">
        <f>AND('Female SR Individual Speed'!H35,"AAAAAFzf940=")</f>
        <v>#VALUE!</v>
      </c>
      <c r="EM14" t="e">
        <f>AND('Female SR Individual Speed'!I35,"AAAAAFzf944=")</f>
        <v>#VALUE!</v>
      </c>
      <c r="EN14" t="e">
        <f>AND('Female SR Individual Speed'!J35,"AAAAAFzf948=")</f>
        <v>#VALUE!</v>
      </c>
      <c r="EO14" t="e">
        <f>AND('Female SR Individual Speed'!K35,"AAAAAFzf95A=")</f>
        <v>#VALUE!</v>
      </c>
      <c r="EP14" t="e">
        <f>AND('Female SR Individual Speed'!L35,"AAAAAFzf95E=")</f>
        <v>#VALUE!</v>
      </c>
      <c r="EQ14" t="e">
        <f>AND('Female SR Individual Speed'!M35,"AAAAAFzf95I=")</f>
        <v>#VALUE!</v>
      </c>
      <c r="ER14">
        <f>IF('Female SR Individual Speed'!36:36,"AAAAAFzf95M=",0)</f>
        <v>0</v>
      </c>
      <c r="ES14" t="e">
        <f>AND('Female SR Individual Speed'!A36,"AAAAAFzf95Q=")</f>
        <v>#VALUE!</v>
      </c>
      <c r="ET14" t="e">
        <f>AND('Female SR Individual Speed'!B36,"AAAAAFzf95U=")</f>
        <v>#VALUE!</v>
      </c>
      <c r="EU14" t="e">
        <f>AND('Female SR Individual Speed'!C36,"AAAAAFzf95Y=")</f>
        <v>#VALUE!</v>
      </c>
      <c r="EV14" t="e">
        <f>AND('Female SR Individual Speed'!D36,"AAAAAFzf95c=")</f>
        <v>#VALUE!</v>
      </c>
      <c r="EW14" t="e">
        <f>AND('Female SR Individual Speed'!E36,"AAAAAFzf95g=")</f>
        <v>#VALUE!</v>
      </c>
      <c r="EX14" t="e">
        <f>AND('Female SR Individual Speed'!F36,"AAAAAFzf95k=")</f>
        <v>#VALUE!</v>
      </c>
      <c r="EY14" t="e">
        <f>AND('Female SR Individual Speed'!G36,"AAAAAFzf95o=")</f>
        <v>#VALUE!</v>
      </c>
      <c r="EZ14" t="e">
        <f>AND('Female SR Individual Speed'!H36,"AAAAAFzf95s=")</f>
        <v>#VALUE!</v>
      </c>
      <c r="FA14" t="e">
        <f>AND('Female SR Individual Speed'!I36,"AAAAAFzf95w=")</f>
        <v>#VALUE!</v>
      </c>
      <c r="FB14" t="e">
        <f>AND('Female SR Individual Speed'!J36,"AAAAAFzf950=")</f>
        <v>#VALUE!</v>
      </c>
      <c r="FC14" t="e">
        <f>AND('Female SR Individual Speed'!K36,"AAAAAFzf954=")</f>
        <v>#VALUE!</v>
      </c>
      <c r="FD14" t="e">
        <f>AND('Female SR Individual Speed'!L36,"AAAAAFzf958=")</f>
        <v>#VALUE!</v>
      </c>
      <c r="FE14" t="e">
        <f>AND('Female SR Individual Speed'!M36,"AAAAAFzf96A=")</f>
        <v>#VALUE!</v>
      </c>
      <c r="FF14">
        <f>IF('Female SR Individual Speed'!37:37,"AAAAAFzf96E=",0)</f>
        <v>0</v>
      </c>
      <c r="FG14" t="e">
        <f>AND('Female SR Individual Speed'!A37,"AAAAAFzf96I=")</f>
        <v>#VALUE!</v>
      </c>
      <c r="FH14" t="e">
        <f>AND('Female SR Individual Speed'!B37,"AAAAAFzf96M=")</f>
        <v>#VALUE!</v>
      </c>
      <c r="FI14" t="e">
        <f>AND('Female SR Individual Speed'!C37,"AAAAAFzf96Q=")</f>
        <v>#VALUE!</v>
      </c>
      <c r="FJ14" t="e">
        <f>AND('Female SR Individual Speed'!D37,"AAAAAFzf96U=")</f>
        <v>#VALUE!</v>
      </c>
      <c r="FK14" t="e">
        <f>AND('Female SR Individual Speed'!E37,"AAAAAFzf96Y=")</f>
        <v>#VALUE!</v>
      </c>
      <c r="FL14" t="e">
        <f>AND('Female SR Individual Speed'!F37,"AAAAAFzf96c=")</f>
        <v>#VALUE!</v>
      </c>
      <c r="FM14" t="e">
        <f>AND('Female SR Individual Speed'!G37,"AAAAAFzf96g=")</f>
        <v>#VALUE!</v>
      </c>
      <c r="FN14" t="e">
        <f>AND('Female SR Individual Speed'!H37,"AAAAAFzf96k=")</f>
        <v>#VALUE!</v>
      </c>
      <c r="FO14" t="e">
        <f>AND('Female SR Individual Speed'!I37,"AAAAAFzf96o=")</f>
        <v>#VALUE!</v>
      </c>
      <c r="FP14" t="e">
        <f>AND('Female SR Individual Speed'!J37,"AAAAAFzf96s=")</f>
        <v>#VALUE!</v>
      </c>
      <c r="FQ14" t="e">
        <f>AND('Female SR Individual Speed'!K37,"AAAAAFzf96w=")</f>
        <v>#VALUE!</v>
      </c>
      <c r="FR14" t="e">
        <f>AND('Female SR Individual Speed'!L37,"AAAAAFzf960=")</f>
        <v>#VALUE!</v>
      </c>
      <c r="FS14" t="e">
        <f>AND('Female SR Individual Speed'!M37,"AAAAAFzf964=")</f>
        <v>#VALUE!</v>
      </c>
      <c r="FT14">
        <f>IF('Female SR Individual Speed'!38:38,"AAAAAFzf968=",0)</f>
        <v>0</v>
      </c>
      <c r="FU14" t="e">
        <f>AND('Female SR Individual Speed'!A38,"AAAAAFzf97A=")</f>
        <v>#VALUE!</v>
      </c>
      <c r="FV14" t="e">
        <f>AND('Female SR Individual Speed'!B38,"AAAAAFzf97E=")</f>
        <v>#VALUE!</v>
      </c>
      <c r="FW14" t="e">
        <f>AND('Female SR Individual Speed'!C38,"AAAAAFzf97I=")</f>
        <v>#VALUE!</v>
      </c>
      <c r="FX14" t="e">
        <f>AND('Female SR Individual Speed'!D38,"AAAAAFzf97M=")</f>
        <v>#VALUE!</v>
      </c>
      <c r="FY14" t="e">
        <f>AND('Female SR Individual Speed'!E38,"AAAAAFzf97Q=")</f>
        <v>#VALUE!</v>
      </c>
      <c r="FZ14" t="e">
        <f>AND('Female SR Individual Speed'!F38,"AAAAAFzf97U=")</f>
        <v>#VALUE!</v>
      </c>
      <c r="GA14" t="e">
        <f>AND('Female SR Individual Speed'!G38,"AAAAAFzf97Y=")</f>
        <v>#VALUE!</v>
      </c>
      <c r="GB14" t="e">
        <f>AND('Female SR Individual Speed'!H38,"AAAAAFzf97c=")</f>
        <v>#VALUE!</v>
      </c>
      <c r="GC14" t="e">
        <f>AND('Female SR Individual Speed'!I38,"AAAAAFzf97g=")</f>
        <v>#VALUE!</v>
      </c>
      <c r="GD14" t="e">
        <f>AND('Female SR Individual Speed'!J38,"AAAAAFzf97k=")</f>
        <v>#VALUE!</v>
      </c>
      <c r="GE14" t="e">
        <f>AND('Female SR Individual Speed'!K38,"AAAAAFzf97o=")</f>
        <v>#VALUE!</v>
      </c>
      <c r="GF14" t="e">
        <f>AND('Female SR Individual Speed'!L38,"AAAAAFzf97s=")</f>
        <v>#VALUE!</v>
      </c>
      <c r="GG14" t="e">
        <f>AND('Female SR Individual Speed'!M38,"AAAAAFzf97w=")</f>
        <v>#VALUE!</v>
      </c>
      <c r="GH14">
        <f>IF('Female SR Individual Speed'!39:39,"AAAAAFzf970=",0)</f>
        <v>0</v>
      </c>
      <c r="GI14" t="e">
        <f>AND('Female SR Individual Speed'!A39,"AAAAAFzf974=")</f>
        <v>#VALUE!</v>
      </c>
      <c r="GJ14" t="e">
        <f>AND('Female SR Individual Speed'!B39,"AAAAAFzf978=")</f>
        <v>#VALUE!</v>
      </c>
      <c r="GK14" t="e">
        <f>AND('Female SR Individual Speed'!C39,"AAAAAFzf98A=")</f>
        <v>#VALUE!</v>
      </c>
      <c r="GL14" t="e">
        <f>AND('Female SR Individual Speed'!D39,"AAAAAFzf98E=")</f>
        <v>#VALUE!</v>
      </c>
      <c r="GM14" t="e">
        <f>AND('Female SR Individual Speed'!E39,"AAAAAFzf98I=")</f>
        <v>#VALUE!</v>
      </c>
      <c r="GN14" t="e">
        <f>AND('Female SR Individual Speed'!F39,"AAAAAFzf98M=")</f>
        <v>#VALUE!</v>
      </c>
      <c r="GO14" t="e">
        <f>AND('Female SR Individual Speed'!G39,"AAAAAFzf98Q=")</f>
        <v>#VALUE!</v>
      </c>
      <c r="GP14" t="e">
        <f>AND('Female SR Individual Speed'!H39,"AAAAAFzf98U=")</f>
        <v>#VALUE!</v>
      </c>
      <c r="GQ14" t="e">
        <f>AND('Female SR Individual Speed'!I39,"AAAAAFzf98Y=")</f>
        <v>#VALUE!</v>
      </c>
      <c r="GR14" t="e">
        <f>AND('Female SR Individual Speed'!J39,"AAAAAFzf98c=")</f>
        <v>#VALUE!</v>
      </c>
      <c r="GS14" t="e">
        <f>AND('Female SR Individual Speed'!K39,"AAAAAFzf98g=")</f>
        <v>#VALUE!</v>
      </c>
      <c r="GT14" t="e">
        <f>AND('Female SR Individual Speed'!L39,"AAAAAFzf98k=")</f>
        <v>#VALUE!</v>
      </c>
      <c r="GU14" t="e">
        <f>AND('Female SR Individual Speed'!M39,"AAAAAFzf98o=")</f>
        <v>#VALUE!</v>
      </c>
      <c r="GV14">
        <f>IF('Female SR Individual Speed'!40:40,"AAAAAFzf98s=",0)</f>
        <v>0</v>
      </c>
      <c r="GW14" t="e">
        <f>AND('Female SR Individual Speed'!A40,"AAAAAFzf98w=")</f>
        <v>#VALUE!</v>
      </c>
      <c r="GX14" t="e">
        <f>AND('Female SR Individual Speed'!B40,"AAAAAFzf980=")</f>
        <v>#VALUE!</v>
      </c>
      <c r="GY14" t="e">
        <f>AND('Female SR Individual Speed'!C40,"AAAAAFzf984=")</f>
        <v>#VALUE!</v>
      </c>
      <c r="GZ14" t="e">
        <f>AND('Female SR Individual Speed'!D40,"AAAAAFzf988=")</f>
        <v>#VALUE!</v>
      </c>
      <c r="HA14" t="e">
        <f>AND('Female SR Individual Speed'!E40,"AAAAAFzf99A=")</f>
        <v>#VALUE!</v>
      </c>
      <c r="HB14" t="e">
        <f>AND('Female SR Individual Speed'!F40,"AAAAAFzf99E=")</f>
        <v>#VALUE!</v>
      </c>
      <c r="HC14" t="e">
        <f>AND('Female SR Individual Speed'!G40,"AAAAAFzf99I=")</f>
        <v>#VALUE!</v>
      </c>
      <c r="HD14" t="e">
        <f>AND('Female SR Individual Speed'!H40,"AAAAAFzf99M=")</f>
        <v>#VALUE!</v>
      </c>
      <c r="HE14" t="e">
        <f>AND('Female SR Individual Speed'!I40,"AAAAAFzf99Q=")</f>
        <v>#VALUE!</v>
      </c>
      <c r="HF14" t="e">
        <f>AND('Female SR Individual Speed'!J40,"AAAAAFzf99U=")</f>
        <v>#VALUE!</v>
      </c>
      <c r="HG14" t="e">
        <f>AND('Female SR Individual Speed'!K40,"AAAAAFzf99Y=")</f>
        <v>#VALUE!</v>
      </c>
      <c r="HH14" t="e">
        <f>AND('Female SR Individual Speed'!L40,"AAAAAFzf99c=")</f>
        <v>#VALUE!</v>
      </c>
      <c r="HI14" t="e">
        <f>AND('Female SR Individual Speed'!M40,"AAAAAFzf99g=")</f>
        <v>#VALUE!</v>
      </c>
      <c r="HJ14">
        <f>IF('Female SR Individual Speed'!41:41,"AAAAAFzf99k=",0)</f>
        <v>0</v>
      </c>
      <c r="HK14" t="e">
        <f>AND('Female SR Individual Speed'!A41,"AAAAAFzf99o=")</f>
        <v>#VALUE!</v>
      </c>
      <c r="HL14" t="e">
        <f>AND('Female SR Individual Speed'!B41,"AAAAAFzf99s=")</f>
        <v>#VALUE!</v>
      </c>
      <c r="HM14" t="e">
        <f>AND('Female SR Individual Speed'!C41,"AAAAAFzf99w=")</f>
        <v>#VALUE!</v>
      </c>
      <c r="HN14" t="e">
        <f>AND('Female SR Individual Speed'!D41,"AAAAAFzf990=")</f>
        <v>#VALUE!</v>
      </c>
      <c r="HO14" t="e">
        <f>AND('Female SR Individual Speed'!E41,"AAAAAFzf994=")</f>
        <v>#VALUE!</v>
      </c>
      <c r="HP14" t="e">
        <f>AND('Female SR Individual Speed'!F41,"AAAAAFzf998=")</f>
        <v>#VALUE!</v>
      </c>
      <c r="HQ14" t="e">
        <f>AND('Female SR Individual Speed'!G41,"AAAAAFzf9+A=")</f>
        <v>#VALUE!</v>
      </c>
      <c r="HR14" t="e">
        <f>AND('Female SR Individual Speed'!H41,"AAAAAFzf9+E=")</f>
        <v>#VALUE!</v>
      </c>
      <c r="HS14" t="e">
        <f>AND('Female SR Individual Speed'!I41,"AAAAAFzf9+I=")</f>
        <v>#VALUE!</v>
      </c>
      <c r="HT14" t="e">
        <f>AND('Female SR Individual Speed'!J41,"AAAAAFzf9+M=")</f>
        <v>#VALUE!</v>
      </c>
      <c r="HU14" t="e">
        <f>AND('Female SR Individual Speed'!K41,"AAAAAFzf9+Q=")</f>
        <v>#VALUE!</v>
      </c>
      <c r="HV14" t="e">
        <f>AND('Female SR Individual Speed'!L41,"AAAAAFzf9+U=")</f>
        <v>#VALUE!</v>
      </c>
      <c r="HW14" t="e">
        <f>AND('Female SR Individual Speed'!M41,"AAAAAFzf9+Y=")</f>
        <v>#VALUE!</v>
      </c>
      <c r="HX14">
        <f>IF('Female SR Individual Speed'!42:42,"AAAAAFzf9+c=",0)</f>
        <v>0</v>
      </c>
      <c r="HY14" t="e">
        <f>AND('Female SR Individual Speed'!A42,"AAAAAFzf9+g=")</f>
        <v>#VALUE!</v>
      </c>
      <c r="HZ14" t="e">
        <f>AND('Female SR Individual Speed'!B42,"AAAAAFzf9+k=")</f>
        <v>#VALUE!</v>
      </c>
      <c r="IA14" t="e">
        <f>AND('Female SR Individual Speed'!C42,"AAAAAFzf9+o=")</f>
        <v>#VALUE!</v>
      </c>
      <c r="IB14" t="e">
        <f>AND('Female SR Individual Speed'!D42,"AAAAAFzf9+s=")</f>
        <v>#VALUE!</v>
      </c>
      <c r="IC14" t="e">
        <f>AND('Female SR Individual Speed'!E42,"AAAAAFzf9+w=")</f>
        <v>#VALUE!</v>
      </c>
      <c r="ID14" t="e">
        <f>AND('Female SR Individual Speed'!F42,"AAAAAFzf9+0=")</f>
        <v>#VALUE!</v>
      </c>
      <c r="IE14" t="e">
        <f>AND('Female SR Individual Speed'!G42,"AAAAAFzf9+4=")</f>
        <v>#VALUE!</v>
      </c>
      <c r="IF14" t="e">
        <f>AND('Female SR Individual Speed'!H42,"AAAAAFzf9+8=")</f>
        <v>#VALUE!</v>
      </c>
      <c r="IG14" t="e">
        <f>AND('Female SR Individual Speed'!I42,"AAAAAFzf9/A=")</f>
        <v>#VALUE!</v>
      </c>
      <c r="IH14" t="e">
        <f>AND('Female SR Individual Speed'!J42,"AAAAAFzf9/E=")</f>
        <v>#VALUE!</v>
      </c>
      <c r="II14" t="e">
        <f>AND('Female SR Individual Speed'!K42,"AAAAAFzf9/I=")</f>
        <v>#VALUE!</v>
      </c>
      <c r="IJ14" t="e">
        <f>AND('Female SR Individual Speed'!L42,"AAAAAFzf9/M=")</f>
        <v>#VALUE!</v>
      </c>
      <c r="IK14" t="e">
        <f>AND('Female SR Individual Speed'!M42,"AAAAAFzf9/Q=")</f>
        <v>#VALUE!</v>
      </c>
      <c r="IL14">
        <f>IF('Female SR Individual Speed'!43:43,"AAAAAFzf9/U=",0)</f>
        <v>0</v>
      </c>
      <c r="IM14" t="e">
        <f>AND('Female SR Individual Speed'!A43,"AAAAAFzf9/Y=")</f>
        <v>#VALUE!</v>
      </c>
      <c r="IN14" t="e">
        <f>AND('Female SR Individual Speed'!B43,"AAAAAFzf9/c=")</f>
        <v>#VALUE!</v>
      </c>
      <c r="IO14" t="e">
        <f>AND('Female SR Individual Speed'!C43,"AAAAAFzf9/g=")</f>
        <v>#VALUE!</v>
      </c>
      <c r="IP14" t="e">
        <f>AND('Female SR Individual Speed'!D43,"AAAAAFzf9/k=")</f>
        <v>#VALUE!</v>
      </c>
      <c r="IQ14" t="e">
        <f>AND('Female SR Individual Speed'!E43,"AAAAAFzf9/o=")</f>
        <v>#VALUE!</v>
      </c>
      <c r="IR14" t="e">
        <f>AND('Female SR Individual Speed'!F43,"AAAAAFzf9/s=")</f>
        <v>#VALUE!</v>
      </c>
      <c r="IS14" t="e">
        <f>AND('Female SR Individual Speed'!G43,"AAAAAFzf9/w=")</f>
        <v>#VALUE!</v>
      </c>
      <c r="IT14" t="e">
        <f>AND('Female SR Individual Speed'!H43,"AAAAAFzf9/0=")</f>
        <v>#VALUE!</v>
      </c>
      <c r="IU14" t="e">
        <f>AND('Female SR Individual Speed'!I43,"AAAAAFzf9/4=")</f>
        <v>#VALUE!</v>
      </c>
      <c r="IV14" t="e">
        <f>AND('Female SR Individual Speed'!J43,"AAAAAFzf9/8=")</f>
        <v>#VALUE!</v>
      </c>
    </row>
    <row r="15" spans="1:256" x14ac:dyDescent="0.25">
      <c r="A15" t="e">
        <f>AND('Female SR Individual Speed'!K43,"AAAAAEev5gA=")</f>
        <v>#VALUE!</v>
      </c>
      <c r="B15" t="e">
        <f>AND('Female SR Individual Speed'!L43,"AAAAAEev5gE=")</f>
        <v>#VALUE!</v>
      </c>
      <c r="C15" t="e">
        <f>AND('Female SR Individual Speed'!M43,"AAAAAEev5gI=")</f>
        <v>#VALUE!</v>
      </c>
      <c r="D15">
        <f>IF('Female SR Individual Speed'!44:44,"AAAAAEev5gM=",0)</f>
        <v>0</v>
      </c>
      <c r="E15" t="e">
        <f>AND('Female SR Individual Speed'!A44,"AAAAAEev5gQ=")</f>
        <v>#VALUE!</v>
      </c>
      <c r="F15" t="e">
        <f>AND('Female SR Individual Speed'!B44,"AAAAAEev5gU=")</f>
        <v>#VALUE!</v>
      </c>
      <c r="G15" t="e">
        <f>AND('Female SR Individual Speed'!C44,"AAAAAEev5gY=")</f>
        <v>#VALUE!</v>
      </c>
      <c r="H15" t="e">
        <f>AND('Female SR Individual Speed'!D44,"AAAAAEev5gc=")</f>
        <v>#VALUE!</v>
      </c>
      <c r="I15" t="e">
        <f>AND('Female SR Individual Speed'!E44,"AAAAAEev5gg=")</f>
        <v>#VALUE!</v>
      </c>
      <c r="J15" t="e">
        <f>AND('Female SR Individual Speed'!F44,"AAAAAEev5gk=")</f>
        <v>#VALUE!</v>
      </c>
      <c r="K15" t="e">
        <f>AND('Female SR Individual Speed'!G44,"AAAAAEev5go=")</f>
        <v>#VALUE!</v>
      </c>
      <c r="L15" t="e">
        <f>AND('Female SR Individual Speed'!H44,"AAAAAEev5gs=")</f>
        <v>#VALUE!</v>
      </c>
      <c r="M15" t="e">
        <f>AND('Female SR Individual Speed'!I44,"AAAAAEev5gw=")</f>
        <v>#VALUE!</v>
      </c>
      <c r="N15" t="e">
        <f>AND('Female SR Individual Speed'!J44,"AAAAAEev5g0=")</f>
        <v>#VALUE!</v>
      </c>
      <c r="O15" t="e">
        <f>AND('Female SR Individual Speed'!K44,"AAAAAEev5g4=")</f>
        <v>#VALUE!</v>
      </c>
      <c r="P15" t="e">
        <f>AND('Female SR Individual Speed'!L44,"AAAAAEev5g8=")</f>
        <v>#VALUE!</v>
      </c>
      <c r="Q15" t="e">
        <f>AND('Female SR Individual Speed'!M44,"AAAAAEev5hA=")</f>
        <v>#VALUE!</v>
      </c>
      <c r="R15">
        <f>IF('Female SR Individual Speed'!45:45,"AAAAAEev5hE=",0)</f>
        <v>0</v>
      </c>
      <c r="S15" t="e">
        <f>AND('Female SR Individual Speed'!A45,"AAAAAEev5hI=")</f>
        <v>#VALUE!</v>
      </c>
      <c r="T15" t="e">
        <f>AND('Female SR Individual Speed'!B45,"AAAAAEev5hM=")</f>
        <v>#VALUE!</v>
      </c>
      <c r="U15" t="e">
        <f>AND('Female SR Individual Speed'!C45,"AAAAAEev5hQ=")</f>
        <v>#VALUE!</v>
      </c>
      <c r="V15" t="e">
        <f>AND('Female SR Individual Speed'!D45,"AAAAAEev5hU=")</f>
        <v>#VALUE!</v>
      </c>
      <c r="W15" t="e">
        <f>AND('Female SR Individual Speed'!E45,"AAAAAEev5hY=")</f>
        <v>#VALUE!</v>
      </c>
      <c r="X15" t="e">
        <f>AND('Female SR Individual Speed'!F45,"AAAAAEev5hc=")</f>
        <v>#VALUE!</v>
      </c>
      <c r="Y15" t="e">
        <f>AND('Female SR Individual Speed'!G45,"AAAAAEev5hg=")</f>
        <v>#VALUE!</v>
      </c>
      <c r="Z15" t="e">
        <f>AND('Female SR Individual Speed'!H45,"AAAAAEev5hk=")</f>
        <v>#VALUE!</v>
      </c>
      <c r="AA15" t="e">
        <f>AND('Female SR Individual Speed'!I45,"AAAAAEev5ho=")</f>
        <v>#VALUE!</v>
      </c>
      <c r="AB15" t="e">
        <f>AND('Female SR Individual Speed'!J45,"AAAAAEev5hs=")</f>
        <v>#VALUE!</v>
      </c>
      <c r="AC15" t="e">
        <f>AND('Female SR Individual Speed'!K45,"AAAAAEev5hw=")</f>
        <v>#VALUE!</v>
      </c>
      <c r="AD15" t="e">
        <f>AND('Female SR Individual Speed'!L45,"AAAAAEev5h0=")</f>
        <v>#VALUE!</v>
      </c>
      <c r="AE15" t="e">
        <f>AND('Female SR Individual Speed'!M45,"AAAAAEev5h4=")</f>
        <v>#VALUE!</v>
      </c>
      <c r="AF15">
        <f>IF('Female SR Individual Speed'!46:46,"AAAAAEev5h8=",0)</f>
        <v>0</v>
      </c>
      <c r="AG15" t="e">
        <f>AND('Female SR Individual Speed'!A46,"AAAAAEev5iA=")</f>
        <v>#VALUE!</v>
      </c>
      <c r="AH15" t="e">
        <f>AND('Female SR Individual Speed'!B46,"AAAAAEev5iE=")</f>
        <v>#VALUE!</v>
      </c>
      <c r="AI15" t="e">
        <f>AND('Female SR Individual Speed'!C46,"AAAAAEev5iI=")</f>
        <v>#VALUE!</v>
      </c>
      <c r="AJ15" t="e">
        <f>AND('Female SR Individual Speed'!D46,"AAAAAEev5iM=")</f>
        <v>#VALUE!</v>
      </c>
      <c r="AK15" t="e">
        <f>AND('Female SR Individual Speed'!E46,"AAAAAEev5iQ=")</f>
        <v>#VALUE!</v>
      </c>
      <c r="AL15" t="e">
        <f>AND('Female SR Individual Speed'!F46,"AAAAAEev5iU=")</f>
        <v>#VALUE!</v>
      </c>
      <c r="AM15" t="e">
        <f>AND('Female SR Individual Speed'!G46,"AAAAAEev5iY=")</f>
        <v>#VALUE!</v>
      </c>
      <c r="AN15" t="e">
        <f>AND('Female SR Individual Speed'!H46,"AAAAAEev5ic=")</f>
        <v>#VALUE!</v>
      </c>
      <c r="AO15" t="e">
        <f>AND('Female SR Individual Speed'!I46,"AAAAAEev5ig=")</f>
        <v>#VALUE!</v>
      </c>
      <c r="AP15" t="e">
        <f>AND('Female SR Individual Speed'!J46,"AAAAAEev5ik=")</f>
        <v>#VALUE!</v>
      </c>
      <c r="AQ15" t="e">
        <f>AND('Female SR Individual Speed'!K46,"AAAAAEev5io=")</f>
        <v>#VALUE!</v>
      </c>
      <c r="AR15" t="e">
        <f>AND('Female SR Individual Speed'!L46,"AAAAAEev5is=")</f>
        <v>#VALUE!</v>
      </c>
      <c r="AS15" t="e">
        <f>AND('Female SR Individual Speed'!M46,"AAAAAEev5iw=")</f>
        <v>#VALUE!</v>
      </c>
      <c r="AT15">
        <f>IF('Female SR Individual Speed'!47:47,"AAAAAEev5i0=",0)</f>
        <v>0</v>
      </c>
      <c r="AU15" t="e">
        <f>AND('Female SR Individual Speed'!A47,"AAAAAEev5i4=")</f>
        <v>#VALUE!</v>
      </c>
      <c r="AV15" t="e">
        <f>AND('Female SR Individual Speed'!B47,"AAAAAEev5i8=")</f>
        <v>#VALUE!</v>
      </c>
      <c r="AW15" t="e">
        <f>AND('Female SR Individual Speed'!C47,"AAAAAEev5jA=")</f>
        <v>#VALUE!</v>
      </c>
      <c r="AX15" t="e">
        <f>AND('Female SR Individual Speed'!D47,"AAAAAEev5jE=")</f>
        <v>#VALUE!</v>
      </c>
      <c r="AY15" t="e">
        <f>AND('Female SR Individual Speed'!E47,"AAAAAEev5jI=")</f>
        <v>#VALUE!</v>
      </c>
      <c r="AZ15" t="e">
        <f>AND('Female SR Individual Speed'!F47,"AAAAAEev5jM=")</f>
        <v>#VALUE!</v>
      </c>
      <c r="BA15" t="e">
        <f>AND('Female SR Individual Speed'!G47,"AAAAAEev5jQ=")</f>
        <v>#VALUE!</v>
      </c>
      <c r="BB15" t="e">
        <f>AND('Female SR Individual Speed'!H47,"AAAAAEev5jU=")</f>
        <v>#VALUE!</v>
      </c>
      <c r="BC15" t="e">
        <f>AND('Female SR Individual Speed'!I47,"AAAAAEev5jY=")</f>
        <v>#VALUE!</v>
      </c>
      <c r="BD15" t="e">
        <f>AND('Female SR Individual Speed'!J47,"AAAAAEev5jc=")</f>
        <v>#VALUE!</v>
      </c>
      <c r="BE15" t="e">
        <f>AND('Female SR Individual Speed'!K47,"AAAAAEev5jg=")</f>
        <v>#VALUE!</v>
      </c>
      <c r="BF15" t="e">
        <f>AND('Female SR Individual Speed'!L47,"AAAAAEev5jk=")</f>
        <v>#VALUE!</v>
      </c>
      <c r="BG15" t="e">
        <f>AND('Female SR Individual Speed'!M47,"AAAAAEev5jo=")</f>
        <v>#VALUE!</v>
      </c>
      <c r="BH15">
        <f>IF('Female SR Individual Speed'!48:48,"AAAAAEev5js=",0)</f>
        <v>0</v>
      </c>
      <c r="BI15" t="e">
        <f>AND('Female SR Individual Speed'!A48,"AAAAAEev5jw=")</f>
        <v>#VALUE!</v>
      </c>
      <c r="BJ15" t="e">
        <f>AND('Female SR Individual Speed'!B48,"AAAAAEev5j0=")</f>
        <v>#VALUE!</v>
      </c>
      <c r="BK15" t="e">
        <f>AND('Female SR Individual Speed'!C48,"AAAAAEev5j4=")</f>
        <v>#VALUE!</v>
      </c>
      <c r="BL15" t="e">
        <f>AND('Female SR Individual Speed'!D48,"AAAAAEev5j8=")</f>
        <v>#VALUE!</v>
      </c>
      <c r="BM15" t="e">
        <f>AND('Female SR Individual Speed'!E48,"AAAAAEev5kA=")</f>
        <v>#VALUE!</v>
      </c>
      <c r="BN15" t="e">
        <f>AND('Female SR Individual Speed'!F48,"AAAAAEev5kE=")</f>
        <v>#VALUE!</v>
      </c>
      <c r="BO15" t="e">
        <f>AND('Female SR Individual Speed'!G48,"AAAAAEev5kI=")</f>
        <v>#VALUE!</v>
      </c>
      <c r="BP15" t="e">
        <f>AND('Female SR Individual Speed'!H48,"AAAAAEev5kM=")</f>
        <v>#VALUE!</v>
      </c>
      <c r="BQ15" t="e">
        <f>AND('Female SR Individual Speed'!I48,"AAAAAEev5kQ=")</f>
        <v>#VALUE!</v>
      </c>
      <c r="BR15" t="e">
        <f>AND('Female SR Individual Speed'!J48,"AAAAAEev5kU=")</f>
        <v>#VALUE!</v>
      </c>
      <c r="BS15" t="e">
        <f>AND('Female SR Individual Speed'!K48,"AAAAAEev5kY=")</f>
        <v>#VALUE!</v>
      </c>
      <c r="BT15" t="e">
        <f>AND('Female SR Individual Speed'!L48,"AAAAAEev5kc=")</f>
        <v>#VALUE!</v>
      </c>
      <c r="BU15" t="e">
        <f>AND('Female SR Individual Speed'!M48,"AAAAAEev5kg=")</f>
        <v>#VALUE!</v>
      </c>
      <c r="BV15">
        <f>IF('Female SR Individual Speed'!49:49,"AAAAAEev5kk=",0)</f>
        <v>0</v>
      </c>
      <c r="BW15" t="e">
        <f>AND('Female SR Individual Speed'!A49,"AAAAAEev5ko=")</f>
        <v>#VALUE!</v>
      </c>
      <c r="BX15" t="e">
        <f>AND('Female SR Individual Speed'!B49,"AAAAAEev5ks=")</f>
        <v>#VALUE!</v>
      </c>
      <c r="BY15" t="e">
        <f>AND('Female SR Individual Speed'!C49,"AAAAAEev5kw=")</f>
        <v>#VALUE!</v>
      </c>
      <c r="BZ15" t="e">
        <f>AND('Female SR Individual Speed'!D49,"AAAAAEev5k0=")</f>
        <v>#VALUE!</v>
      </c>
      <c r="CA15" t="e">
        <f>AND('Female SR Individual Speed'!E49,"AAAAAEev5k4=")</f>
        <v>#VALUE!</v>
      </c>
      <c r="CB15" t="e">
        <f>AND('Female SR Individual Speed'!F49,"AAAAAEev5k8=")</f>
        <v>#VALUE!</v>
      </c>
      <c r="CC15" t="e">
        <f>AND('Female SR Individual Speed'!G49,"AAAAAEev5lA=")</f>
        <v>#VALUE!</v>
      </c>
      <c r="CD15" t="e">
        <f>AND('Female SR Individual Speed'!H49,"AAAAAEev5lE=")</f>
        <v>#VALUE!</v>
      </c>
      <c r="CE15" t="e">
        <f>AND('Female SR Individual Speed'!I49,"AAAAAEev5lI=")</f>
        <v>#VALUE!</v>
      </c>
      <c r="CF15" t="e">
        <f>AND('Female SR Individual Speed'!J49,"AAAAAEev5lM=")</f>
        <v>#VALUE!</v>
      </c>
      <c r="CG15" t="e">
        <f>AND('Female SR Individual Speed'!K49,"AAAAAEev5lQ=")</f>
        <v>#VALUE!</v>
      </c>
      <c r="CH15" t="e">
        <f>AND('Female SR Individual Speed'!L49,"AAAAAEev5lU=")</f>
        <v>#VALUE!</v>
      </c>
      <c r="CI15" t="e">
        <f>AND('Female SR Individual Speed'!M49,"AAAAAEev5lY=")</f>
        <v>#VALUE!</v>
      </c>
      <c r="CJ15">
        <f>IF('Female SR Individual Speed'!50:50,"AAAAAEev5lc=",0)</f>
        <v>0</v>
      </c>
      <c r="CK15" t="e">
        <f>AND('Female SR Individual Speed'!A50,"AAAAAEev5lg=")</f>
        <v>#VALUE!</v>
      </c>
      <c r="CL15" t="e">
        <f>AND('Female SR Individual Speed'!B50,"AAAAAEev5lk=")</f>
        <v>#VALUE!</v>
      </c>
      <c r="CM15" t="e">
        <f>AND('Female SR Individual Speed'!C50,"AAAAAEev5lo=")</f>
        <v>#VALUE!</v>
      </c>
      <c r="CN15" t="e">
        <f>AND('Female SR Individual Speed'!D50,"AAAAAEev5ls=")</f>
        <v>#VALUE!</v>
      </c>
      <c r="CO15" t="e">
        <f>AND('Female SR Individual Speed'!E50,"AAAAAEev5lw=")</f>
        <v>#VALUE!</v>
      </c>
      <c r="CP15" t="e">
        <f>AND('Female SR Individual Speed'!F50,"AAAAAEev5l0=")</f>
        <v>#VALUE!</v>
      </c>
      <c r="CQ15" t="e">
        <f>AND('Female SR Individual Speed'!G50,"AAAAAEev5l4=")</f>
        <v>#VALUE!</v>
      </c>
      <c r="CR15" t="e">
        <f>AND('Female SR Individual Speed'!H50,"AAAAAEev5l8=")</f>
        <v>#VALUE!</v>
      </c>
      <c r="CS15" t="e">
        <f>AND('Female SR Individual Speed'!I50,"AAAAAEev5mA=")</f>
        <v>#VALUE!</v>
      </c>
      <c r="CT15" t="e">
        <f>AND('Female SR Individual Speed'!J50,"AAAAAEev5mE=")</f>
        <v>#VALUE!</v>
      </c>
      <c r="CU15" t="e">
        <f>AND('Female SR Individual Speed'!K50,"AAAAAEev5mI=")</f>
        <v>#VALUE!</v>
      </c>
      <c r="CV15" t="e">
        <f>AND('Female SR Individual Speed'!L50,"AAAAAEev5mM=")</f>
        <v>#VALUE!</v>
      </c>
      <c r="CW15" t="e">
        <f>AND('Female SR Individual Speed'!M50,"AAAAAEev5mQ=")</f>
        <v>#VALUE!</v>
      </c>
      <c r="CX15">
        <f>IF('Female SR Individual Speed'!51:51,"AAAAAEev5mU=",0)</f>
        <v>0</v>
      </c>
      <c r="CY15" t="e">
        <f>AND('Female SR Individual Speed'!A51,"AAAAAEev5mY=")</f>
        <v>#VALUE!</v>
      </c>
      <c r="CZ15" t="e">
        <f>AND('Female SR Individual Speed'!B51,"AAAAAEev5mc=")</f>
        <v>#VALUE!</v>
      </c>
      <c r="DA15" t="e">
        <f>AND('Female SR Individual Speed'!C51,"AAAAAEev5mg=")</f>
        <v>#VALUE!</v>
      </c>
      <c r="DB15" t="e">
        <f>AND('Female SR Individual Speed'!D51,"AAAAAEev5mk=")</f>
        <v>#VALUE!</v>
      </c>
      <c r="DC15" t="e">
        <f>AND('Female SR Individual Speed'!E51,"AAAAAEev5mo=")</f>
        <v>#VALUE!</v>
      </c>
      <c r="DD15" t="e">
        <f>AND('Female SR Individual Speed'!F51,"AAAAAEev5ms=")</f>
        <v>#VALUE!</v>
      </c>
      <c r="DE15" t="e">
        <f>AND('Female SR Individual Speed'!G51,"AAAAAEev5mw=")</f>
        <v>#VALUE!</v>
      </c>
      <c r="DF15" t="e">
        <f>AND('Female SR Individual Speed'!H51,"AAAAAEev5m0=")</f>
        <v>#VALUE!</v>
      </c>
      <c r="DG15" t="e">
        <f>AND('Female SR Individual Speed'!I51,"AAAAAEev5m4=")</f>
        <v>#VALUE!</v>
      </c>
      <c r="DH15" t="e">
        <f>AND('Female SR Individual Speed'!J51,"AAAAAEev5m8=")</f>
        <v>#VALUE!</v>
      </c>
      <c r="DI15" t="e">
        <f>AND('Female SR Individual Speed'!K51,"AAAAAEev5nA=")</f>
        <v>#VALUE!</v>
      </c>
      <c r="DJ15" t="e">
        <f>AND('Female SR Individual Speed'!L51,"AAAAAEev5nE=")</f>
        <v>#VALUE!</v>
      </c>
      <c r="DK15" t="e">
        <f>AND('Female SR Individual Speed'!M51,"AAAAAEev5nI=")</f>
        <v>#VALUE!</v>
      </c>
      <c r="DL15">
        <f>IF('Female SR Individual Speed'!52:52,"AAAAAEev5nM=",0)</f>
        <v>0</v>
      </c>
      <c r="DM15" t="e">
        <f>AND('Female SR Individual Speed'!A52,"AAAAAEev5nQ=")</f>
        <v>#VALUE!</v>
      </c>
      <c r="DN15" t="e">
        <f>AND('Female SR Individual Speed'!B52,"AAAAAEev5nU=")</f>
        <v>#VALUE!</v>
      </c>
      <c r="DO15" t="e">
        <f>AND('Female SR Individual Speed'!C52,"AAAAAEev5nY=")</f>
        <v>#VALUE!</v>
      </c>
      <c r="DP15" t="e">
        <f>AND('Female SR Individual Speed'!D52,"AAAAAEev5nc=")</f>
        <v>#VALUE!</v>
      </c>
      <c r="DQ15" t="e">
        <f>AND('Female SR Individual Speed'!E52,"AAAAAEev5ng=")</f>
        <v>#VALUE!</v>
      </c>
      <c r="DR15" t="e">
        <f>AND('Female SR Individual Speed'!F52,"AAAAAEev5nk=")</f>
        <v>#VALUE!</v>
      </c>
      <c r="DS15" t="e">
        <f>AND('Female SR Individual Speed'!G52,"AAAAAEev5no=")</f>
        <v>#VALUE!</v>
      </c>
      <c r="DT15" t="e">
        <f>AND('Female SR Individual Speed'!H52,"AAAAAEev5ns=")</f>
        <v>#VALUE!</v>
      </c>
      <c r="DU15" t="e">
        <f>AND('Female SR Individual Speed'!I52,"AAAAAEev5nw=")</f>
        <v>#VALUE!</v>
      </c>
      <c r="DV15" t="e">
        <f>AND('Female SR Individual Speed'!J52,"AAAAAEev5n0=")</f>
        <v>#VALUE!</v>
      </c>
      <c r="DW15" t="e">
        <f>AND('Female SR Individual Speed'!K52,"AAAAAEev5n4=")</f>
        <v>#VALUE!</v>
      </c>
      <c r="DX15" t="e">
        <f>AND('Female SR Individual Speed'!L52,"AAAAAEev5n8=")</f>
        <v>#VALUE!</v>
      </c>
      <c r="DY15" t="e">
        <f>AND('Female SR Individual Speed'!M52,"AAAAAEev5oA=")</f>
        <v>#VALUE!</v>
      </c>
      <c r="DZ15">
        <f>IF('Female SR Individual Speed'!53:53,"AAAAAEev5oE=",0)</f>
        <v>0</v>
      </c>
      <c r="EA15" t="e">
        <f>AND('Female SR Individual Speed'!A53,"AAAAAEev5oI=")</f>
        <v>#VALUE!</v>
      </c>
      <c r="EB15" t="e">
        <f>AND('Female SR Individual Speed'!B53,"AAAAAEev5oM=")</f>
        <v>#VALUE!</v>
      </c>
      <c r="EC15" t="e">
        <f>AND('Female SR Individual Speed'!C53,"AAAAAEev5oQ=")</f>
        <v>#VALUE!</v>
      </c>
      <c r="ED15" t="e">
        <f>AND('Female SR Individual Speed'!D53,"AAAAAEev5oU=")</f>
        <v>#VALUE!</v>
      </c>
      <c r="EE15" t="e">
        <f>AND('Female SR Individual Speed'!E53,"AAAAAEev5oY=")</f>
        <v>#VALUE!</v>
      </c>
      <c r="EF15" t="e">
        <f>AND('Female SR Individual Speed'!F53,"AAAAAEev5oc=")</f>
        <v>#VALUE!</v>
      </c>
      <c r="EG15" t="e">
        <f>AND('Female SR Individual Speed'!G53,"AAAAAEev5og=")</f>
        <v>#VALUE!</v>
      </c>
      <c r="EH15" t="e">
        <f>AND('Female SR Individual Speed'!H53,"AAAAAEev5ok=")</f>
        <v>#VALUE!</v>
      </c>
      <c r="EI15" t="e">
        <f>AND('Female SR Individual Speed'!I53,"AAAAAEev5oo=")</f>
        <v>#VALUE!</v>
      </c>
      <c r="EJ15" t="e">
        <f>AND('Female SR Individual Speed'!J53,"AAAAAEev5os=")</f>
        <v>#VALUE!</v>
      </c>
      <c r="EK15" t="e">
        <f>AND('Female SR Individual Speed'!K53,"AAAAAEev5ow=")</f>
        <v>#VALUE!</v>
      </c>
      <c r="EL15" t="e">
        <f>AND('Female SR Individual Speed'!L53,"AAAAAEev5o0=")</f>
        <v>#VALUE!</v>
      </c>
      <c r="EM15" t="e">
        <f>AND('Female SR Individual Speed'!M53,"AAAAAEev5o4=")</f>
        <v>#VALUE!</v>
      </c>
      <c r="EN15">
        <f>IF('Female SR Individual Speed'!54:54,"AAAAAEev5o8=",0)</f>
        <v>0</v>
      </c>
      <c r="EO15" t="e">
        <f>AND('Female SR Individual Speed'!A54,"AAAAAEev5pA=")</f>
        <v>#VALUE!</v>
      </c>
      <c r="EP15" t="e">
        <f>AND('Female SR Individual Speed'!B54,"AAAAAEev5pE=")</f>
        <v>#VALUE!</v>
      </c>
      <c r="EQ15" t="e">
        <f>AND('Female SR Individual Speed'!C54,"AAAAAEev5pI=")</f>
        <v>#VALUE!</v>
      </c>
      <c r="ER15" t="e">
        <f>AND('Female SR Individual Speed'!D54,"AAAAAEev5pM=")</f>
        <v>#VALUE!</v>
      </c>
      <c r="ES15" t="e">
        <f>AND('Female SR Individual Speed'!E54,"AAAAAEev5pQ=")</f>
        <v>#VALUE!</v>
      </c>
      <c r="ET15" t="e">
        <f>AND('Female SR Individual Speed'!F54,"AAAAAEev5pU=")</f>
        <v>#VALUE!</v>
      </c>
      <c r="EU15" t="e">
        <f>AND('Female SR Individual Speed'!G54,"AAAAAEev5pY=")</f>
        <v>#VALUE!</v>
      </c>
      <c r="EV15" t="e">
        <f>AND('Female SR Individual Speed'!H54,"AAAAAEev5pc=")</f>
        <v>#VALUE!</v>
      </c>
      <c r="EW15" t="e">
        <f>AND('Female SR Individual Speed'!I54,"AAAAAEev5pg=")</f>
        <v>#VALUE!</v>
      </c>
      <c r="EX15" t="e">
        <f>AND('Female SR Individual Speed'!J54,"AAAAAEev5pk=")</f>
        <v>#VALUE!</v>
      </c>
      <c r="EY15" t="e">
        <f>AND('Female SR Individual Speed'!K54,"AAAAAEev5po=")</f>
        <v>#VALUE!</v>
      </c>
      <c r="EZ15" t="e">
        <f>AND('Female SR Individual Speed'!L54,"AAAAAEev5ps=")</f>
        <v>#VALUE!</v>
      </c>
      <c r="FA15" t="e">
        <f>AND('Female SR Individual Speed'!M54,"AAAAAEev5pw=")</f>
        <v>#VALUE!</v>
      </c>
      <c r="FB15">
        <f>IF('Female SR Individual Speed'!55:55,"AAAAAEev5p0=",0)</f>
        <v>0</v>
      </c>
      <c r="FC15" t="e">
        <f>AND('Female SR Individual Speed'!A55,"AAAAAEev5p4=")</f>
        <v>#VALUE!</v>
      </c>
      <c r="FD15" t="e">
        <f>AND('Female SR Individual Speed'!B55,"AAAAAEev5p8=")</f>
        <v>#VALUE!</v>
      </c>
      <c r="FE15" t="e">
        <f>AND('Female SR Individual Speed'!C55,"AAAAAEev5qA=")</f>
        <v>#VALUE!</v>
      </c>
      <c r="FF15" t="e">
        <f>AND('Female SR Individual Speed'!D55,"AAAAAEev5qE=")</f>
        <v>#VALUE!</v>
      </c>
      <c r="FG15" t="e">
        <f>AND('Female SR Individual Speed'!E55,"AAAAAEev5qI=")</f>
        <v>#VALUE!</v>
      </c>
      <c r="FH15" t="e">
        <f>AND('Female SR Individual Speed'!F55,"AAAAAEev5qM=")</f>
        <v>#VALUE!</v>
      </c>
      <c r="FI15" t="e">
        <f>AND('Female SR Individual Speed'!G55,"AAAAAEev5qQ=")</f>
        <v>#VALUE!</v>
      </c>
      <c r="FJ15" t="e">
        <f>AND('Female SR Individual Speed'!H55,"AAAAAEev5qU=")</f>
        <v>#VALUE!</v>
      </c>
      <c r="FK15" t="e">
        <f>AND('Female SR Individual Speed'!I55,"AAAAAEev5qY=")</f>
        <v>#VALUE!</v>
      </c>
      <c r="FL15" t="e">
        <f>AND('Female SR Individual Speed'!J55,"AAAAAEev5qc=")</f>
        <v>#VALUE!</v>
      </c>
      <c r="FM15" t="e">
        <f>AND('Female SR Individual Speed'!K55,"AAAAAEev5qg=")</f>
        <v>#VALUE!</v>
      </c>
      <c r="FN15" t="e">
        <f>AND('Female SR Individual Speed'!L55,"AAAAAEev5qk=")</f>
        <v>#VALUE!</v>
      </c>
      <c r="FO15" t="e">
        <f>AND('Female SR Individual Speed'!M55,"AAAAAEev5qo=")</f>
        <v>#VALUE!</v>
      </c>
      <c r="FP15">
        <f>IF('Female SR Individual Speed'!56:56,"AAAAAEev5qs=",0)</f>
        <v>0</v>
      </c>
      <c r="FQ15" t="e">
        <f>AND('Female SR Individual Speed'!A56,"AAAAAEev5qw=")</f>
        <v>#VALUE!</v>
      </c>
      <c r="FR15" t="e">
        <f>AND('Female SR Individual Speed'!B56,"AAAAAEev5q0=")</f>
        <v>#VALUE!</v>
      </c>
      <c r="FS15" t="e">
        <f>AND('Female SR Individual Speed'!C56,"AAAAAEev5q4=")</f>
        <v>#VALUE!</v>
      </c>
      <c r="FT15" t="e">
        <f>AND('Female SR Individual Speed'!D56,"AAAAAEev5q8=")</f>
        <v>#VALUE!</v>
      </c>
      <c r="FU15" t="e">
        <f>AND('Female SR Individual Speed'!E56,"AAAAAEev5rA=")</f>
        <v>#VALUE!</v>
      </c>
      <c r="FV15" t="e">
        <f>AND('Female SR Individual Speed'!F56,"AAAAAEev5rE=")</f>
        <v>#VALUE!</v>
      </c>
      <c r="FW15" t="e">
        <f>AND('Female SR Individual Speed'!G56,"AAAAAEev5rI=")</f>
        <v>#VALUE!</v>
      </c>
      <c r="FX15" t="e">
        <f>AND('Female SR Individual Speed'!H56,"AAAAAEev5rM=")</f>
        <v>#VALUE!</v>
      </c>
      <c r="FY15" t="e">
        <f>AND('Female SR Individual Speed'!I56,"AAAAAEev5rQ=")</f>
        <v>#VALUE!</v>
      </c>
      <c r="FZ15" t="e">
        <f>AND('Female SR Individual Speed'!J56,"AAAAAEev5rU=")</f>
        <v>#VALUE!</v>
      </c>
      <c r="GA15" t="e">
        <f>AND('Female SR Individual Speed'!K56,"AAAAAEev5rY=")</f>
        <v>#VALUE!</v>
      </c>
      <c r="GB15" t="e">
        <f>AND('Female SR Individual Speed'!L56,"AAAAAEev5rc=")</f>
        <v>#VALUE!</v>
      </c>
      <c r="GC15" t="e">
        <f>AND('Female SR Individual Speed'!M56,"AAAAAEev5rg=")</f>
        <v>#VALUE!</v>
      </c>
      <c r="GD15">
        <f>IF('Female SR Individual Speed'!57:57,"AAAAAEev5rk=",0)</f>
        <v>0</v>
      </c>
      <c r="GE15" t="e">
        <f>AND('Female SR Individual Speed'!A57,"AAAAAEev5ro=")</f>
        <v>#VALUE!</v>
      </c>
      <c r="GF15" t="e">
        <f>AND('Female SR Individual Speed'!B57,"AAAAAEev5rs=")</f>
        <v>#VALUE!</v>
      </c>
      <c r="GG15" t="e">
        <f>AND('Female SR Individual Speed'!C57,"AAAAAEev5rw=")</f>
        <v>#VALUE!</v>
      </c>
      <c r="GH15" t="e">
        <f>AND('Female SR Individual Speed'!D57,"AAAAAEev5r0=")</f>
        <v>#VALUE!</v>
      </c>
      <c r="GI15" t="e">
        <f>AND('Female SR Individual Speed'!E57,"AAAAAEev5r4=")</f>
        <v>#VALUE!</v>
      </c>
      <c r="GJ15" t="e">
        <f>AND('Female SR Individual Speed'!F57,"AAAAAEev5r8=")</f>
        <v>#VALUE!</v>
      </c>
      <c r="GK15" t="e">
        <f>AND('Female SR Individual Speed'!G57,"AAAAAEev5sA=")</f>
        <v>#VALUE!</v>
      </c>
      <c r="GL15" t="e">
        <f>AND('Female SR Individual Speed'!H57,"AAAAAEev5sE=")</f>
        <v>#VALUE!</v>
      </c>
      <c r="GM15" t="e">
        <f>AND('Female SR Individual Speed'!I57,"AAAAAEev5sI=")</f>
        <v>#VALUE!</v>
      </c>
      <c r="GN15" t="e">
        <f>AND('Female SR Individual Speed'!J57,"AAAAAEev5sM=")</f>
        <v>#VALUE!</v>
      </c>
      <c r="GO15" t="e">
        <f>AND('Female SR Individual Speed'!K57,"AAAAAEev5sQ=")</f>
        <v>#VALUE!</v>
      </c>
      <c r="GP15" t="e">
        <f>AND('Female SR Individual Speed'!L57,"AAAAAEev5sU=")</f>
        <v>#VALUE!</v>
      </c>
      <c r="GQ15" t="e">
        <f>AND('Female SR Individual Speed'!M57,"AAAAAEev5sY=")</f>
        <v>#VALUE!</v>
      </c>
      <c r="GR15">
        <f>IF('Female SR Individual Speed'!58:58,"AAAAAEev5sc=",0)</f>
        <v>0</v>
      </c>
      <c r="GS15" t="e">
        <f>AND('Female SR Individual Speed'!A58,"AAAAAEev5sg=")</f>
        <v>#VALUE!</v>
      </c>
      <c r="GT15" t="e">
        <f>AND('Female SR Individual Speed'!B58,"AAAAAEev5sk=")</f>
        <v>#VALUE!</v>
      </c>
      <c r="GU15" t="e">
        <f>AND('Female SR Individual Speed'!C58,"AAAAAEev5so=")</f>
        <v>#VALUE!</v>
      </c>
      <c r="GV15" t="e">
        <f>AND('Female SR Individual Speed'!D58,"AAAAAEev5ss=")</f>
        <v>#VALUE!</v>
      </c>
      <c r="GW15" t="e">
        <f>AND('Female SR Individual Speed'!E58,"AAAAAEev5sw=")</f>
        <v>#VALUE!</v>
      </c>
      <c r="GX15" t="e">
        <f>AND('Female SR Individual Speed'!F58,"AAAAAEev5s0=")</f>
        <v>#VALUE!</v>
      </c>
      <c r="GY15" t="e">
        <f>AND('Female SR Individual Speed'!G58,"AAAAAEev5s4=")</f>
        <v>#VALUE!</v>
      </c>
      <c r="GZ15" t="e">
        <f>AND('Female SR Individual Speed'!H58,"AAAAAEev5s8=")</f>
        <v>#VALUE!</v>
      </c>
      <c r="HA15" t="e">
        <f>AND('Female SR Individual Speed'!I58,"AAAAAEev5tA=")</f>
        <v>#VALUE!</v>
      </c>
      <c r="HB15" t="e">
        <f>AND('Female SR Individual Speed'!J58,"AAAAAEev5tE=")</f>
        <v>#VALUE!</v>
      </c>
      <c r="HC15" t="e">
        <f>AND('Female SR Individual Speed'!K58,"AAAAAEev5tI=")</f>
        <v>#VALUE!</v>
      </c>
      <c r="HD15" t="e">
        <f>AND('Female SR Individual Speed'!L58,"AAAAAEev5tM=")</f>
        <v>#VALUE!</v>
      </c>
      <c r="HE15" t="e">
        <f>AND('Female SR Individual Speed'!M58,"AAAAAEev5tQ=")</f>
        <v>#VALUE!</v>
      </c>
      <c r="HF15">
        <f>IF('Female SR Individual Speed'!59:59,"AAAAAEev5tU=",0)</f>
        <v>0</v>
      </c>
      <c r="HG15" t="e">
        <f>AND('Female SR Individual Speed'!A59,"AAAAAEev5tY=")</f>
        <v>#VALUE!</v>
      </c>
      <c r="HH15" t="e">
        <f>AND('Female SR Individual Speed'!B59,"AAAAAEev5tc=")</f>
        <v>#VALUE!</v>
      </c>
      <c r="HI15" t="e">
        <f>AND('Female SR Individual Speed'!C59,"AAAAAEev5tg=")</f>
        <v>#VALUE!</v>
      </c>
      <c r="HJ15" t="e">
        <f>AND('Female SR Individual Speed'!D59,"AAAAAEev5tk=")</f>
        <v>#VALUE!</v>
      </c>
      <c r="HK15" t="e">
        <f>AND('Female SR Individual Speed'!E59,"AAAAAEev5to=")</f>
        <v>#VALUE!</v>
      </c>
      <c r="HL15" t="e">
        <f>AND('Female SR Individual Speed'!F59,"AAAAAEev5ts=")</f>
        <v>#VALUE!</v>
      </c>
      <c r="HM15" t="e">
        <f>AND('Female SR Individual Speed'!G59,"AAAAAEev5tw=")</f>
        <v>#VALUE!</v>
      </c>
      <c r="HN15" t="e">
        <f>AND('Female SR Individual Speed'!H59,"AAAAAEev5t0=")</f>
        <v>#VALUE!</v>
      </c>
      <c r="HO15" t="e">
        <f>AND('Female SR Individual Speed'!I59,"AAAAAEev5t4=")</f>
        <v>#VALUE!</v>
      </c>
      <c r="HP15" t="e">
        <f>AND('Female SR Individual Speed'!J59,"AAAAAEev5t8=")</f>
        <v>#VALUE!</v>
      </c>
      <c r="HQ15" t="e">
        <f>AND('Female SR Individual Speed'!K59,"AAAAAEev5uA=")</f>
        <v>#VALUE!</v>
      </c>
      <c r="HR15" t="e">
        <f>AND('Female SR Individual Speed'!L59,"AAAAAEev5uE=")</f>
        <v>#VALUE!</v>
      </c>
      <c r="HS15" t="e">
        <f>AND('Female SR Individual Speed'!M59,"AAAAAEev5uI=")</f>
        <v>#VALUE!</v>
      </c>
      <c r="HT15">
        <f>IF('Female SR Individual Speed'!60:60,"AAAAAEev5uM=",0)</f>
        <v>0</v>
      </c>
      <c r="HU15" t="e">
        <f>AND('Female SR Individual Speed'!A60,"AAAAAEev5uQ=")</f>
        <v>#VALUE!</v>
      </c>
      <c r="HV15" t="e">
        <f>AND('Female SR Individual Speed'!B60,"AAAAAEev5uU=")</f>
        <v>#VALUE!</v>
      </c>
      <c r="HW15" t="e">
        <f>AND('Female SR Individual Speed'!C60,"AAAAAEev5uY=")</f>
        <v>#VALUE!</v>
      </c>
      <c r="HX15" t="e">
        <f>AND('Female SR Individual Speed'!D60,"AAAAAEev5uc=")</f>
        <v>#VALUE!</v>
      </c>
      <c r="HY15" t="e">
        <f>AND('Female SR Individual Speed'!E60,"AAAAAEev5ug=")</f>
        <v>#VALUE!</v>
      </c>
      <c r="HZ15" t="e">
        <f>AND('Female SR Individual Speed'!F60,"AAAAAEev5uk=")</f>
        <v>#VALUE!</v>
      </c>
      <c r="IA15" t="e">
        <f>AND('Female SR Individual Speed'!G60,"AAAAAEev5uo=")</f>
        <v>#VALUE!</v>
      </c>
      <c r="IB15" t="e">
        <f>AND('Female SR Individual Speed'!H60,"AAAAAEev5us=")</f>
        <v>#VALUE!</v>
      </c>
      <c r="IC15" t="e">
        <f>AND('Female SR Individual Speed'!I60,"AAAAAEev5uw=")</f>
        <v>#VALUE!</v>
      </c>
      <c r="ID15" t="e">
        <f>AND('Female SR Individual Speed'!J60,"AAAAAEev5u0=")</f>
        <v>#VALUE!</v>
      </c>
      <c r="IE15" t="e">
        <f>AND('Female SR Individual Speed'!K60,"AAAAAEev5u4=")</f>
        <v>#VALUE!</v>
      </c>
      <c r="IF15" t="e">
        <f>AND('Female SR Individual Speed'!L60,"AAAAAEev5u8=")</f>
        <v>#VALUE!</v>
      </c>
      <c r="IG15" t="e">
        <f>AND('Female SR Individual Speed'!M60,"AAAAAEev5vA=")</f>
        <v>#VALUE!</v>
      </c>
      <c r="IH15">
        <f>IF('Female SR Individual Speed'!61:61,"AAAAAEev5vE=",0)</f>
        <v>0</v>
      </c>
      <c r="II15" t="e">
        <f>AND('Female SR Individual Speed'!A61,"AAAAAEev5vI=")</f>
        <v>#VALUE!</v>
      </c>
      <c r="IJ15" t="e">
        <f>AND('Female SR Individual Speed'!B61,"AAAAAEev5vM=")</f>
        <v>#VALUE!</v>
      </c>
      <c r="IK15" t="e">
        <f>AND('Female SR Individual Speed'!C61,"AAAAAEev5vQ=")</f>
        <v>#VALUE!</v>
      </c>
      <c r="IL15" t="e">
        <f>AND('Female SR Individual Speed'!D61,"AAAAAEev5vU=")</f>
        <v>#VALUE!</v>
      </c>
      <c r="IM15" t="e">
        <f>AND('Female SR Individual Speed'!E61,"AAAAAEev5vY=")</f>
        <v>#VALUE!</v>
      </c>
      <c r="IN15" t="e">
        <f>AND('Female SR Individual Speed'!F61,"AAAAAEev5vc=")</f>
        <v>#VALUE!</v>
      </c>
      <c r="IO15" t="e">
        <f>AND('Female SR Individual Speed'!G61,"AAAAAEev5vg=")</f>
        <v>#VALUE!</v>
      </c>
      <c r="IP15" t="e">
        <f>AND('Female SR Individual Speed'!H61,"AAAAAEev5vk=")</f>
        <v>#VALUE!</v>
      </c>
      <c r="IQ15" t="e">
        <f>AND('Female SR Individual Speed'!I61,"AAAAAEev5vo=")</f>
        <v>#VALUE!</v>
      </c>
      <c r="IR15" t="e">
        <f>AND('Female SR Individual Speed'!J61,"AAAAAEev5vs=")</f>
        <v>#VALUE!</v>
      </c>
      <c r="IS15" t="e">
        <f>AND('Female SR Individual Speed'!K61,"AAAAAEev5vw=")</f>
        <v>#VALUE!</v>
      </c>
      <c r="IT15" t="e">
        <f>AND('Female SR Individual Speed'!L61,"AAAAAEev5v0=")</f>
        <v>#VALUE!</v>
      </c>
      <c r="IU15" t="e">
        <f>AND('Female SR Individual Speed'!M61,"AAAAAEev5v4=")</f>
        <v>#VALUE!</v>
      </c>
      <c r="IV15">
        <f>IF('Female SR Individual Speed'!62:62,"AAAAAEev5v8=",0)</f>
        <v>0</v>
      </c>
    </row>
    <row r="16" spans="1:256" x14ac:dyDescent="0.25">
      <c r="A16" t="e">
        <f>AND('Female SR Individual Speed'!A62,"AAAAAFv/yQA=")</f>
        <v>#VALUE!</v>
      </c>
      <c r="B16" t="e">
        <f>AND('Female SR Individual Speed'!B62,"AAAAAFv/yQE=")</f>
        <v>#VALUE!</v>
      </c>
      <c r="C16" t="e">
        <f>AND('Female SR Individual Speed'!C62,"AAAAAFv/yQI=")</f>
        <v>#VALUE!</v>
      </c>
      <c r="D16" t="e">
        <f>AND('Female SR Individual Speed'!D62,"AAAAAFv/yQM=")</f>
        <v>#VALUE!</v>
      </c>
      <c r="E16" t="e">
        <f>AND('Female SR Individual Speed'!E62,"AAAAAFv/yQQ=")</f>
        <v>#VALUE!</v>
      </c>
      <c r="F16" t="e">
        <f>AND('Female SR Individual Speed'!F62,"AAAAAFv/yQU=")</f>
        <v>#VALUE!</v>
      </c>
      <c r="G16" t="e">
        <f>AND('Female SR Individual Speed'!G62,"AAAAAFv/yQY=")</f>
        <v>#VALUE!</v>
      </c>
      <c r="H16" t="e">
        <f>AND('Female SR Individual Speed'!H62,"AAAAAFv/yQc=")</f>
        <v>#VALUE!</v>
      </c>
      <c r="I16" t="e">
        <f>AND('Female SR Individual Speed'!I62,"AAAAAFv/yQg=")</f>
        <v>#VALUE!</v>
      </c>
      <c r="J16" t="e">
        <f>AND('Female SR Individual Speed'!J62,"AAAAAFv/yQk=")</f>
        <v>#VALUE!</v>
      </c>
      <c r="K16" t="e">
        <f>AND('Female SR Individual Speed'!K62,"AAAAAFv/yQo=")</f>
        <v>#VALUE!</v>
      </c>
      <c r="L16" t="e">
        <f>AND('Female SR Individual Speed'!L62,"AAAAAFv/yQs=")</f>
        <v>#VALUE!</v>
      </c>
      <c r="M16" t="e">
        <f>AND('Female SR Individual Speed'!M62,"AAAAAFv/yQw=")</f>
        <v>#VALUE!</v>
      </c>
      <c r="N16">
        <f>IF('Female SR Individual Speed'!63:63,"AAAAAFv/yQ0=",0)</f>
        <v>0</v>
      </c>
      <c r="O16" t="e">
        <f>AND('Female SR Individual Speed'!A63,"AAAAAFv/yQ4=")</f>
        <v>#VALUE!</v>
      </c>
      <c r="P16" t="e">
        <f>AND('Female SR Individual Speed'!B63,"AAAAAFv/yQ8=")</f>
        <v>#VALUE!</v>
      </c>
      <c r="Q16" t="e">
        <f>AND('Female SR Individual Speed'!C63,"AAAAAFv/yRA=")</f>
        <v>#VALUE!</v>
      </c>
      <c r="R16" t="e">
        <f>AND('Female SR Individual Speed'!D63,"AAAAAFv/yRE=")</f>
        <v>#VALUE!</v>
      </c>
      <c r="S16" t="e">
        <f>AND('Female SR Individual Speed'!E63,"AAAAAFv/yRI=")</f>
        <v>#VALUE!</v>
      </c>
      <c r="T16" t="e">
        <f>AND('Female SR Individual Speed'!F63,"AAAAAFv/yRM=")</f>
        <v>#VALUE!</v>
      </c>
      <c r="U16" t="e">
        <f>AND('Female SR Individual Speed'!G63,"AAAAAFv/yRQ=")</f>
        <v>#VALUE!</v>
      </c>
      <c r="V16" t="e">
        <f>AND('Female SR Individual Speed'!H63,"AAAAAFv/yRU=")</f>
        <v>#VALUE!</v>
      </c>
      <c r="W16" t="e">
        <f>AND('Female SR Individual Speed'!I63,"AAAAAFv/yRY=")</f>
        <v>#VALUE!</v>
      </c>
      <c r="X16" t="e">
        <f>AND('Female SR Individual Speed'!J63,"AAAAAFv/yRc=")</f>
        <v>#VALUE!</v>
      </c>
      <c r="Y16" t="e">
        <f>AND('Female SR Individual Speed'!K63,"AAAAAFv/yRg=")</f>
        <v>#VALUE!</v>
      </c>
      <c r="Z16" t="e">
        <f>AND('Female SR Individual Speed'!L63,"AAAAAFv/yRk=")</f>
        <v>#VALUE!</v>
      </c>
      <c r="AA16" t="e">
        <f>AND('Female SR Individual Speed'!M63,"AAAAAFv/yRo=")</f>
        <v>#VALUE!</v>
      </c>
      <c r="AB16" t="str">
        <f>IF('Female SR Individual Speed'!A:A,"AAAAAFv/yRs=",0)</f>
        <v>AAAAAFv/yRs=</v>
      </c>
      <c r="AC16" t="e">
        <f>IF('Female SR Individual Speed'!B:B,"AAAAAFv/yRw=",0)</f>
        <v>#VALUE!</v>
      </c>
      <c r="AD16" t="e">
        <f>IF('Female SR Individual Speed'!C:C,"AAAAAFv/yR0=",0)</f>
        <v>#VALUE!</v>
      </c>
      <c r="AE16">
        <f>IF('Female SR Individual Speed'!D:D,"AAAAAFv/yR4=",0)</f>
        <v>0</v>
      </c>
      <c r="AF16" t="e">
        <f>IF('Female SR Individual Speed'!E:E,"AAAAAFv/yR8=",0)</f>
        <v>#VALUE!</v>
      </c>
      <c r="AG16" t="e">
        <f>IF('Female SR Individual Speed'!F:F,"AAAAAFv/ySA=",0)</f>
        <v>#VALUE!</v>
      </c>
      <c r="AH16">
        <f>IF('Female SR Individual Speed'!G:G,"AAAAAFv/ySE=",0)</f>
        <v>0</v>
      </c>
      <c r="AI16" t="str">
        <f>IF('Female SR Individual Speed'!H:H,"AAAAAFv/ySI=",0)</f>
        <v>AAAAAFv/ySI=</v>
      </c>
      <c r="AJ16" t="e">
        <f>IF('Female SR Individual Speed'!I:I,"AAAAAFv/ySM=",0)</f>
        <v>#VALUE!</v>
      </c>
      <c r="AK16" t="str">
        <f>IF('Female SR Individual Speed'!J:J,"AAAAAFv/ySQ=",0)</f>
        <v>AAAAAFv/ySQ=</v>
      </c>
      <c r="AL16">
        <f>IF('Female SR Individual Speed'!K:K,"AAAAAFv/ySU=",0)</f>
        <v>0</v>
      </c>
      <c r="AM16" t="e">
        <f>IF('Female SR Individual Speed'!L:L,"AAAAAFv/ySY=",0)</f>
        <v>#VALUE!</v>
      </c>
      <c r="AN16" t="e">
        <f>IF('Female SR Individual Speed'!M:M,"AAAAAFv/ySc=",0)</f>
        <v>#VALUE!</v>
      </c>
      <c r="AO16">
        <f>IF('Male SR Endurance Speed'!1:1,"AAAAAFv/ySg=",0)</f>
        <v>0</v>
      </c>
      <c r="AP16" t="e">
        <f>AND('Male SR Endurance Speed'!A1,"AAAAAFv/ySk=")</f>
        <v>#VALUE!</v>
      </c>
      <c r="AQ16" t="e">
        <f>AND('Male SR Endurance Speed'!B1,"AAAAAFv/ySo=")</f>
        <v>#VALUE!</v>
      </c>
      <c r="AR16" t="e">
        <f>AND('Male SR Endurance Speed'!C1,"AAAAAFv/ySs=")</f>
        <v>#VALUE!</v>
      </c>
      <c r="AS16" t="e">
        <f>AND('Male SR Endurance Speed'!D1,"AAAAAFv/ySw=")</f>
        <v>#VALUE!</v>
      </c>
      <c r="AT16" t="e">
        <f>AND('Male SR Endurance Speed'!E1,"AAAAAFv/yS0=")</f>
        <v>#VALUE!</v>
      </c>
      <c r="AU16" t="e">
        <f>AND('Male SR Endurance Speed'!F1,"AAAAAFv/yS4=")</f>
        <v>#VALUE!</v>
      </c>
      <c r="AV16" t="e">
        <f>AND('Male SR Endurance Speed'!G1,"AAAAAFv/yS8=")</f>
        <v>#VALUE!</v>
      </c>
      <c r="AW16" t="e">
        <f>AND('Male SR Endurance Speed'!H1,"AAAAAFv/yTA=")</f>
        <v>#VALUE!</v>
      </c>
      <c r="AX16" t="e">
        <f>AND('Male SR Endurance Speed'!I1,"AAAAAFv/yTE=")</f>
        <v>#VALUE!</v>
      </c>
      <c r="AY16" t="e">
        <f>AND('Male SR Endurance Speed'!J1,"AAAAAFv/yTI=")</f>
        <v>#VALUE!</v>
      </c>
      <c r="AZ16" t="e">
        <f>AND('Male SR Endurance Speed'!K1,"AAAAAFv/yTM=")</f>
        <v>#VALUE!</v>
      </c>
      <c r="BA16" t="e">
        <f>AND('Male SR Endurance Speed'!L1,"AAAAAFv/yTQ=")</f>
        <v>#VALUE!</v>
      </c>
      <c r="BB16" t="e">
        <f>AND('Male SR Endurance Speed'!M1,"AAAAAFv/yTU=")</f>
        <v>#VALUE!</v>
      </c>
      <c r="BC16">
        <f>IF('Male SR Endurance Speed'!2:2,"AAAAAFv/yTY=",0)</f>
        <v>0</v>
      </c>
      <c r="BD16" t="e">
        <f>AND('Male SR Endurance Speed'!A2,"AAAAAFv/yTc=")</f>
        <v>#VALUE!</v>
      </c>
      <c r="BE16" t="e">
        <f>AND('Male SR Endurance Speed'!B2,"AAAAAFv/yTg=")</f>
        <v>#VALUE!</v>
      </c>
      <c r="BF16" t="e">
        <f>AND('Male SR Endurance Speed'!C2,"AAAAAFv/yTk=")</f>
        <v>#VALUE!</v>
      </c>
      <c r="BG16" t="e">
        <f>AND('Male SR Endurance Speed'!D2,"AAAAAFv/yTo=")</f>
        <v>#VALUE!</v>
      </c>
      <c r="BH16" t="e">
        <f>AND('Male SR Endurance Speed'!E2,"AAAAAFv/yTs=")</f>
        <v>#VALUE!</v>
      </c>
      <c r="BI16" t="e">
        <f>AND('Male SR Endurance Speed'!F2,"AAAAAFv/yTw=")</f>
        <v>#VALUE!</v>
      </c>
      <c r="BJ16" t="e">
        <f>AND('Male SR Endurance Speed'!G2,"AAAAAFv/yT0=")</f>
        <v>#VALUE!</v>
      </c>
      <c r="BK16" t="e">
        <f>AND('Male SR Endurance Speed'!H2,"AAAAAFv/yT4=")</f>
        <v>#VALUE!</v>
      </c>
      <c r="BL16" t="e">
        <f>AND('Male SR Endurance Speed'!I2,"AAAAAFv/yT8=")</f>
        <v>#VALUE!</v>
      </c>
      <c r="BM16" t="e">
        <f>AND('Male SR Endurance Speed'!J2,"AAAAAFv/yUA=")</f>
        <v>#VALUE!</v>
      </c>
      <c r="BN16" t="e">
        <f>AND('Male SR Endurance Speed'!K2,"AAAAAFv/yUE=")</f>
        <v>#VALUE!</v>
      </c>
      <c r="BO16" t="e">
        <f>AND('Male SR Endurance Speed'!L2,"AAAAAFv/yUI=")</f>
        <v>#VALUE!</v>
      </c>
      <c r="BP16" t="e">
        <f>AND('Male SR Endurance Speed'!M2,"AAAAAFv/yUM=")</f>
        <v>#VALUE!</v>
      </c>
      <c r="BQ16">
        <f>IF('Male SR Endurance Speed'!15:15,"AAAAAFv/yUQ=",0)</f>
        <v>0</v>
      </c>
      <c r="BR16" t="e">
        <f>AND('Male SR Endurance Speed'!A15,"AAAAAFv/yUU=")</f>
        <v>#VALUE!</v>
      </c>
      <c r="BS16" t="e">
        <f>AND('Male SR Endurance Speed'!B15,"AAAAAFv/yUY=")</f>
        <v>#VALUE!</v>
      </c>
      <c r="BT16" t="e">
        <f>AND('Male SR Endurance Speed'!C15,"AAAAAFv/yUc=")</f>
        <v>#VALUE!</v>
      </c>
      <c r="BU16" t="e">
        <f>AND('Male SR Endurance Speed'!D15,"AAAAAFv/yUg=")</f>
        <v>#VALUE!</v>
      </c>
      <c r="BV16" t="e">
        <f>AND('Male SR Endurance Speed'!E15,"AAAAAFv/yUk=")</f>
        <v>#VALUE!</v>
      </c>
      <c r="BW16" t="e">
        <f>AND('Male SR Endurance Speed'!F15,"AAAAAFv/yUo=")</f>
        <v>#VALUE!</v>
      </c>
      <c r="BX16" t="e">
        <f>AND('Male SR Endurance Speed'!G15,"AAAAAFv/yUs=")</f>
        <v>#VALUE!</v>
      </c>
      <c r="BY16" t="e">
        <f>AND('Male SR Endurance Speed'!H15,"AAAAAFv/yUw=")</f>
        <v>#VALUE!</v>
      </c>
      <c r="BZ16" t="e">
        <f>AND('Male SR Endurance Speed'!I15,"AAAAAFv/yU0=")</f>
        <v>#VALUE!</v>
      </c>
      <c r="CA16" t="e">
        <f>AND('Male SR Endurance Speed'!J15,"AAAAAFv/yU4=")</f>
        <v>#VALUE!</v>
      </c>
      <c r="CB16" t="e">
        <f>AND('Male SR Endurance Speed'!K15,"AAAAAFv/yU8=")</f>
        <v>#VALUE!</v>
      </c>
      <c r="CC16" t="e">
        <f>AND('Male SR Endurance Speed'!L15,"AAAAAFv/yVA=")</f>
        <v>#VALUE!</v>
      </c>
      <c r="CD16" t="e">
        <f>AND('Male SR Endurance Speed'!M15,"AAAAAFv/yVE=")</f>
        <v>#VALUE!</v>
      </c>
      <c r="CE16">
        <f>IF('Male SR Endurance Speed'!16:16,"AAAAAFv/yVI=",0)</f>
        <v>0</v>
      </c>
      <c r="CF16" t="e">
        <f>AND('Male SR Endurance Speed'!A16,"AAAAAFv/yVM=")</f>
        <v>#VALUE!</v>
      </c>
      <c r="CG16" t="e">
        <f>AND('Male SR Endurance Speed'!B16,"AAAAAFv/yVQ=")</f>
        <v>#VALUE!</v>
      </c>
      <c r="CH16" t="e">
        <f>AND('Male SR Endurance Speed'!C16,"AAAAAFv/yVU=")</f>
        <v>#VALUE!</v>
      </c>
      <c r="CI16" t="e">
        <f>AND('Male SR Endurance Speed'!D16,"AAAAAFv/yVY=")</f>
        <v>#VALUE!</v>
      </c>
      <c r="CJ16" t="e">
        <f>AND('Male SR Endurance Speed'!E16,"AAAAAFv/yVc=")</f>
        <v>#VALUE!</v>
      </c>
      <c r="CK16" t="e">
        <f>AND('Male SR Endurance Speed'!F16,"AAAAAFv/yVg=")</f>
        <v>#VALUE!</v>
      </c>
      <c r="CL16" t="e">
        <f>AND('Male SR Endurance Speed'!G16,"AAAAAFv/yVk=")</f>
        <v>#VALUE!</v>
      </c>
      <c r="CM16" t="e">
        <f>AND('Male SR Endurance Speed'!H16,"AAAAAFv/yVo=")</f>
        <v>#VALUE!</v>
      </c>
      <c r="CN16" t="e">
        <f>AND('Male SR Endurance Speed'!I16,"AAAAAFv/yVs=")</f>
        <v>#VALUE!</v>
      </c>
      <c r="CO16" t="e">
        <f>AND('Male SR Endurance Speed'!J16,"AAAAAFv/yVw=")</f>
        <v>#VALUE!</v>
      </c>
      <c r="CP16" t="e">
        <f>AND('Male SR Endurance Speed'!K16,"AAAAAFv/yV0=")</f>
        <v>#VALUE!</v>
      </c>
      <c r="CQ16" t="e">
        <f>AND('Male SR Endurance Speed'!L16,"AAAAAFv/yV4=")</f>
        <v>#VALUE!</v>
      </c>
      <c r="CR16" t="e">
        <f>AND('Male SR Endurance Speed'!M16,"AAAAAFv/yV8=")</f>
        <v>#VALUE!</v>
      </c>
      <c r="CS16">
        <f>IF('Male SR Endurance Speed'!17:17,"AAAAAFv/yWA=",0)</f>
        <v>0</v>
      </c>
      <c r="CT16" t="e">
        <f>AND('Male SR Endurance Speed'!A17,"AAAAAFv/yWE=")</f>
        <v>#VALUE!</v>
      </c>
      <c r="CU16" t="e">
        <f>AND('Male SR Endurance Speed'!B17,"AAAAAFv/yWI=")</f>
        <v>#VALUE!</v>
      </c>
      <c r="CV16" t="e">
        <f>AND('Male SR Endurance Speed'!C17,"AAAAAFv/yWM=")</f>
        <v>#VALUE!</v>
      </c>
      <c r="CW16" t="e">
        <f>AND('Male SR Endurance Speed'!D17,"AAAAAFv/yWQ=")</f>
        <v>#VALUE!</v>
      </c>
      <c r="CX16" t="e">
        <f>AND('Male SR Endurance Speed'!E17,"AAAAAFv/yWU=")</f>
        <v>#VALUE!</v>
      </c>
      <c r="CY16" t="e">
        <f>AND('Male SR Endurance Speed'!F17,"AAAAAFv/yWY=")</f>
        <v>#VALUE!</v>
      </c>
      <c r="CZ16" t="e">
        <f>AND('Male SR Endurance Speed'!G17,"AAAAAFv/yWc=")</f>
        <v>#VALUE!</v>
      </c>
      <c r="DA16" t="e">
        <f>AND('Male SR Endurance Speed'!H17,"AAAAAFv/yWg=")</f>
        <v>#VALUE!</v>
      </c>
      <c r="DB16" t="e">
        <f>AND('Male SR Endurance Speed'!I17,"AAAAAFv/yWk=")</f>
        <v>#VALUE!</v>
      </c>
      <c r="DC16" t="e">
        <f>AND('Male SR Endurance Speed'!J17,"AAAAAFv/yWo=")</f>
        <v>#VALUE!</v>
      </c>
      <c r="DD16" t="e">
        <f>AND('Male SR Endurance Speed'!K17,"AAAAAFv/yWs=")</f>
        <v>#VALUE!</v>
      </c>
      <c r="DE16" t="e">
        <f>AND('Male SR Endurance Speed'!L17,"AAAAAFv/yWw=")</f>
        <v>#VALUE!</v>
      </c>
      <c r="DF16" t="e">
        <f>AND('Male SR Endurance Speed'!M17,"AAAAAFv/yW0=")</f>
        <v>#VALUE!</v>
      </c>
      <c r="DG16">
        <f>IF('Male SR Endurance Speed'!18:18,"AAAAAFv/yW4=",0)</f>
        <v>0</v>
      </c>
      <c r="DH16" t="e">
        <f>AND('Male SR Endurance Speed'!A18,"AAAAAFv/yW8=")</f>
        <v>#VALUE!</v>
      </c>
      <c r="DI16" t="e">
        <f>AND('Male SR Endurance Speed'!B18,"AAAAAFv/yXA=")</f>
        <v>#VALUE!</v>
      </c>
      <c r="DJ16" t="e">
        <f>AND('Male SR Endurance Speed'!C18,"AAAAAFv/yXE=")</f>
        <v>#VALUE!</v>
      </c>
      <c r="DK16" t="e">
        <f>AND('Male SR Endurance Speed'!D18,"AAAAAFv/yXI=")</f>
        <v>#VALUE!</v>
      </c>
      <c r="DL16" t="e">
        <f>AND('Male SR Endurance Speed'!E18,"AAAAAFv/yXM=")</f>
        <v>#VALUE!</v>
      </c>
      <c r="DM16" t="e">
        <f>AND('Male SR Endurance Speed'!F18,"AAAAAFv/yXQ=")</f>
        <v>#VALUE!</v>
      </c>
      <c r="DN16" t="e">
        <f>AND('Male SR Endurance Speed'!G18,"AAAAAFv/yXU=")</f>
        <v>#VALUE!</v>
      </c>
      <c r="DO16" t="e">
        <f>AND('Male SR Endurance Speed'!H18,"AAAAAFv/yXY=")</f>
        <v>#VALUE!</v>
      </c>
      <c r="DP16" t="e">
        <f>AND('Male SR Endurance Speed'!I18,"AAAAAFv/yXc=")</f>
        <v>#VALUE!</v>
      </c>
      <c r="DQ16" t="e">
        <f>AND('Male SR Endurance Speed'!J18,"AAAAAFv/yXg=")</f>
        <v>#VALUE!</v>
      </c>
      <c r="DR16" t="e">
        <f>AND('Male SR Endurance Speed'!K18,"AAAAAFv/yXk=")</f>
        <v>#VALUE!</v>
      </c>
      <c r="DS16" t="e">
        <f>AND('Male SR Endurance Speed'!L18,"AAAAAFv/yXo=")</f>
        <v>#VALUE!</v>
      </c>
      <c r="DT16" t="e">
        <f>AND('Male SR Endurance Speed'!M18,"AAAAAFv/yXs=")</f>
        <v>#VALUE!</v>
      </c>
      <c r="DU16">
        <f>IF('Male SR Endurance Speed'!19:19,"AAAAAFv/yXw=",0)</f>
        <v>0</v>
      </c>
      <c r="DV16" t="e">
        <f>AND('Male SR Endurance Speed'!A19,"AAAAAFv/yX0=")</f>
        <v>#VALUE!</v>
      </c>
      <c r="DW16" t="e">
        <f>AND('Male SR Endurance Speed'!B19,"AAAAAFv/yX4=")</f>
        <v>#VALUE!</v>
      </c>
      <c r="DX16" t="e">
        <f>AND('Male SR Endurance Speed'!C19,"AAAAAFv/yX8=")</f>
        <v>#VALUE!</v>
      </c>
      <c r="DY16" t="e">
        <f>AND('Male SR Endurance Speed'!D19,"AAAAAFv/yYA=")</f>
        <v>#VALUE!</v>
      </c>
      <c r="DZ16" t="e">
        <f>AND('Male SR Endurance Speed'!E19,"AAAAAFv/yYE=")</f>
        <v>#VALUE!</v>
      </c>
      <c r="EA16" t="e">
        <f>AND('Male SR Endurance Speed'!F19,"AAAAAFv/yYI=")</f>
        <v>#VALUE!</v>
      </c>
      <c r="EB16" t="e">
        <f>AND('Male SR Endurance Speed'!G19,"AAAAAFv/yYM=")</f>
        <v>#VALUE!</v>
      </c>
      <c r="EC16" t="e">
        <f>AND('Male SR Endurance Speed'!H19,"AAAAAFv/yYQ=")</f>
        <v>#VALUE!</v>
      </c>
      <c r="ED16" t="e">
        <f>AND('Male SR Endurance Speed'!I19,"AAAAAFv/yYU=")</f>
        <v>#VALUE!</v>
      </c>
      <c r="EE16" t="e">
        <f>AND('Male SR Endurance Speed'!J19,"AAAAAFv/yYY=")</f>
        <v>#VALUE!</v>
      </c>
      <c r="EF16" t="e">
        <f>AND('Male SR Endurance Speed'!K19,"AAAAAFv/yYc=")</f>
        <v>#VALUE!</v>
      </c>
      <c r="EG16" t="e">
        <f>AND('Male SR Endurance Speed'!L19,"AAAAAFv/yYg=")</f>
        <v>#VALUE!</v>
      </c>
      <c r="EH16" t="e">
        <f>AND('Male SR Endurance Speed'!M19,"AAAAAFv/yYk=")</f>
        <v>#VALUE!</v>
      </c>
      <c r="EI16">
        <f>IF('Male SR Endurance Speed'!20:20,"AAAAAFv/yYo=",0)</f>
        <v>0</v>
      </c>
      <c r="EJ16" t="e">
        <f>AND('Male SR Endurance Speed'!A20,"AAAAAFv/yYs=")</f>
        <v>#VALUE!</v>
      </c>
      <c r="EK16" t="e">
        <f>AND('Male SR Endurance Speed'!B20,"AAAAAFv/yYw=")</f>
        <v>#VALUE!</v>
      </c>
      <c r="EL16" t="e">
        <f>AND('Male SR Endurance Speed'!C20,"AAAAAFv/yY0=")</f>
        <v>#VALUE!</v>
      </c>
      <c r="EM16" t="e">
        <f>AND('Male SR Endurance Speed'!D20,"AAAAAFv/yY4=")</f>
        <v>#VALUE!</v>
      </c>
      <c r="EN16" t="e">
        <f>AND('Male SR Endurance Speed'!E20,"AAAAAFv/yY8=")</f>
        <v>#VALUE!</v>
      </c>
      <c r="EO16" t="e">
        <f>AND('Male SR Endurance Speed'!F20,"AAAAAFv/yZA=")</f>
        <v>#VALUE!</v>
      </c>
      <c r="EP16" t="e">
        <f>AND('Male SR Endurance Speed'!G20,"AAAAAFv/yZE=")</f>
        <v>#VALUE!</v>
      </c>
      <c r="EQ16" t="e">
        <f>AND('Male SR Endurance Speed'!H20,"AAAAAFv/yZI=")</f>
        <v>#VALUE!</v>
      </c>
      <c r="ER16" t="e">
        <f>AND('Male SR Endurance Speed'!I20,"AAAAAFv/yZM=")</f>
        <v>#VALUE!</v>
      </c>
      <c r="ES16" t="e">
        <f>AND('Male SR Endurance Speed'!J20,"AAAAAFv/yZQ=")</f>
        <v>#VALUE!</v>
      </c>
      <c r="ET16" t="e">
        <f>AND('Male SR Endurance Speed'!K20,"AAAAAFv/yZU=")</f>
        <v>#VALUE!</v>
      </c>
      <c r="EU16" t="e">
        <f>AND('Male SR Endurance Speed'!L20,"AAAAAFv/yZY=")</f>
        <v>#VALUE!</v>
      </c>
      <c r="EV16" t="e">
        <f>AND('Male SR Endurance Speed'!M20,"AAAAAFv/yZc=")</f>
        <v>#VALUE!</v>
      </c>
      <c r="EW16">
        <f>IF('Male SR Endurance Speed'!21:21,"AAAAAFv/yZg=",0)</f>
        <v>0</v>
      </c>
      <c r="EX16" t="e">
        <f>AND('Male SR Endurance Speed'!A21,"AAAAAFv/yZk=")</f>
        <v>#VALUE!</v>
      </c>
      <c r="EY16" t="e">
        <f>AND('Male SR Endurance Speed'!B21,"AAAAAFv/yZo=")</f>
        <v>#VALUE!</v>
      </c>
      <c r="EZ16" t="e">
        <f>AND('Male SR Endurance Speed'!C21,"AAAAAFv/yZs=")</f>
        <v>#VALUE!</v>
      </c>
      <c r="FA16" t="e">
        <f>AND('Male SR Endurance Speed'!D21,"AAAAAFv/yZw=")</f>
        <v>#VALUE!</v>
      </c>
      <c r="FB16" t="e">
        <f>AND('Male SR Endurance Speed'!E21,"AAAAAFv/yZ0=")</f>
        <v>#VALUE!</v>
      </c>
      <c r="FC16" t="e">
        <f>AND('Male SR Endurance Speed'!F21,"AAAAAFv/yZ4=")</f>
        <v>#VALUE!</v>
      </c>
      <c r="FD16" t="e">
        <f>AND('Male SR Endurance Speed'!G21,"AAAAAFv/yZ8=")</f>
        <v>#VALUE!</v>
      </c>
      <c r="FE16" t="e">
        <f>AND('Male SR Endurance Speed'!H21,"AAAAAFv/yaA=")</f>
        <v>#VALUE!</v>
      </c>
      <c r="FF16" t="e">
        <f>AND('Male SR Endurance Speed'!I21,"AAAAAFv/yaE=")</f>
        <v>#VALUE!</v>
      </c>
      <c r="FG16" t="e">
        <f>AND('Male SR Endurance Speed'!J21,"AAAAAFv/yaI=")</f>
        <v>#VALUE!</v>
      </c>
      <c r="FH16" t="e">
        <f>AND('Male SR Endurance Speed'!K21,"AAAAAFv/yaM=")</f>
        <v>#VALUE!</v>
      </c>
      <c r="FI16" t="e">
        <f>AND('Male SR Endurance Speed'!L21,"AAAAAFv/yaQ=")</f>
        <v>#VALUE!</v>
      </c>
      <c r="FJ16" t="e">
        <f>AND('Male SR Endurance Speed'!M21,"AAAAAFv/yaU=")</f>
        <v>#VALUE!</v>
      </c>
      <c r="FK16">
        <f>IF('Male SR Endurance Speed'!22:22,"AAAAAFv/yaY=",0)</f>
        <v>0</v>
      </c>
      <c r="FL16" t="e">
        <f>AND('Male SR Endurance Speed'!A22,"AAAAAFv/yac=")</f>
        <v>#VALUE!</v>
      </c>
      <c r="FM16" t="e">
        <f>AND('Male SR Endurance Speed'!B22,"AAAAAFv/yag=")</f>
        <v>#VALUE!</v>
      </c>
      <c r="FN16" t="e">
        <f>AND('Male SR Endurance Speed'!C22,"AAAAAFv/yak=")</f>
        <v>#VALUE!</v>
      </c>
      <c r="FO16" t="e">
        <f>AND('Male SR Endurance Speed'!D22,"AAAAAFv/yao=")</f>
        <v>#VALUE!</v>
      </c>
      <c r="FP16" t="e">
        <f>AND('Male SR Endurance Speed'!E22,"AAAAAFv/yas=")</f>
        <v>#VALUE!</v>
      </c>
      <c r="FQ16" t="e">
        <f>AND('Male SR Endurance Speed'!F22,"AAAAAFv/yaw=")</f>
        <v>#VALUE!</v>
      </c>
      <c r="FR16" t="e">
        <f>AND('Male SR Endurance Speed'!G22,"AAAAAFv/ya0=")</f>
        <v>#VALUE!</v>
      </c>
      <c r="FS16" t="e">
        <f>AND('Male SR Endurance Speed'!H22,"AAAAAFv/ya4=")</f>
        <v>#VALUE!</v>
      </c>
      <c r="FT16" t="e">
        <f>AND('Male SR Endurance Speed'!I22,"AAAAAFv/ya8=")</f>
        <v>#VALUE!</v>
      </c>
      <c r="FU16" t="e">
        <f>AND('Male SR Endurance Speed'!J22,"AAAAAFv/ybA=")</f>
        <v>#VALUE!</v>
      </c>
      <c r="FV16" t="e">
        <f>AND('Male SR Endurance Speed'!K22,"AAAAAFv/ybE=")</f>
        <v>#VALUE!</v>
      </c>
      <c r="FW16" t="e">
        <f>AND('Male SR Endurance Speed'!L22,"AAAAAFv/ybI=")</f>
        <v>#VALUE!</v>
      </c>
      <c r="FX16" t="e">
        <f>AND('Male SR Endurance Speed'!M22,"AAAAAFv/ybM=")</f>
        <v>#VALUE!</v>
      </c>
      <c r="FY16">
        <f>IF('Male SR Endurance Speed'!23:23,"AAAAAFv/ybQ=",0)</f>
        <v>0</v>
      </c>
      <c r="FZ16" t="e">
        <f>AND('Male SR Endurance Speed'!A23,"AAAAAFv/ybU=")</f>
        <v>#VALUE!</v>
      </c>
      <c r="GA16" t="e">
        <f>AND('Male SR Endurance Speed'!B23,"AAAAAFv/ybY=")</f>
        <v>#VALUE!</v>
      </c>
      <c r="GB16" t="e">
        <f>AND('Male SR Endurance Speed'!C23,"AAAAAFv/ybc=")</f>
        <v>#VALUE!</v>
      </c>
      <c r="GC16" t="e">
        <f>AND('Male SR Endurance Speed'!D23,"AAAAAFv/ybg=")</f>
        <v>#VALUE!</v>
      </c>
      <c r="GD16" t="e">
        <f>AND('Male SR Endurance Speed'!E23,"AAAAAFv/ybk=")</f>
        <v>#VALUE!</v>
      </c>
      <c r="GE16" t="e">
        <f>AND('Male SR Endurance Speed'!F23,"AAAAAFv/ybo=")</f>
        <v>#VALUE!</v>
      </c>
      <c r="GF16" t="e">
        <f>AND('Male SR Endurance Speed'!G23,"AAAAAFv/ybs=")</f>
        <v>#VALUE!</v>
      </c>
      <c r="GG16" t="e">
        <f>AND('Male SR Endurance Speed'!H23,"AAAAAFv/ybw=")</f>
        <v>#VALUE!</v>
      </c>
      <c r="GH16" t="e">
        <f>AND('Male SR Endurance Speed'!I23,"AAAAAFv/yb0=")</f>
        <v>#VALUE!</v>
      </c>
      <c r="GI16" t="e">
        <f>AND('Male SR Endurance Speed'!J23,"AAAAAFv/yb4=")</f>
        <v>#VALUE!</v>
      </c>
      <c r="GJ16" t="e">
        <f>AND('Male SR Endurance Speed'!K23,"AAAAAFv/yb8=")</f>
        <v>#VALUE!</v>
      </c>
      <c r="GK16" t="e">
        <f>AND('Male SR Endurance Speed'!L23,"AAAAAFv/ycA=")</f>
        <v>#VALUE!</v>
      </c>
      <c r="GL16" t="e">
        <f>AND('Male SR Endurance Speed'!M23,"AAAAAFv/ycE=")</f>
        <v>#VALUE!</v>
      </c>
      <c r="GM16">
        <f>IF('Male SR Endurance Speed'!24:24,"AAAAAFv/ycI=",0)</f>
        <v>0</v>
      </c>
      <c r="GN16" t="e">
        <f>AND('Male SR Endurance Speed'!A24,"AAAAAFv/ycM=")</f>
        <v>#VALUE!</v>
      </c>
      <c r="GO16" t="e">
        <f>AND('Male SR Endurance Speed'!B24,"AAAAAFv/ycQ=")</f>
        <v>#VALUE!</v>
      </c>
      <c r="GP16" t="e">
        <f>AND('Male SR Endurance Speed'!C24,"AAAAAFv/ycU=")</f>
        <v>#VALUE!</v>
      </c>
      <c r="GQ16" t="e">
        <f>AND('Male SR Endurance Speed'!D24,"AAAAAFv/ycY=")</f>
        <v>#VALUE!</v>
      </c>
      <c r="GR16" t="e">
        <f>AND('Male SR Endurance Speed'!E24,"AAAAAFv/ycc=")</f>
        <v>#VALUE!</v>
      </c>
      <c r="GS16" t="e">
        <f>AND('Male SR Endurance Speed'!F24,"AAAAAFv/ycg=")</f>
        <v>#VALUE!</v>
      </c>
      <c r="GT16" t="e">
        <f>AND('Male SR Endurance Speed'!G24,"AAAAAFv/yck=")</f>
        <v>#VALUE!</v>
      </c>
      <c r="GU16" t="e">
        <f>AND('Male SR Endurance Speed'!H24,"AAAAAFv/yco=")</f>
        <v>#VALUE!</v>
      </c>
      <c r="GV16" t="e">
        <f>AND('Male SR Endurance Speed'!I24,"AAAAAFv/ycs=")</f>
        <v>#VALUE!</v>
      </c>
      <c r="GW16" t="e">
        <f>AND('Male SR Endurance Speed'!J24,"AAAAAFv/ycw=")</f>
        <v>#VALUE!</v>
      </c>
      <c r="GX16" t="e">
        <f>AND('Male SR Endurance Speed'!K24,"AAAAAFv/yc0=")</f>
        <v>#VALUE!</v>
      </c>
      <c r="GY16" t="e">
        <f>AND('Male SR Endurance Speed'!L24,"AAAAAFv/yc4=")</f>
        <v>#VALUE!</v>
      </c>
      <c r="GZ16" t="e">
        <f>AND('Male SR Endurance Speed'!M24,"AAAAAFv/yc8=")</f>
        <v>#VALUE!</v>
      </c>
      <c r="HA16" t="e">
        <f>IF('Male SR Endurance Speed'!#REF!,"AAAAAFv/ydA=",0)</f>
        <v>#REF!</v>
      </c>
      <c r="HB16" t="e">
        <f>AND('Male SR Endurance Speed'!#REF!,"AAAAAFv/ydE=")</f>
        <v>#REF!</v>
      </c>
      <c r="HC16" t="e">
        <f>AND('Male SR Endurance Speed'!#REF!,"AAAAAFv/ydI=")</f>
        <v>#REF!</v>
      </c>
      <c r="HD16" t="e">
        <f>AND('Male SR Endurance Speed'!#REF!,"AAAAAFv/ydM=")</f>
        <v>#REF!</v>
      </c>
      <c r="HE16" t="e">
        <f>AND('Male SR Endurance Speed'!#REF!,"AAAAAFv/ydQ=")</f>
        <v>#REF!</v>
      </c>
      <c r="HF16" t="e">
        <f>AND('Male SR Endurance Speed'!#REF!,"AAAAAFv/ydU=")</f>
        <v>#REF!</v>
      </c>
      <c r="HG16" t="e">
        <f>AND('Male SR Endurance Speed'!#REF!,"AAAAAFv/ydY=")</f>
        <v>#REF!</v>
      </c>
      <c r="HH16" t="e">
        <f>AND('Male SR Endurance Speed'!#REF!,"AAAAAFv/ydc=")</f>
        <v>#REF!</v>
      </c>
      <c r="HI16" t="e">
        <f>AND('Male SR Endurance Speed'!#REF!,"AAAAAFv/ydg=")</f>
        <v>#REF!</v>
      </c>
      <c r="HJ16" t="e">
        <f>AND('Male SR Endurance Speed'!#REF!,"AAAAAFv/ydk=")</f>
        <v>#REF!</v>
      </c>
      <c r="HK16" t="e">
        <f>AND('Male SR Endurance Speed'!#REF!,"AAAAAFv/ydo=")</f>
        <v>#REF!</v>
      </c>
      <c r="HL16" t="e">
        <f>AND('Male SR Endurance Speed'!#REF!,"AAAAAFv/yds=")</f>
        <v>#REF!</v>
      </c>
      <c r="HM16" t="e">
        <f>AND('Male SR Endurance Speed'!#REF!,"AAAAAFv/ydw=")</f>
        <v>#REF!</v>
      </c>
      <c r="HN16" t="e">
        <f>AND('Male SR Endurance Speed'!#REF!,"AAAAAFv/yd0=")</f>
        <v>#REF!</v>
      </c>
      <c r="HO16">
        <f>IF('Male SR Endurance Speed'!37:37,"AAAAAFv/yd4=",0)</f>
        <v>0</v>
      </c>
      <c r="HP16" t="e">
        <f>AND('Male SR Endurance Speed'!A37,"AAAAAFv/yd8=")</f>
        <v>#VALUE!</v>
      </c>
      <c r="HQ16" t="e">
        <f>AND('Male SR Endurance Speed'!B37,"AAAAAFv/yeA=")</f>
        <v>#VALUE!</v>
      </c>
      <c r="HR16" t="e">
        <f>AND('Male SR Endurance Speed'!C37,"AAAAAFv/yeE=")</f>
        <v>#VALUE!</v>
      </c>
      <c r="HS16" t="e">
        <f>AND('Male SR Endurance Speed'!D37,"AAAAAFv/yeI=")</f>
        <v>#VALUE!</v>
      </c>
      <c r="HT16" t="e">
        <f>AND('Male SR Endurance Speed'!E37,"AAAAAFv/yeM=")</f>
        <v>#VALUE!</v>
      </c>
      <c r="HU16" t="e">
        <f>AND('Male SR Endurance Speed'!F37,"AAAAAFv/yeQ=")</f>
        <v>#VALUE!</v>
      </c>
      <c r="HV16" t="e">
        <f>AND('Male SR Endurance Speed'!G37,"AAAAAFv/yeU=")</f>
        <v>#VALUE!</v>
      </c>
      <c r="HW16" t="e">
        <f>AND('Male SR Endurance Speed'!H37,"AAAAAFv/yeY=")</f>
        <v>#VALUE!</v>
      </c>
      <c r="HX16" t="e">
        <f>AND('Male SR Endurance Speed'!I37,"AAAAAFv/yec=")</f>
        <v>#VALUE!</v>
      </c>
      <c r="HY16" t="e">
        <f>AND('Male SR Endurance Speed'!J37,"AAAAAFv/yeg=")</f>
        <v>#VALUE!</v>
      </c>
      <c r="HZ16" t="e">
        <f>AND('Male SR Endurance Speed'!K37,"AAAAAFv/yek=")</f>
        <v>#VALUE!</v>
      </c>
      <c r="IA16" t="e">
        <f>AND('Male SR Endurance Speed'!L37,"AAAAAFv/yeo=")</f>
        <v>#VALUE!</v>
      </c>
      <c r="IB16" t="e">
        <f>AND('Male SR Endurance Speed'!M37,"AAAAAFv/yes=")</f>
        <v>#VALUE!</v>
      </c>
      <c r="IC16">
        <f>IF('Male SR Endurance Speed'!38:38,"AAAAAFv/yew=",0)</f>
        <v>0</v>
      </c>
      <c r="ID16" t="e">
        <f>AND('Male SR Endurance Speed'!A38,"AAAAAFv/ye0=")</f>
        <v>#VALUE!</v>
      </c>
      <c r="IE16" t="e">
        <f>AND('Male SR Endurance Speed'!B38,"AAAAAFv/ye4=")</f>
        <v>#VALUE!</v>
      </c>
      <c r="IF16" t="e">
        <f>AND('Male SR Endurance Speed'!C38,"AAAAAFv/ye8=")</f>
        <v>#VALUE!</v>
      </c>
      <c r="IG16" t="e">
        <f>AND('Male SR Endurance Speed'!D38,"AAAAAFv/yfA=")</f>
        <v>#VALUE!</v>
      </c>
      <c r="IH16" t="e">
        <f>AND('Male SR Endurance Speed'!E38,"AAAAAFv/yfE=")</f>
        <v>#VALUE!</v>
      </c>
      <c r="II16" t="e">
        <f>AND('Male SR Endurance Speed'!F38,"AAAAAFv/yfI=")</f>
        <v>#VALUE!</v>
      </c>
      <c r="IJ16" t="e">
        <f>AND('Male SR Endurance Speed'!G38,"AAAAAFv/yfM=")</f>
        <v>#VALUE!</v>
      </c>
      <c r="IK16" t="e">
        <f>AND('Male SR Endurance Speed'!H38,"AAAAAFv/yfQ=")</f>
        <v>#VALUE!</v>
      </c>
      <c r="IL16" t="e">
        <f>AND('Male SR Endurance Speed'!I38,"AAAAAFv/yfU=")</f>
        <v>#VALUE!</v>
      </c>
      <c r="IM16" t="e">
        <f>AND('Male SR Endurance Speed'!J38,"AAAAAFv/yfY=")</f>
        <v>#VALUE!</v>
      </c>
      <c r="IN16" t="e">
        <f>AND('Male SR Endurance Speed'!K38,"AAAAAFv/yfc=")</f>
        <v>#VALUE!</v>
      </c>
      <c r="IO16" t="e">
        <f>AND('Male SR Endurance Speed'!L38,"AAAAAFv/yfg=")</f>
        <v>#VALUE!</v>
      </c>
      <c r="IP16" t="e">
        <f>AND('Male SR Endurance Speed'!M38,"AAAAAFv/yfk=")</f>
        <v>#VALUE!</v>
      </c>
      <c r="IQ16">
        <f>IF('Male SR Endurance Speed'!39:39,"AAAAAFv/yfo=",0)</f>
        <v>0</v>
      </c>
      <c r="IR16" t="e">
        <f>AND('Male SR Endurance Speed'!A39,"AAAAAFv/yfs=")</f>
        <v>#VALUE!</v>
      </c>
      <c r="IS16" t="e">
        <f>AND('Male SR Endurance Speed'!B39,"AAAAAFv/yfw=")</f>
        <v>#VALUE!</v>
      </c>
      <c r="IT16" t="e">
        <f>AND('Male SR Endurance Speed'!C39,"AAAAAFv/yf0=")</f>
        <v>#VALUE!</v>
      </c>
      <c r="IU16" t="e">
        <f>AND('Male SR Endurance Speed'!D39,"AAAAAFv/yf4=")</f>
        <v>#VALUE!</v>
      </c>
      <c r="IV16" t="e">
        <f>AND('Male SR Endurance Speed'!E39,"AAAAAFv/yf8=")</f>
        <v>#VALUE!</v>
      </c>
    </row>
    <row r="17" spans="1:256" x14ac:dyDescent="0.25">
      <c r="A17" t="e">
        <f>AND('Male SR Endurance Speed'!F39,"AAAAACXrpwA=")</f>
        <v>#VALUE!</v>
      </c>
      <c r="B17" t="e">
        <f>AND('Male SR Endurance Speed'!G39,"AAAAACXrpwE=")</f>
        <v>#VALUE!</v>
      </c>
      <c r="C17" t="e">
        <f>AND('Male SR Endurance Speed'!H39,"AAAAACXrpwI=")</f>
        <v>#VALUE!</v>
      </c>
      <c r="D17" t="e">
        <f>AND('Male SR Endurance Speed'!I39,"AAAAACXrpwM=")</f>
        <v>#VALUE!</v>
      </c>
      <c r="E17" t="e">
        <f>AND('Male SR Endurance Speed'!J39,"AAAAACXrpwQ=")</f>
        <v>#VALUE!</v>
      </c>
      <c r="F17" t="e">
        <f>AND('Male SR Endurance Speed'!K39,"AAAAACXrpwU=")</f>
        <v>#VALUE!</v>
      </c>
      <c r="G17" t="e">
        <f>AND('Male SR Endurance Speed'!L39,"AAAAACXrpwY=")</f>
        <v>#VALUE!</v>
      </c>
      <c r="H17" t="e">
        <f>AND('Male SR Endurance Speed'!M39,"AAAAACXrpwc=")</f>
        <v>#VALUE!</v>
      </c>
      <c r="I17" t="e">
        <f>IF('Male SR Endurance Speed'!40:40,"AAAAACXrpwg=",0)</f>
        <v>#VALUE!</v>
      </c>
      <c r="J17" t="e">
        <f>AND('Male SR Endurance Speed'!A40,"AAAAACXrpwk=")</f>
        <v>#VALUE!</v>
      </c>
      <c r="K17" t="e">
        <f>AND('Male SR Endurance Speed'!B40,"AAAAACXrpwo=")</f>
        <v>#VALUE!</v>
      </c>
      <c r="L17" t="e">
        <f>AND('Male SR Endurance Speed'!C40,"AAAAACXrpws=")</f>
        <v>#VALUE!</v>
      </c>
      <c r="M17" t="e">
        <f>AND('Male SR Endurance Speed'!D40,"AAAAACXrpww=")</f>
        <v>#VALUE!</v>
      </c>
      <c r="N17" t="e">
        <f>AND('Male SR Endurance Speed'!E40,"AAAAACXrpw0=")</f>
        <v>#VALUE!</v>
      </c>
      <c r="O17" t="e">
        <f>AND('Male SR Endurance Speed'!F40,"AAAAACXrpw4=")</f>
        <v>#VALUE!</v>
      </c>
      <c r="P17" t="e">
        <f>AND('Male SR Endurance Speed'!G40,"AAAAACXrpw8=")</f>
        <v>#VALUE!</v>
      </c>
      <c r="Q17" t="e">
        <f>AND('Male SR Endurance Speed'!H40,"AAAAACXrpxA=")</f>
        <v>#VALUE!</v>
      </c>
      <c r="R17" t="e">
        <f>AND('Male SR Endurance Speed'!I40,"AAAAACXrpxE=")</f>
        <v>#VALUE!</v>
      </c>
      <c r="S17" t="e">
        <f>AND('Male SR Endurance Speed'!J40,"AAAAACXrpxI=")</f>
        <v>#VALUE!</v>
      </c>
      <c r="T17" t="e">
        <f>AND('Male SR Endurance Speed'!K40,"AAAAACXrpxM=")</f>
        <v>#VALUE!</v>
      </c>
      <c r="U17" t="e">
        <f>AND('Male SR Endurance Speed'!L40,"AAAAACXrpxQ=")</f>
        <v>#VALUE!</v>
      </c>
      <c r="V17" t="e">
        <f>AND('Male SR Endurance Speed'!M40,"AAAAACXrpxU=")</f>
        <v>#VALUE!</v>
      </c>
      <c r="W17">
        <f>IF('Male SR Endurance Speed'!41:41,"AAAAACXrpxY=",0)</f>
        <v>0</v>
      </c>
      <c r="X17" t="e">
        <f>AND('Male SR Endurance Speed'!A41,"AAAAACXrpxc=")</f>
        <v>#VALUE!</v>
      </c>
      <c r="Y17" t="e">
        <f>AND('Male SR Endurance Speed'!B41,"AAAAACXrpxg=")</f>
        <v>#VALUE!</v>
      </c>
      <c r="Z17" t="e">
        <f>AND('Male SR Endurance Speed'!C41,"AAAAACXrpxk=")</f>
        <v>#VALUE!</v>
      </c>
      <c r="AA17" t="e">
        <f>AND('Male SR Endurance Speed'!D41,"AAAAACXrpxo=")</f>
        <v>#VALUE!</v>
      </c>
      <c r="AB17" t="e">
        <f>AND('Male SR Endurance Speed'!E41,"AAAAACXrpxs=")</f>
        <v>#VALUE!</v>
      </c>
      <c r="AC17" t="e">
        <f>AND('Male SR Endurance Speed'!F41,"AAAAACXrpxw=")</f>
        <v>#VALUE!</v>
      </c>
      <c r="AD17" t="e">
        <f>AND('Male SR Endurance Speed'!G41,"AAAAACXrpx0=")</f>
        <v>#VALUE!</v>
      </c>
      <c r="AE17" t="e">
        <f>AND('Male SR Endurance Speed'!H41,"AAAAACXrpx4=")</f>
        <v>#VALUE!</v>
      </c>
      <c r="AF17" t="e">
        <f>AND('Male SR Endurance Speed'!I41,"AAAAACXrpx8=")</f>
        <v>#VALUE!</v>
      </c>
      <c r="AG17" t="e">
        <f>AND('Male SR Endurance Speed'!J41,"AAAAACXrpyA=")</f>
        <v>#VALUE!</v>
      </c>
      <c r="AH17" t="e">
        <f>AND('Male SR Endurance Speed'!K41,"AAAAACXrpyE=")</f>
        <v>#VALUE!</v>
      </c>
      <c r="AI17" t="e">
        <f>AND('Male SR Endurance Speed'!L41,"AAAAACXrpyI=")</f>
        <v>#VALUE!</v>
      </c>
      <c r="AJ17" t="e">
        <f>AND('Male SR Endurance Speed'!M41,"AAAAACXrpyM=")</f>
        <v>#VALUE!</v>
      </c>
      <c r="AK17">
        <f>IF('Male SR Endurance Speed'!42:42,"AAAAACXrpyQ=",0)</f>
        <v>0</v>
      </c>
      <c r="AL17" t="e">
        <f>AND('Male SR Endurance Speed'!A42,"AAAAACXrpyU=")</f>
        <v>#VALUE!</v>
      </c>
      <c r="AM17" t="e">
        <f>AND('Male SR Endurance Speed'!B42,"AAAAACXrpyY=")</f>
        <v>#VALUE!</v>
      </c>
      <c r="AN17" t="e">
        <f>AND('Male SR Endurance Speed'!C42,"AAAAACXrpyc=")</f>
        <v>#VALUE!</v>
      </c>
      <c r="AO17" t="e">
        <f>AND('Male SR Endurance Speed'!D42,"AAAAACXrpyg=")</f>
        <v>#VALUE!</v>
      </c>
      <c r="AP17" t="e">
        <f>AND('Male SR Endurance Speed'!E42,"AAAAACXrpyk=")</f>
        <v>#VALUE!</v>
      </c>
      <c r="AQ17" t="e">
        <f>AND('Male SR Endurance Speed'!F42,"AAAAACXrpyo=")</f>
        <v>#VALUE!</v>
      </c>
      <c r="AR17" t="e">
        <f>AND('Male SR Endurance Speed'!G42,"AAAAACXrpys=")</f>
        <v>#VALUE!</v>
      </c>
      <c r="AS17" t="e">
        <f>AND('Male SR Endurance Speed'!H42,"AAAAACXrpyw=")</f>
        <v>#VALUE!</v>
      </c>
      <c r="AT17" t="e">
        <f>AND('Male SR Endurance Speed'!I42,"AAAAACXrpy0=")</f>
        <v>#VALUE!</v>
      </c>
      <c r="AU17" t="e">
        <f>AND('Male SR Endurance Speed'!J42,"AAAAACXrpy4=")</f>
        <v>#VALUE!</v>
      </c>
      <c r="AV17" t="e">
        <f>AND('Male SR Endurance Speed'!K42,"AAAAACXrpy8=")</f>
        <v>#VALUE!</v>
      </c>
      <c r="AW17" t="e">
        <f>AND('Male SR Endurance Speed'!L42,"AAAAACXrpzA=")</f>
        <v>#VALUE!</v>
      </c>
      <c r="AX17" t="e">
        <f>AND('Male SR Endurance Speed'!M42,"AAAAACXrpzE=")</f>
        <v>#VALUE!</v>
      </c>
      <c r="AY17">
        <f>IF('Male SR Endurance Speed'!43:43,"AAAAACXrpzI=",0)</f>
        <v>0</v>
      </c>
      <c r="AZ17" t="e">
        <f>AND('Male SR Endurance Speed'!A43,"AAAAACXrpzM=")</f>
        <v>#VALUE!</v>
      </c>
      <c r="BA17" t="e">
        <f>AND('Male SR Endurance Speed'!B43,"AAAAACXrpzQ=")</f>
        <v>#VALUE!</v>
      </c>
      <c r="BB17" t="e">
        <f>AND('Male SR Endurance Speed'!C43,"AAAAACXrpzU=")</f>
        <v>#VALUE!</v>
      </c>
      <c r="BC17" t="e">
        <f>AND('Male SR Endurance Speed'!D43,"AAAAACXrpzY=")</f>
        <v>#VALUE!</v>
      </c>
      <c r="BD17" t="e">
        <f>AND('Male SR Endurance Speed'!E43,"AAAAACXrpzc=")</f>
        <v>#VALUE!</v>
      </c>
      <c r="BE17" t="e">
        <f>AND('Male SR Endurance Speed'!F43,"AAAAACXrpzg=")</f>
        <v>#VALUE!</v>
      </c>
      <c r="BF17" t="e">
        <f>AND('Male SR Endurance Speed'!G43,"AAAAACXrpzk=")</f>
        <v>#VALUE!</v>
      </c>
      <c r="BG17" t="e">
        <f>AND('Male SR Endurance Speed'!H43,"AAAAACXrpzo=")</f>
        <v>#VALUE!</v>
      </c>
      <c r="BH17" t="e">
        <f>AND('Male SR Endurance Speed'!I43,"AAAAACXrpzs=")</f>
        <v>#VALUE!</v>
      </c>
      <c r="BI17" t="e">
        <f>AND('Male SR Endurance Speed'!J43,"AAAAACXrpzw=")</f>
        <v>#VALUE!</v>
      </c>
      <c r="BJ17" t="e">
        <f>AND('Male SR Endurance Speed'!K43,"AAAAACXrpz0=")</f>
        <v>#VALUE!</v>
      </c>
      <c r="BK17" t="e">
        <f>AND('Male SR Endurance Speed'!L43,"AAAAACXrpz4=")</f>
        <v>#VALUE!</v>
      </c>
      <c r="BL17" t="e">
        <f>AND('Male SR Endurance Speed'!M43,"AAAAACXrpz8=")</f>
        <v>#VALUE!</v>
      </c>
      <c r="BM17">
        <f>IF('Male SR Endurance Speed'!44:44,"AAAAACXrp0A=",0)</f>
        <v>0</v>
      </c>
      <c r="BN17" t="e">
        <f>AND('Male SR Endurance Speed'!A44,"AAAAACXrp0E=")</f>
        <v>#VALUE!</v>
      </c>
      <c r="BO17" t="e">
        <f>AND('Male SR Endurance Speed'!B44,"AAAAACXrp0I=")</f>
        <v>#VALUE!</v>
      </c>
      <c r="BP17" t="e">
        <f>AND('Male SR Endurance Speed'!C44,"AAAAACXrp0M=")</f>
        <v>#VALUE!</v>
      </c>
      <c r="BQ17" t="e">
        <f>AND('Male SR Endurance Speed'!D44,"AAAAACXrp0Q=")</f>
        <v>#VALUE!</v>
      </c>
      <c r="BR17" t="e">
        <f>AND('Male SR Endurance Speed'!E44,"AAAAACXrp0U=")</f>
        <v>#VALUE!</v>
      </c>
      <c r="BS17" t="e">
        <f>AND('Male SR Endurance Speed'!F44,"AAAAACXrp0Y=")</f>
        <v>#VALUE!</v>
      </c>
      <c r="BT17" t="e">
        <f>AND('Male SR Endurance Speed'!G44,"AAAAACXrp0c=")</f>
        <v>#VALUE!</v>
      </c>
      <c r="BU17" t="e">
        <f>AND('Male SR Endurance Speed'!H44,"AAAAACXrp0g=")</f>
        <v>#VALUE!</v>
      </c>
      <c r="BV17" t="e">
        <f>AND('Male SR Endurance Speed'!I44,"AAAAACXrp0k=")</f>
        <v>#VALUE!</v>
      </c>
      <c r="BW17" t="e">
        <f>AND('Male SR Endurance Speed'!J44,"AAAAACXrp0o=")</f>
        <v>#VALUE!</v>
      </c>
      <c r="BX17" t="e">
        <f>AND('Male SR Endurance Speed'!K44,"AAAAACXrp0s=")</f>
        <v>#VALUE!</v>
      </c>
      <c r="BY17" t="e">
        <f>AND('Male SR Endurance Speed'!L44,"AAAAACXrp0w=")</f>
        <v>#VALUE!</v>
      </c>
      <c r="BZ17" t="e">
        <f>AND('Male SR Endurance Speed'!M44,"AAAAACXrp00=")</f>
        <v>#VALUE!</v>
      </c>
      <c r="CA17">
        <f>IF('Male SR Endurance Speed'!45:45,"AAAAACXrp04=",0)</f>
        <v>0</v>
      </c>
      <c r="CB17" t="e">
        <f>AND('Male SR Endurance Speed'!A45,"AAAAACXrp08=")</f>
        <v>#VALUE!</v>
      </c>
      <c r="CC17" t="e">
        <f>AND('Male SR Endurance Speed'!B45,"AAAAACXrp1A=")</f>
        <v>#VALUE!</v>
      </c>
      <c r="CD17" t="e">
        <f>AND('Male SR Endurance Speed'!C45,"AAAAACXrp1E=")</f>
        <v>#VALUE!</v>
      </c>
      <c r="CE17" t="e">
        <f>AND('Male SR Endurance Speed'!D45,"AAAAACXrp1I=")</f>
        <v>#VALUE!</v>
      </c>
      <c r="CF17" t="e">
        <f>AND('Male SR Endurance Speed'!E45,"AAAAACXrp1M=")</f>
        <v>#VALUE!</v>
      </c>
      <c r="CG17" t="e">
        <f>AND('Male SR Endurance Speed'!F45,"AAAAACXrp1Q=")</f>
        <v>#VALUE!</v>
      </c>
      <c r="CH17" t="e">
        <f>AND('Male SR Endurance Speed'!G45,"AAAAACXrp1U=")</f>
        <v>#VALUE!</v>
      </c>
      <c r="CI17" t="e">
        <f>AND('Male SR Endurance Speed'!H45,"AAAAACXrp1Y=")</f>
        <v>#VALUE!</v>
      </c>
      <c r="CJ17" t="e">
        <f>AND('Male SR Endurance Speed'!I45,"AAAAACXrp1c=")</f>
        <v>#VALUE!</v>
      </c>
      <c r="CK17" t="e">
        <f>AND('Male SR Endurance Speed'!J45,"AAAAACXrp1g=")</f>
        <v>#VALUE!</v>
      </c>
      <c r="CL17" t="e">
        <f>AND('Male SR Endurance Speed'!K45,"AAAAACXrp1k=")</f>
        <v>#VALUE!</v>
      </c>
      <c r="CM17" t="e">
        <f>AND('Male SR Endurance Speed'!L45,"AAAAACXrp1o=")</f>
        <v>#VALUE!</v>
      </c>
      <c r="CN17" t="e">
        <f>AND('Male SR Endurance Speed'!M45,"AAAAACXrp1s=")</f>
        <v>#VALUE!</v>
      </c>
      <c r="CO17">
        <f>IF('Male SR Endurance Speed'!46:46,"AAAAACXrp1w=",0)</f>
        <v>0</v>
      </c>
      <c r="CP17" t="e">
        <f>AND('Male SR Endurance Speed'!A46,"AAAAACXrp10=")</f>
        <v>#VALUE!</v>
      </c>
      <c r="CQ17" t="e">
        <f>AND('Male SR Endurance Speed'!B46,"AAAAACXrp14=")</f>
        <v>#VALUE!</v>
      </c>
      <c r="CR17" t="e">
        <f>AND('Male SR Endurance Speed'!C46,"AAAAACXrp18=")</f>
        <v>#VALUE!</v>
      </c>
      <c r="CS17" t="e">
        <f>AND('Male SR Endurance Speed'!D46,"AAAAACXrp2A=")</f>
        <v>#VALUE!</v>
      </c>
      <c r="CT17" t="e">
        <f>AND('Male SR Endurance Speed'!E46,"AAAAACXrp2E=")</f>
        <v>#VALUE!</v>
      </c>
      <c r="CU17" t="e">
        <f>AND('Male SR Endurance Speed'!F46,"AAAAACXrp2I=")</f>
        <v>#VALUE!</v>
      </c>
      <c r="CV17" t="e">
        <f>AND('Male SR Endurance Speed'!G46,"AAAAACXrp2M=")</f>
        <v>#VALUE!</v>
      </c>
      <c r="CW17" t="e">
        <f>AND('Male SR Endurance Speed'!H46,"AAAAACXrp2Q=")</f>
        <v>#VALUE!</v>
      </c>
      <c r="CX17" t="e">
        <f>AND('Male SR Endurance Speed'!I46,"AAAAACXrp2U=")</f>
        <v>#VALUE!</v>
      </c>
      <c r="CY17" t="e">
        <f>AND('Male SR Endurance Speed'!J46,"AAAAACXrp2Y=")</f>
        <v>#VALUE!</v>
      </c>
      <c r="CZ17" t="e">
        <f>AND('Male SR Endurance Speed'!K46,"AAAAACXrp2c=")</f>
        <v>#VALUE!</v>
      </c>
      <c r="DA17" t="e">
        <f>AND('Male SR Endurance Speed'!L46,"AAAAACXrp2g=")</f>
        <v>#VALUE!</v>
      </c>
      <c r="DB17" t="e">
        <f>AND('Male SR Endurance Speed'!M46,"AAAAACXrp2k=")</f>
        <v>#VALUE!</v>
      </c>
      <c r="DC17" t="e">
        <f>IF('Male SR Endurance Speed'!#REF!,"AAAAACXrp2o=",0)</f>
        <v>#REF!</v>
      </c>
      <c r="DD17" t="e">
        <f>AND('Male SR Endurance Speed'!#REF!,"AAAAACXrp2s=")</f>
        <v>#REF!</v>
      </c>
      <c r="DE17" t="e">
        <f>AND('Male SR Endurance Speed'!#REF!,"AAAAACXrp2w=")</f>
        <v>#REF!</v>
      </c>
      <c r="DF17" t="e">
        <f>AND('Male SR Endurance Speed'!#REF!,"AAAAACXrp20=")</f>
        <v>#REF!</v>
      </c>
      <c r="DG17" t="e">
        <f>AND('Male SR Endurance Speed'!#REF!,"AAAAACXrp24=")</f>
        <v>#REF!</v>
      </c>
      <c r="DH17" t="e">
        <f>AND('Male SR Endurance Speed'!#REF!,"AAAAACXrp28=")</f>
        <v>#REF!</v>
      </c>
      <c r="DI17" t="e">
        <f>AND('Male SR Endurance Speed'!#REF!,"AAAAACXrp3A=")</f>
        <v>#REF!</v>
      </c>
      <c r="DJ17" t="e">
        <f>AND('Male SR Endurance Speed'!#REF!,"AAAAACXrp3E=")</f>
        <v>#REF!</v>
      </c>
      <c r="DK17" t="e">
        <f>AND('Male SR Endurance Speed'!#REF!,"AAAAACXrp3I=")</f>
        <v>#REF!</v>
      </c>
      <c r="DL17" t="e">
        <f>AND('Male SR Endurance Speed'!#REF!,"AAAAACXrp3M=")</f>
        <v>#REF!</v>
      </c>
      <c r="DM17" t="e">
        <f>AND('Male SR Endurance Speed'!#REF!,"AAAAACXrp3Q=")</f>
        <v>#REF!</v>
      </c>
      <c r="DN17" t="e">
        <f>AND('Male SR Endurance Speed'!#REF!,"AAAAACXrp3U=")</f>
        <v>#REF!</v>
      </c>
      <c r="DO17" t="e">
        <f>AND('Male SR Endurance Speed'!#REF!,"AAAAACXrp3Y=")</f>
        <v>#REF!</v>
      </c>
      <c r="DP17" t="e">
        <f>AND('Male SR Endurance Speed'!#REF!,"AAAAACXrp3c=")</f>
        <v>#REF!</v>
      </c>
      <c r="DQ17">
        <f>IF('Male SR Endurance Speed'!59:59,"AAAAACXrp3g=",0)</f>
        <v>0</v>
      </c>
      <c r="DR17" t="e">
        <f>AND('Male SR Endurance Speed'!A59,"AAAAACXrp3k=")</f>
        <v>#VALUE!</v>
      </c>
      <c r="DS17" t="e">
        <f>AND('Male SR Endurance Speed'!B59,"AAAAACXrp3o=")</f>
        <v>#VALUE!</v>
      </c>
      <c r="DT17" t="e">
        <f>AND('Male SR Endurance Speed'!C59,"AAAAACXrp3s=")</f>
        <v>#VALUE!</v>
      </c>
      <c r="DU17" t="e">
        <f>AND('Male SR Endurance Speed'!D59,"AAAAACXrp3w=")</f>
        <v>#VALUE!</v>
      </c>
      <c r="DV17" t="e">
        <f>AND('Male SR Endurance Speed'!E59,"AAAAACXrp30=")</f>
        <v>#VALUE!</v>
      </c>
      <c r="DW17" t="e">
        <f>AND('Male SR Endurance Speed'!F59,"AAAAACXrp34=")</f>
        <v>#VALUE!</v>
      </c>
      <c r="DX17" t="e">
        <f>AND('Male SR Endurance Speed'!G59,"AAAAACXrp38=")</f>
        <v>#VALUE!</v>
      </c>
      <c r="DY17" t="e">
        <f>AND('Male SR Endurance Speed'!H59,"AAAAACXrp4A=")</f>
        <v>#VALUE!</v>
      </c>
      <c r="DZ17" t="e">
        <f>AND('Male SR Endurance Speed'!I59,"AAAAACXrp4E=")</f>
        <v>#VALUE!</v>
      </c>
      <c r="EA17" t="e">
        <f>AND('Male SR Endurance Speed'!J59,"AAAAACXrp4I=")</f>
        <v>#VALUE!</v>
      </c>
      <c r="EB17" t="e">
        <f>AND('Male SR Endurance Speed'!K59,"AAAAACXrp4M=")</f>
        <v>#VALUE!</v>
      </c>
      <c r="EC17" t="e">
        <f>AND('Male SR Endurance Speed'!L59,"AAAAACXrp4Q=")</f>
        <v>#VALUE!</v>
      </c>
      <c r="ED17" t="e">
        <f>AND('Male SR Endurance Speed'!M59,"AAAAACXrp4U=")</f>
        <v>#VALUE!</v>
      </c>
      <c r="EE17">
        <f>IF('Male SR Endurance Speed'!60:60,"AAAAACXrp4Y=",0)</f>
        <v>0</v>
      </c>
      <c r="EF17" t="e">
        <f>AND('Male SR Endurance Speed'!A60,"AAAAACXrp4c=")</f>
        <v>#VALUE!</v>
      </c>
      <c r="EG17" t="e">
        <f>AND('Male SR Endurance Speed'!B60,"AAAAACXrp4g=")</f>
        <v>#VALUE!</v>
      </c>
      <c r="EH17" t="e">
        <f>AND('Male SR Endurance Speed'!C60,"AAAAACXrp4k=")</f>
        <v>#VALUE!</v>
      </c>
      <c r="EI17" t="e">
        <f>AND('Male SR Endurance Speed'!D60,"AAAAACXrp4o=")</f>
        <v>#VALUE!</v>
      </c>
      <c r="EJ17" t="e">
        <f>AND('Male SR Endurance Speed'!E60,"AAAAACXrp4s=")</f>
        <v>#VALUE!</v>
      </c>
      <c r="EK17" t="e">
        <f>AND('Male SR Endurance Speed'!F60,"AAAAACXrp4w=")</f>
        <v>#VALUE!</v>
      </c>
      <c r="EL17" t="e">
        <f>AND('Male SR Endurance Speed'!G60,"AAAAACXrp40=")</f>
        <v>#VALUE!</v>
      </c>
      <c r="EM17" t="e">
        <f>AND('Male SR Endurance Speed'!H60,"AAAAACXrp44=")</f>
        <v>#VALUE!</v>
      </c>
      <c r="EN17" t="e">
        <f>AND('Male SR Endurance Speed'!I60,"AAAAACXrp48=")</f>
        <v>#VALUE!</v>
      </c>
      <c r="EO17" t="e">
        <f>AND('Male SR Endurance Speed'!J60,"AAAAACXrp5A=")</f>
        <v>#VALUE!</v>
      </c>
      <c r="EP17" t="e">
        <f>AND('Male SR Endurance Speed'!K60,"AAAAACXrp5E=")</f>
        <v>#VALUE!</v>
      </c>
      <c r="EQ17" t="e">
        <f>AND('Male SR Endurance Speed'!L60,"AAAAACXrp5I=")</f>
        <v>#VALUE!</v>
      </c>
      <c r="ER17" t="e">
        <f>AND('Male SR Endurance Speed'!M60,"AAAAACXrp5M=")</f>
        <v>#VALUE!</v>
      </c>
      <c r="ES17">
        <f>IF('Male SR Endurance Speed'!61:61,"AAAAACXrp5Q=",0)</f>
        <v>0</v>
      </c>
      <c r="ET17" t="e">
        <f>AND('Male SR Endurance Speed'!A61,"AAAAACXrp5U=")</f>
        <v>#VALUE!</v>
      </c>
      <c r="EU17" t="e">
        <f>AND('Male SR Endurance Speed'!B61,"AAAAACXrp5Y=")</f>
        <v>#VALUE!</v>
      </c>
      <c r="EV17" t="e">
        <f>AND('Male SR Endurance Speed'!C61,"AAAAACXrp5c=")</f>
        <v>#VALUE!</v>
      </c>
      <c r="EW17" t="e">
        <f>AND('Male SR Endurance Speed'!D61,"AAAAACXrp5g=")</f>
        <v>#VALUE!</v>
      </c>
      <c r="EX17" t="e">
        <f>AND('Male SR Endurance Speed'!E61,"AAAAACXrp5k=")</f>
        <v>#VALUE!</v>
      </c>
      <c r="EY17" t="e">
        <f>AND('Male SR Endurance Speed'!F61,"AAAAACXrp5o=")</f>
        <v>#VALUE!</v>
      </c>
      <c r="EZ17" t="e">
        <f>AND('Male SR Endurance Speed'!G61,"AAAAACXrp5s=")</f>
        <v>#VALUE!</v>
      </c>
      <c r="FA17" t="e">
        <f>AND('Male SR Endurance Speed'!H61,"AAAAACXrp5w=")</f>
        <v>#VALUE!</v>
      </c>
      <c r="FB17" t="e">
        <f>AND('Male SR Endurance Speed'!I61,"AAAAACXrp50=")</f>
        <v>#VALUE!</v>
      </c>
      <c r="FC17" t="e">
        <f>AND('Male SR Endurance Speed'!J61,"AAAAACXrp54=")</f>
        <v>#VALUE!</v>
      </c>
      <c r="FD17" t="e">
        <f>AND('Male SR Endurance Speed'!K61,"AAAAACXrp58=")</f>
        <v>#VALUE!</v>
      </c>
      <c r="FE17" t="e">
        <f>AND('Male SR Endurance Speed'!L61,"AAAAACXrp6A=")</f>
        <v>#VALUE!</v>
      </c>
      <c r="FF17" t="e">
        <f>AND('Male SR Endurance Speed'!M61,"AAAAACXrp6E=")</f>
        <v>#VALUE!</v>
      </c>
      <c r="FG17">
        <f>IF('Male SR Endurance Speed'!62:62,"AAAAACXrp6I=",0)</f>
        <v>0</v>
      </c>
      <c r="FH17" t="e">
        <f>AND('Male SR Endurance Speed'!A62,"AAAAACXrp6M=")</f>
        <v>#VALUE!</v>
      </c>
      <c r="FI17" t="e">
        <f>AND('Male SR Endurance Speed'!B62,"AAAAACXrp6Q=")</f>
        <v>#VALUE!</v>
      </c>
      <c r="FJ17" t="e">
        <f>AND('Male SR Endurance Speed'!C62,"AAAAACXrp6U=")</f>
        <v>#VALUE!</v>
      </c>
      <c r="FK17" t="e">
        <f>AND('Male SR Endurance Speed'!D62,"AAAAACXrp6Y=")</f>
        <v>#VALUE!</v>
      </c>
      <c r="FL17" t="e">
        <f>AND('Male SR Endurance Speed'!E62,"AAAAACXrp6c=")</f>
        <v>#VALUE!</v>
      </c>
      <c r="FM17" t="e">
        <f>AND('Male SR Endurance Speed'!F62,"AAAAACXrp6g=")</f>
        <v>#VALUE!</v>
      </c>
      <c r="FN17" t="e">
        <f>AND('Male SR Endurance Speed'!G62,"AAAAACXrp6k=")</f>
        <v>#VALUE!</v>
      </c>
      <c r="FO17" t="e">
        <f>AND('Male SR Endurance Speed'!H62,"AAAAACXrp6o=")</f>
        <v>#VALUE!</v>
      </c>
      <c r="FP17" t="e">
        <f>AND('Male SR Endurance Speed'!I62,"AAAAACXrp6s=")</f>
        <v>#VALUE!</v>
      </c>
      <c r="FQ17" t="e">
        <f>AND('Male SR Endurance Speed'!J62,"AAAAACXrp6w=")</f>
        <v>#VALUE!</v>
      </c>
      <c r="FR17" t="e">
        <f>AND('Male SR Endurance Speed'!K62,"AAAAACXrp60=")</f>
        <v>#VALUE!</v>
      </c>
      <c r="FS17" t="e">
        <f>AND('Male SR Endurance Speed'!L62,"AAAAACXrp64=")</f>
        <v>#VALUE!</v>
      </c>
      <c r="FT17" t="e">
        <f>AND('Male SR Endurance Speed'!M62,"AAAAACXrp68=")</f>
        <v>#VALUE!</v>
      </c>
      <c r="FU17">
        <f>IF('Male SR Endurance Speed'!63:63,"AAAAACXrp7A=",0)</f>
        <v>0</v>
      </c>
      <c r="FV17" t="e">
        <f>AND('Male SR Endurance Speed'!A63,"AAAAACXrp7E=")</f>
        <v>#VALUE!</v>
      </c>
      <c r="FW17" t="e">
        <f>AND('Male SR Endurance Speed'!B63,"AAAAACXrp7I=")</f>
        <v>#VALUE!</v>
      </c>
      <c r="FX17" t="e">
        <f>AND('Male SR Endurance Speed'!C63,"AAAAACXrp7M=")</f>
        <v>#VALUE!</v>
      </c>
      <c r="FY17" t="e">
        <f>AND('Male SR Endurance Speed'!D63,"AAAAACXrp7Q=")</f>
        <v>#VALUE!</v>
      </c>
      <c r="FZ17" t="e">
        <f>AND('Male SR Endurance Speed'!E63,"AAAAACXrp7U=")</f>
        <v>#VALUE!</v>
      </c>
      <c r="GA17" t="e">
        <f>AND('Male SR Endurance Speed'!F63,"AAAAACXrp7Y=")</f>
        <v>#VALUE!</v>
      </c>
      <c r="GB17" t="e">
        <f>AND('Male SR Endurance Speed'!G63,"AAAAACXrp7c=")</f>
        <v>#VALUE!</v>
      </c>
      <c r="GC17" t="e">
        <f>AND('Male SR Endurance Speed'!H63,"AAAAACXrp7g=")</f>
        <v>#VALUE!</v>
      </c>
      <c r="GD17" t="e">
        <f>AND('Male SR Endurance Speed'!I63,"AAAAACXrp7k=")</f>
        <v>#VALUE!</v>
      </c>
      <c r="GE17" t="e">
        <f>AND('Male SR Endurance Speed'!J63,"AAAAACXrp7o=")</f>
        <v>#VALUE!</v>
      </c>
      <c r="GF17" t="e">
        <f>AND('Male SR Endurance Speed'!K63,"AAAAACXrp7s=")</f>
        <v>#VALUE!</v>
      </c>
      <c r="GG17" t="e">
        <f>AND('Male SR Endurance Speed'!L63,"AAAAACXrp7w=")</f>
        <v>#VALUE!</v>
      </c>
      <c r="GH17" t="e">
        <f>AND('Male SR Endurance Speed'!M63,"AAAAACXrp70=")</f>
        <v>#VALUE!</v>
      </c>
      <c r="GI17">
        <f>IF('Male SR Endurance Speed'!64:64,"AAAAACXrp74=",0)</f>
        <v>0</v>
      </c>
      <c r="GJ17" t="e">
        <f>AND('Male SR Endurance Speed'!A64,"AAAAACXrp78=")</f>
        <v>#VALUE!</v>
      </c>
      <c r="GK17" t="e">
        <f>AND('Male SR Endurance Speed'!B64,"AAAAACXrp8A=")</f>
        <v>#VALUE!</v>
      </c>
      <c r="GL17" t="e">
        <f>AND('Male SR Endurance Speed'!C64,"AAAAACXrp8E=")</f>
        <v>#VALUE!</v>
      </c>
      <c r="GM17" t="e">
        <f>AND('Male SR Endurance Speed'!D64,"AAAAACXrp8I=")</f>
        <v>#VALUE!</v>
      </c>
      <c r="GN17" t="e">
        <f>AND('Male SR Endurance Speed'!E64,"AAAAACXrp8M=")</f>
        <v>#VALUE!</v>
      </c>
      <c r="GO17" t="e">
        <f>AND('Male SR Endurance Speed'!F64,"AAAAACXrp8Q=")</f>
        <v>#VALUE!</v>
      </c>
      <c r="GP17" t="e">
        <f>AND('Male SR Endurance Speed'!G64,"AAAAACXrp8U=")</f>
        <v>#VALUE!</v>
      </c>
      <c r="GQ17" t="e">
        <f>AND('Male SR Endurance Speed'!H64,"AAAAACXrp8Y=")</f>
        <v>#VALUE!</v>
      </c>
      <c r="GR17" t="e">
        <f>AND('Male SR Endurance Speed'!I64,"AAAAACXrp8c=")</f>
        <v>#VALUE!</v>
      </c>
      <c r="GS17" t="e">
        <f>AND('Male SR Endurance Speed'!J64,"AAAAACXrp8g=")</f>
        <v>#VALUE!</v>
      </c>
      <c r="GT17" t="e">
        <f>AND('Male SR Endurance Speed'!K64,"AAAAACXrp8k=")</f>
        <v>#VALUE!</v>
      </c>
      <c r="GU17" t="e">
        <f>AND('Male SR Endurance Speed'!L64,"AAAAACXrp8o=")</f>
        <v>#VALUE!</v>
      </c>
      <c r="GV17" t="e">
        <f>AND('Male SR Endurance Speed'!M64,"AAAAACXrp8s=")</f>
        <v>#VALUE!</v>
      </c>
      <c r="GW17">
        <f>IF('Male SR Endurance Speed'!65:65,"AAAAACXrp8w=",0)</f>
        <v>0</v>
      </c>
      <c r="GX17" t="e">
        <f>AND('Male SR Endurance Speed'!A65,"AAAAACXrp80=")</f>
        <v>#VALUE!</v>
      </c>
      <c r="GY17" t="e">
        <f>AND('Male SR Endurance Speed'!B65,"AAAAACXrp84=")</f>
        <v>#VALUE!</v>
      </c>
      <c r="GZ17" t="e">
        <f>AND('Male SR Endurance Speed'!C65,"AAAAACXrp88=")</f>
        <v>#VALUE!</v>
      </c>
      <c r="HA17" t="e">
        <f>AND('Male SR Endurance Speed'!D65,"AAAAACXrp9A=")</f>
        <v>#VALUE!</v>
      </c>
      <c r="HB17" t="e">
        <f>AND('Male SR Endurance Speed'!E65,"AAAAACXrp9E=")</f>
        <v>#VALUE!</v>
      </c>
      <c r="HC17" t="e">
        <f>AND('Male SR Endurance Speed'!F65,"AAAAACXrp9I=")</f>
        <v>#VALUE!</v>
      </c>
      <c r="HD17" t="e">
        <f>AND('Male SR Endurance Speed'!G65,"AAAAACXrp9M=")</f>
        <v>#VALUE!</v>
      </c>
      <c r="HE17" t="e">
        <f>AND('Male SR Endurance Speed'!H65,"AAAAACXrp9Q=")</f>
        <v>#VALUE!</v>
      </c>
      <c r="HF17" t="e">
        <f>AND('Male SR Endurance Speed'!I65,"AAAAACXrp9U=")</f>
        <v>#VALUE!</v>
      </c>
      <c r="HG17" t="e">
        <f>AND('Male SR Endurance Speed'!J65,"AAAAACXrp9Y=")</f>
        <v>#VALUE!</v>
      </c>
      <c r="HH17" t="e">
        <f>AND('Male SR Endurance Speed'!K65,"AAAAACXrp9c=")</f>
        <v>#VALUE!</v>
      </c>
      <c r="HI17" t="e">
        <f>AND('Male SR Endurance Speed'!L65,"AAAAACXrp9g=")</f>
        <v>#VALUE!</v>
      </c>
      <c r="HJ17" t="e">
        <f>AND('Male SR Endurance Speed'!M65,"AAAAACXrp9k=")</f>
        <v>#VALUE!</v>
      </c>
      <c r="HK17">
        <f>IF('Male SR Endurance Speed'!66:66,"AAAAACXrp9o=",0)</f>
        <v>0</v>
      </c>
      <c r="HL17" t="e">
        <f>AND('Male SR Endurance Speed'!A66,"AAAAACXrp9s=")</f>
        <v>#VALUE!</v>
      </c>
      <c r="HM17" t="e">
        <f>AND('Male SR Endurance Speed'!B66,"AAAAACXrp9w=")</f>
        <v>#VALUE!</v>
      </c>
      <c r="HN17" t="e">
        <f>AND('Male SR Endurance Speed'!C66,"AAAAACXrp90=")</f>
        <v>#VALUE!</v>
      </c>
      <c r="HO17" t="e">
        <f>AND('Male SR Endurance Speed'!D66,"AAAAACXrp94=")</f>
        <v>#VALUE!</v>
      </c>
      <c r="HP17" t="e">
        <f>AND('Male SR Endurance Speed'!E66,"AAAAACXrp98=")</f>
        <v>#VALUE!</v>
      </c>
      <c r="HQ17" t="e">
        <f>AND('Male SR Endurance Speed'!F66,"AAAAACXrp+A=")</f>
        <v>#VALUE!</v>
      </c>
      <c r="HR17" t="e">
        <f>AND('Male SR Endurance Speed'!G66,"AAAAACXrp+E=")</f>
        <v>#VALUE!</v>
      </c>
      <c r="HS17" t="e">
        <f>AND('Male SR Endurance Speed'!H66,"AAAAACXrp+I=")</f>
        <v>#VALUE!</v>
      </c>
      <c r="HT17" t="e">
        <f>AND('Male SR Endurance Speed'!I66,"AAAAACXrp+M=")</f>
        <v>#VALUE!</v>
      </c>
      <c r="HU17" t="e">
        <f>AND('Male SR Endurance Speed'!J66,"AAAAACXrp+Q=")</f>
        <v>#VALUE!</v>
      </c>
      <c r="HV17" t="e">
        <f>AND('Male SR Endurance Speed'!K66,"AAAAACXrp+U=")</f>
        <v>#VALUE!</v>
      </c>
      <c r="HW17" t="e">
        <f>AND('Male SR Endurance Speed'!L66,"AAAAACXrp+Y=")</f>
        <v>#VALUE!</v>
      </c>
      <c r="HX17" t="e">
        <f>AND('Male SR Endurance Speed'!M66,"AAAAACXrp+c=")</f>
        <v>#VALUE!</v>
      </c>
      <c r="HY17">
        <f>IF('Male SR Endurance Speed'!67:67,"AAAAACXrp+g=",0)</f>
        <v>0</v>
      </c>
      <c r="HZ17" t="e">
        <f>AND('Male SR Endurance Speed'!A67,"AAAAACXrp+k=")</f>
        <v>#VALUE!</v>
      </c>
      <c r="IA17" t="e">
        <f>AND('Male SR Endurance Speed'!B67,"AAAAACXrp+o=")</f>
        <v>#VALUE!</v>
      </c>
      <c r="IB17" t="e">
        <f>AND('Male SR Endurance Speed'!C67,"AAAAACXrp+s=")</f>
        <v>#VALUE!</v>
      </c>
      <c r="IC17" t="e">
        <f>AND('Male SR Endurance Speed'!D67,"AAAAACXrp+w=")</f>
        <v>#VALUE!</v>
      </c>
      <c r="ID17" t="e">
        <f>AND('Male SR Endurance Speed'!E67,"AAAAACXrp+0=")</f>
        <v>#VALUE!</v>
      </c>
      <c r="IE17" t="e">
        <f>AND('Male SR Endurance Speed'!F67,"AAAAACXrp+4=")</f>
        <v>#VALUE!</v>
      </c>
      <c r="IF17" t="e">
        <f>AND('Male SR Endurance Speed'!G67,"AAAAACXrp+8=")</f>
        <v>#VALUE!</v>
      </c>
      <c r="IG17" t="e">
        <f>AND('Male SR Endurance Speed'!H67,"AAAAACXrp/A=")</f>
        <v>#VALUE!</v>
      </c>
      <c r="IH17" t="e">
        <f>AND('Male SR Endurance Speed'!I67,"AAAAACXrp/E=")</f>
        <v>#VALUE!</v>
      </c>
      <c r="II17" t="e">
        <f>AND('Male SR Endurance Speed'!J67,"AAAAACXrp/I=")</f>
        <v>#VALUE!</v>
      </c>
      <c r="IJ17" t="e">
        <f>AND('Male SR Endurance Speed'!K67,"AAAAACXrp/M=")</f>
        <v>#VALUE!</v>
      </c>
      <c r="IK17" t="e">
        <f>AND('Male SR Endurance Speed'!L67,"AAAAACXrp/Q=")</f>
        <v>#VALUE!</v>
      </c>
      <c r="IL17" t="e">
        <f>AND('Male SR Endurance Speed'!M67,"AAAAACXrp/U=")</f>
        <v>#VALUE!</v>
      </c>
      <c r="IM17">
        <f>IF('Male SR Endurance Speed'!70:70,"AAAAACXrp/Y=",0)</f>
        <v>0</v>
      </c>
      <c r="IN17" t="e">
        <f>AND('Male SR Endurance Speed'!A70,"AAAAACXrp/c=")</f>
        <v>#VALUE!</v>
      </c>
      <c r="IO17" t="e">
        <f>AND('Male SR Endurance Speed'!B70,"AAAAACXrp/g=")</f>
        <v>#VALUE!</v>
      </c>
      <c r="IP17" t="e">
        <f>AND('Male SR Endurance Speed'!C70,"AAAAACXrp/k=")</f>
        <v>#VALUE!</v>
      </c>
      <c r="IQ17" t="e">
        <f>AND('Male SR Endurance Speed'!D70,"AAAAACXrp/o=")</f>
        <v>#VALUE!</v>
      </c>
      <c r="IR17" t="e">
        <f>AND('Male SR Endurance Speed'!E70,"AAAAACXrp/s=")</f>
        <v>#VALUE!</v>
      </c>
      <c r="IS17" t="e">
        <f>AND('Male SR Endurance Speed'!F70,"AAAAACXrp/w=")</f>
        <v>#VALUE!</v>
      </c>
      <c r="IT17" t="e">
        <f>AND('Male SR Endurance Speed'!G70,"AAAAACXrp/0=")</f>
        <v>#VALUE!</v>
      </c>
      <c r="IU17" t="e">
        <f>AND('Male SR Endurance Speed'!H70,"AAAAACXrp/4=")</f>
        <v>#VALUE!</v>
      </c>
      <c r="IV17" t="e">
        <f>AND('Male SR Endurance Speed'!I70,"AAAAACXrp/8=")</f>
        <v>#VALUE!</v>
      </c>
    </row>
    <row r="18" spans="1:256" x14ac:dyDescent="0.25">
      <c r="A18" t="e">
        <f>AND('Male SR Endurance Speed'!J70,"AAAAAFN/1QA=")</f>
        <v>#VALUE!</v>
      </c>
      <c r="B18" t="e">
        <f>AND('Male SR Endurance Speed'!K70,"AAAAAFN/1QE=")</f>
        <v>#VALUE!</v>
      </c>
      <c r="C18" t="e">
        <f>AND('Male SR Endurance Speed'!L70,"AAAAAFN/1QI=")</f>
        <v>#VALUE!</v>
      </c>
      <c r="D18" t="e">
        <f>AND('Male SR Endurance Speed'!M70,"AAAAAFN/1QM=")</f>
        <v>#VALUE!</v>
      </c>
      <c r="E18" t="e">
        <f>IF('Male SR Endurance Speed'!#REF!,"AAAAAFN/1QQ=",0)</f>
        <v>#REF!</v>
      </c>
      <c r="F18" t="e">
        <f>AND('Male SR Endurance Speed'!#REF!,"AAAAAFN/1QU=")</f>
        <v>#REF!</v>
      </c>
      <c r="G18" t="e">
        <f>AND('Male SR Endurance Speed'!#REF!,"AAAAAFN/1QY=")</f>
        <v>#REF!</v>
      </c>
      <c r="H18" t="e">
        <f>AND('Male SR Endurance Speed'!#REF!,"AAAAAFN/1Qc=")</f>
        <v>#REF!</v>
      </c>
      <c r="I18" t="e">
        <f>AND('Male SR Endurance Speed'!#REF!,"AAAAAFN/1Qg=")</f>
        <v>#REF!</v>
      </c>
      <c r="J18" t="e">
        <f>AND('Male SR Endurance Speed'!#REF!,"AAAAAFN/1Qk=")</f>
        <v>#REF!</v>
      </c>
      <c r="K18" t="e">
        <f>AND('Male SR Endurance Speed'!#REF!,"AAAAAFN/1Qo=")</f>
        <v>#REF!</v>
      </c>
      <c r="L18" t="e">
        <f>AND('Male SR Endurance Speed'!#REF!,"AAAAAFN/1Qs=")</f>
        <v>#REF!</v>
      </c>
      <c r="M18" t="e">
        <f>AND('Male SR Endurance Speed'!#REF!,"AAAAAFN/1Qw=")</f>
        <v>#REF!</v>
      </c>
      <c r="N18" t="e">
        <f>AND('Male SR Endurance Speed'!#REF!,"AAAAAFN/1Q0=")</f>
        <v>#REF!</v>
      </c>
      <c r="O18" t="e">
        <f>AND('Male SR Endurance Speed'!#REF!,"AAAAAFN/1Q4=")</f>
        <v>#REF!</v>
      </c>
      <c r="P18" t="e">
        <f>AND('Male SR Endurance Speed'!#REF!,"AAAAAFN/1Q8=")</f>
        <v>#REF!</v>
      </c>
      <c r="Q18" t="e">
        <f>AND('Male SR Endurance Speed'!#REF!,"AAAAAFN/1RA=")</f>
        <v>#REF!</v>
      </c>
      <c r="R18" t="e">
        <f>AND('Male SR Endurance Speed'!#REF!,"AAAAAFN/1RE=")</f>
        <v>#REF!</v>
      </c>
      <c r="S18">
        <f>IF('Male SR Endurance Speed'!71:71,"AAAAAFN/1RI=",0)</f>
        <v>0</v>
      </c>
      <c r="T18" t="e">
        <f>AND('Male SR Endurance Speed'!H71,"AAAAAFN/1RM=")</f>
        <v>#VALUE!</v>
      </c>
      <c r="U18" t="e">
        <f>AND('Male SR Endurance Speed'!I71,"AAAAAFN/1RQ=")</f>
        <v>#VALUE!</v>
      </c>
      <c r="V18" t="e">
        <f>AND('Male SR Endurance Speed'!J71,"AAAAAFN/1RU=")</f>
        <v>#VALUE!</v>
      </c>
      <c r="W18" t="e">
        <f>AND('Male SR Endurance Speed'!K71,"AAAAAFN/1RY=")</f>
        <v>#VALUE!</v>
      </c>
      <c r="X18" t="e">
        <f>AND('Male SR Endurance Speed'!L71,"AAAAAFN/1Rc=")</f>
        <v>#VALUE!</v>
      </c>
      <c r="Y18" t="e">
        <f>AND('Male SR Endurance Speed'!M71,"AAAAAFN/1Rg=")</f>
        <v>#VALUE!</v>
      </c>
      <c r="Z18" t="e">
        <f>AND('Male SR Endurance Speed'!G71,"AAAAAFN/1Rk=")</f>
        <v>#VALUE!</v>
      </c>
      <c r="AA18" t="e">
        <f>AND('Male SR Endurance Speed'!A78,"AAAAAFN/1Ro=")</f>
        <v>#VALUE!</v>
      </c>
      <c r="AB18" t="e">
        <f>AND('Male SR Endurance Speed'!B78,"AAAAAFN/1Rs=")</f>
        <v>#VALUE!</v>
      </c>
      <c r="AC18" t="e">
        <f>AND('Male SR Endurance Speed'!C78,"AAAAAFN/1Rw=")</f>
        <v>#VALUE!</v>
      </c>
      <c r="AD18" t="e">
        <f>AND('Male SR Endurance Speed'!D78,"AAAAAFN/1R0=")</f>
        <v>#VALUE!</v>
      </c>
      <c r="AE18" t="e">
        <f>AND('Male SR Endurance Speed'!E78,"AAAAAFN/1R4=")</f>
        <v>#VALUE!</v>
      </c>
      <c r="AF18" t="e">
        <f>AND('Male SR Endurance Speed'!F78,"AAAAAFN/1R8=")</f>
        <v>#VALUE!</v>
      </c>
      <c r="AG18">
        <f>IF('Male SR Endurance Speed'!72:72,"AAAAAFN/1SA=",0)</f>
        <v>0</v>
      </c>
      <c r="AH18" t="e">
        <f>AND('Male SR Endurance Speed'!H72,"AAAAAFN/1SE=")</f>
        <v>#VALUE!</v>
      </c>
      <c r="AI18" t="e">
        <f>AND('Male SR Endurance Speed'!I72,"AAAAAFN/1SI=")</f>
        <v>#VALUE!</v>
      </c>
      <c r="AJ18" t="e">
        <f>AND('Male SR Endurance Speed'!J72,"AAAAAFN/1SM=")</f>
        <v>#VALUE!</v>
      </c>
      <c r="AK18" t="e">
        <f>AND('Male SR Endurance Speed'!K72,"AAAAAFN/1SQ=")</f>
        <v>#VALUE!</v>
      </c>
      <c r="AL18" t="e">
        <f>AND('Male SR Endurance Speed'!L72,"AAAAAFN/1SU=")</f>
        <v>#VALUE!</v>
      </c>
      <c r="AM18" t="e">
        <f>AND('Male SR Endurance Speed'!M72,"AAAAAFN/1SY=")</f>
        <v>#VALUE!</v>
      </c>
      <c r="AN18" t="e">
        <f>AND('Male SR Endurance Speed'!G72,"AAAAAFN/1Sc=")</f>
        <v>#VALUE!</v>
      </c>
      <c r="AO18" t="e">
        <f>AND('Male SR Endurance Speed'!A79,"AAAAAFN/1Sg=")</f>
        <v>#VALUE!</v>
      </c>
      <c r="AP18" t="e">
        <f>AND('Male SR Endurance Speed'!B79,"AAAAAFN/1Sk=")</f>
        <v>#VALUE!</v>
      </c>
      <c r="AQ18" t="e">
        <f>AND('Male SR Endurance Speed'!C79,"AAAAAFN/1So=")</f>
        <v>#VALUE!</v>
      </c>
      <c r="AR18" t="e">
        <f>AND('Male SR Endurance Speed'!D79,"AAAAAFN/1Ss=")</f>
        <v>#VALUE!</v>
      </c>
      <c r="AS18" t="e">
        <f>AND('Male SR Endurance Speed'!E79,"AAAAAFN/1Sw=")</f>
        <v>#VALUE!</v>
      </c>
      <c r="AT18" t="e">
        <f>AND('Male SR Endurance Speed'!F79,"AAAAAFN/1S0=")</f>
        <v>#VALUE!</v>
      </c>
      <c r="AU18">
        <f>IF('Male SR Endurance Speed'!73:73,"AAAAAFN/1S4=",0)</f>
        <v>0</v>
      </c>
      <c r="AV18" t="e">
        <f>AND('Male SR Endurance Speed'!H73,"AAAAAFN/1S8=")</f>
        <v>#VALUE!</v>
      </c>
      <c r="AW18" t="e">
        <f>AND('Male SR Endurance Speed'!I73,"AAAAAFN/1TA=")</f>
        <v>#VALUE!</v>
      </c>
      <c r="AX18" t="e">
        <f>AND('Male SR Endurance Speed'!J73,"AAAAAFN/1TE=")</f>
        <v>#VALUE!</v>
      </c>
      <c r="AY18" t="e">
        <f>AND('Male SR Endurance Speed'!K73,"AAAAAFN/1TI=")</f>
        <v>#VALUE!</v>
      </c>
      <c r="AZ18" t="e">
        <f>AND('Male SR Endurance Speed'!L73,"AAAAAFN/1TM=")</f>
        <v>#VALUE!</v>
      </c>
      <c r="BA18" t="e">
        <f>AND('Male SR Endurance Speed'!M73,"AAAAAFN/1TQ=")</f>
        <v>#VALUE!</v>
      </c>
      <c r="BB18" t="e">
        <f>AND('Male SR Endurance Speed'!G73,"AAAAAFN/1TU=")</f>
        <v>#VALUE!</v>
      </c>
      <c r="BC18" t="e">
        <f>AND('Male SR Endurance Speed'!A80,"AAAAAFN/1TY=")</f>
        <v>#VALUE!</v>
      </c>
      <c r="BD18" t="e">
        <f>AND('Male SR Endurance Speed'!B80,"AAAAAFN/1Tc=")</f>
        <v>#VALUE!</v>
      </c>
      <c r="BE18" t="e">
        <f>AND('Male SR Endurance Speed'!C80,"AAAAAFN/1Tg=")</f>
        <v>#VALUE!</v>
      </c>
      <c r="BF18" t="e">
        <f>AND('Male SR Endurance Speed'!D80,"AAAAAFN/1Tk=")</f>
        <v>#VALUE!</v>
      </c>
      <c r="BG18" t="e">
        <f>AND('Male SR Endurance Speed'!E80,"AAAAAFN/1To=")</f>
        <v>#VALUE!</v>
      </c>
      <c r="BH18" t="e">
        <f>AND('Male SR Endurance Speed'!F80,"AAAAAFN/1Ts=")</f>
        <v>#VALUE!</v>
      </c>
      <c r="BI18">
        <f>IF('Male SR Endurance Speed'!74:74,"AAAAAFN/1Tw=",0)</f>
        <v>0</v>
      </c>
      <c r="BJ18" t="e">
        <f>AND('Male SR Endurance Speed'!H74,"AAAAAFN/1T0=")</f>
        <v>#VALUE!</v>
      </c>
      <c r="BK18" t="e">
        <f>AND('Male SR Endurance Speed'!I74,"AAAAAFN/1T4=")</f>
        <v>#VALUE!</v>
      </c>
      <c r="BL18" t="e">
        <f>AND('Male SR Endurance Speed'!J74,"AAAAAFN/1T8=")</f>
        <v>#VALUE!</v>
      </c>
      <c r="BM18" t="e">
        <f>AND('Male SR Endurance Speed'!K74,"AAAAAFN/1UA=")</f>
        <v>#VALUE!</v>
      </c>
      <c r="BN18" t="e">
        <f>AND('Male SR Endurance Speed'!L74,"AAAAAFN/1UE=")</f>
        <v>#VALUE!</v>
      </c>
      <c r="BO18" t="e">
        <f>AND('Male SR Endurance Speed'!M74,"AAAAAFN/1UI=")</f>
        <v>#VALUE!</v>
      </c>
      <c r="BP18" t="e">
        <f>AND('Male SR Endurance Speed'!G74,"AAAAAFN/1UM=")</f>
        <v>#VALUE!</v>
      </c>
      <c r="BQ18" t="e">
        <f>AND('Male SR Endurance Speed'!A81,"AAAAAFN/1UQ=")</f>
        <v>#VALUE!</v>
      </c>
      <c r="BR18" t="e">
        <f>AND('Male SR Endurance Speed'!B81,"AAAAAFN/1UU=")</f>
        <v>#VALUE!</v>
      </c>
      <c r="BS18" t="e">
        <f>AND('Male SR Endurance Speed'!C81,"AAAAAFN/1UY=")</f>
        <v>#VALUE!</v>
      </c>
      <c r="BT18" t="e">
        <f>AND('Male SR Endurance Speed'!D81,"AAAAAFN/1Uc=")</f>
        <v>#VALUE!</v>
      </c>
      <c r="BU18" t="e">
        <f>AND('Male SR Endurance Speed'!E81,"AAAAAFN/1Ug=")</f>
        <v>#VALUE!</v>
      </c>
      <c r="BV18" t="e">
        <f>AND('Male SR Endurance Speed'!F81,"AAAAAFN/1Uk=")</f>
        <v>#VALUE!</v>
      </c>
      <c r="BW18">
        <f>IF('Male SR Endurance Speed'!75:75,"AAAAAFN/1Uo=",0)</f>
        <v>0</v>
      </c>
      <c r="BX18" t="e">
        <f>AND('Male SR Endurance Speed'!H75,"AAAAAFN/1Us=")</f>
        <v>#VALUE!</v>
      </c>
      <c r="BY18" t="e">
        <f>AND('Male SR Endurance Speed'!I75,"AAAAAFN/1Uw=")</f>
        <v>#VALUE!</v>
      </c>
      <c r="BZ18" t="e">
        <f>AND('Male SR Endurance Speed'!J75,"AAAAAFN/1U0=")</f>
        <v>#VALUE!</v>
      </c>
      <c r="CA18" t="e">
        <f>AND('Male SR Endurance Speed'!K75,"AAAAAFN/1U4=")</f>
        <v>#VALUE!</v>
      </c>
      <c r="CB18" t="e">
        <f>AND('Male SR Endurance Speed'!L75,"AAAAAFN/1U8=")</f>
        <v>#VALUE!</v>
      </c>
      <c r="CC18" t="e">
        <f>AND('Male SR Endurance Speed'!M75,"AAAAAFN/1VA=")</f>
        <v>#VALUE!</v>
      </c>
      <c r="CD18" t="e">
        <f>AND('Male SR Endurance Speed'!G75,"AAAAAFN/1VE=")</f>
        <v>#VALUE!</v>
      </c>
      <c r="CE18" t="e">
        <f>AND('Male SR Endurance Speed'!A82,"AAAAAFN/1VI=")</f>
        <v>#VALUE!</v>
      </c>
      <c r="CF18" t="e">
        <f>AND('Male SR Endurance Speed'!B82,"AAAAAFN/1VM=")</f>
        <v>#VALUE!</v>
      </c>
      <c r="CG18" t="e">
        <f>AND('Male SR Endurance Speed'!C82,"AAAAAFN/1VQ=")</f>
        <v>#VALUE!</v>
      </c>
      <c r="CH18" t="e">
        <f>AND('Male SR Endurance Speed'!D82,"AAAAAFN/1VU=")</f>
        <v>#VALUE!</v>
      </c>
      <c r="CI18" t="e">
        <f>AND('Male SR Endurance Speed'!E82,"AAAAAFN/1VY=")</f>
        <v>#VALUE!</v>
      </c>
      <c r="CJ18" t="e">
        <f>AND('Male SR Endurance Speed'!F82,"AAAAAFN/1Vc=")</f>
        <v>#VALUE!</v>
      </c>
      <c r="CK18">
        <f>IF('Male SR Endurance Speed'!76:76,"AAAAAFN/1Vg=",0)</f>
        <v>0</v>
      </c>
      <c r="CL18" t="e">
        <f>AND('Male SR Endurance Speed'!H76,"AAAAAFN/1Vk=")</f>
        <v>#VALUE!</v>
      </c>
      <c r="CM18" t="e">
        <f>AND('Male SR Endurance Speed'!I76,"AAAAAFN/1Vo=")</f>
        <v>#VALUE!</v>
      </c>
      <c r="CN18" t="e">
        <f>AND('Male SR Endurance Speed'!J76,"AAAAAFN/1Vs=")</f>
        <v>#VALUE!</v>
      </c>
      <c r="CO18" t="e">
        <f>AND('Male SR Endurance Speed'!K76,"AAAAAFN/1Vw=")</f>
        <v>#VALUE!</v>
      </c>
      <c r="CP18" t="e">
        <f>AND('Male SR Endurance Speed'!L76,"AAAAAFN/1V0=")</f>
        <v>#VALUE!</v>
      </c>
      <c r="CQ18" t="e">
        <f>AND('Male SR Endurance Speed'!M76,"AAAAAFN/1V4=")</f>
        <v>#VALUE!</v>
      </c>
      <c r="CR18" t="e">
        <f>AND('Male SR Endurance Speed'!G76,"AAAAAFN/1V8=")</f>
        <v>#VALUE!</v>
      </c>
      <c r="CS18" t="e">
        <f>AND('Male SR Endurance Speed'!A83,"AAAAAFN/1WA=")</f>
        <v>#VALUE!</v>
      </c>
      <c r="CT18" t="e">
        <f>AND('Male SR Endurance Speed'!B83,"AAAAAFN/1WE=")</f>
        <v>#VALUE!</v>
      </c>
      <c r="CU18" t="e">
        <f>AND('Male SR Endurance Speed'!C83,"AAAAAFN/1WI=")</f>
        <v>#VALUE!</v>
      </c>
      <c r="CV18" t="e">
        <f>AND('Male SR Endurance Speed'!D83,"AAAAAFN/1WM=")</f>
        <v>#VALUE!</v>
      </c>
      <c r="CW18" t="e">
        <f>AND('Male SR Endurance Speed'!E83,"AAAAAFN/1WQ=")</f>
        <v>#VALUE!</v>
      </c>
      <c r="CX18" t="e">
        <f>AND('Male SR Endurance Speed'!F83,"AAAAAFN/1WU=")</f>
        <v>#VALUE!</v>
      </c>
      <c r="CY18">
        <f>IF('Male SR Endurance Speed'!77:77,"AAAAAFN/1WY=",0)</f>
        <v>0</v>
      </c>
      <c r="CZ18" t="e">
        <f>AND('Male SR Endurance Speed'!H77,"AAAAAFN/1Wc=")</f>
        <v>#VALUE!</v>
      </c>
      <c r="DA18" t="e">
        <f>AND('Male SR Endurance Speed'!I77,"AAAAAFN/1Wg=")</f>
        <v>#VALUE!</v>
      </c>
      <c r="DB18" t="e">
        <f>AND('Male SR Endurance Speed'!J77,"AAAAAFN/1Wk=")</f>
        <v>#VALUE!</v>
      </c>
      <c r="DC18" t="e">
        <f>AND('Male SR Endurance Speed'!K77,"AAAAAFN/1Wo=")</f>
        <v>#VALUE!</v>
      </c>
      <c r="DD18" t="e">
        <f>AND('Male SR Endurance Speed'!L77,"AAAAAFN/1Ws=")</f>
        <v>#VALUE!</v>
      </c>
      <c r="DE18" t="e">
        <f>AND('Male SR Endurance Speed'!M77,"AAAAAFN/1Ww=")</f>
        <v>#VALUE!</v>
      </c>
      <c r="DF18" t="e">
        <f>AND('Male SR Endurance Speed'!G77,"AAAAAFN/1W0=")</f>
        <v>#VALUE!</v>
      </c>
      <c r="DG18" t="e">
        <f>AND('Male SR Endurance Speed'!A84,"AAAAAFN/1W4=")</f>
        <v>#VALUE!</v>
      </c>
      <c r="DH18" t="e">
        <f>AND('Male SR Endurance Speed'!B84,"AAAAAFN/1W8=")</f>
        <v>#VALUE!</v>
      </c>
      <c r="DI18" t="e">
        <f>AND('Male SR Endurance Speed'!C84,"AAAAAFN/1XA=")</f>
        <v>#VALUE!</v>
      </c>
      <c r="DJ18" t="e">
        <f>AND('Male SR Endurance Speed'!D84,"AAAAAFN/1XE=")</f>
        <v>#VALUE!</v>
      </c>
      <c r="DK18" t="e">
        <f>AND('Male SR Endurance Speed'!E84,"AAAAAFN/1XI=")</f>
        <v>#VALUE!</v>
      </c>
      <c r="DL18" t="e">
        <f>AND('Male SR Endurance Speed'!F84,"AAAAAFN/1XM=")</f>
        <v>#VALUE!</v>
      </c>
      <c r="DM18" t="str">
        <f>IF('Male SR Endurance Speed'!A:A,"AAAAAFN/1XQ=",0)</f>
        <v>AAAAAFN/1XQ=</v>
      </c>
      <c r="DN18" t="e">
        <f>IF('Male SR Endurance Speed'!B:B,"AAAAAFN/1XU=",0)</f>
        <v>#VALUE!</v>
      </c>
      <c r="DO18" t="e">
        <f>IF('Male SR Endurance Speed'!C:C,"AAAAAFN/1XY=",0)</f>
        <v>#VALUE!</v>
      </c>
      <c r="DP18">
        <f>IF('Male SR Endurance Speed'!D:D,"AAAAAFN/1Xc=",0)</f>
        <v>0</v>
      </c>
      <c r="DQ18" t="e">
        <f>IF('Male SR Endurance Speed'!E:E,"AAAAAFN/1Xg=",0)</f>
        <v>#VALUE!</v>
      </c>
      <c r="DR18" t="e">
        <f>IF('Male SR Endurance Speed'!F:F,"AAAAAFN/1Xk=",0)</f>
        <v>#VALUE!</v>
      </c>
      <c r="DS18">
        <f>IF('Male SR Endurance Speed'!G:G,"AAAAAFN/1Xo=",0)</f>
        <v>0</v>
      </c>
      <c r="DT18" t="str">
        <f>IF('Male SR Endurance Speed'!H:H,"AAAAAFN/1Xs=",0)</f>
        <v>AAAAAFN/1Xs=</v>
      </c>
      <c r="DU18" t="e">
        <f>IF('Male SR Endurance Speed'!I:I,"AAAAAFN/1Xw=",0)</f>
        <v>#VALUE!</v>
      </c>
      <c r="DV18" t="e">
        <f>IF('Male SR Endurance Speed'!J:J,"AAAAAFN/1X0=",0)</f>
        <v>#VALUE!</v>
      </c>
      <c r="DW18">
        <f>IF('Male SR Endurance Speed'!K:K,"AAAAAFN/1X4=",0)</f>
        <v>0</v>
      </c>
      <c r="DX18" t="e">
        <f>IF('Male SR Endurance Speed'!L:L,"AAAAAFN/1X8=",0)</f>
        <v>#VALUE!</v>
      </c>
      <c r="DY18" t="e">
        <f>IF('Male SR Endurance Speed'!M:M,"AAAAAFN/1YA=",0)</f>
        <v>#VALUE!</v>
      </c>
      <c r="DZ18">
        <f>IF('Female SR Endurance Speed'!1:1,"AAAAAFN/1YE=",0)</f>
        <v>0</v>
      </c>
      <c r="EA18" t="e">
        <f>AND('Female SR Endurance Speed'!A1,"AAAAAFN/1YI=")</f>
        <v>#VALUE!</v>
      </c>
      <c r="EB18" t="e">
        <f>AND('Female SR Endurance Speed'!B1,"AAAAAFN/1YM=")</f>
        <v>#VALUE!</v>
      </c>
      <c r="EC18" t="e">
        <f>AND('Female SR Endurance Speed'!C1,"AAAAAFN/1YQ=")</f>
        <v>#VALUE!</v>
      </c>
      <c r="ED18" t="e">
        <f>AND('Female SR Endurance Speed'!D1,"AAAAAFN/1YU=")</f>
        <v>#VALUE!</v>
      </c>
      <c r="EE18" t="e">
        <f>AND('Female SR Endurance Speed'!E1,"AAAAAFN/1YY=")</f>
        <v>#VALUE!</v>
      </c>
      <c r="EF18" t="e">
        <f>AND('Female SR Endurance Speed'!F1,"AAAAAFN/1Yc=")</f>
        <v>#VALUE!</v>
      </c>
      <c r="EG18" t="e">
        <f>AND('Female SR Endurance Speed'!G1,"AAAAAFN/1Yg=")</f>
        <v>#VALUE!</v>
      </c>
      <c r="EH18" t="e">
        <f>AND('Female SR Endurance Speed'!H1,"AAAAAFN/1Yk=")</f>
        <v>#VALUE!</v>
      </c>
      <c r="EI18" t="e">
        <f>AND('Female SR Endurance Speed'!I1,"AAAAAFN/1Yo=")</f>
        <v>#VALUE!</v>
      </c>
      <c r="EJ18" t="e">
        <f>AND('Female SR Endurance Speed'!J1,"AAAAAFN/1Ys=")</f>
        <v>#VALUE!</v>
      </c>
      <c r="EK18" t="e">
        <f>AND('Female SR Endurance Speed'!K1,"AAAAAFN/1Yw=")</f>
        <v>#VALUE!</v>
      </c>
      <c r="EL18" t="e">
        <f>AND('Female SR Endurance Speed'!L1,"AAAAAFN/1Y0=")</f>
        <v>#VALUE!</v>
      </c>
      <c r="EM18" t="e">
        <f>AND('Female SR Endurance Speed'!M1,"AAAAAFN/1Y4=")</f>
        <v>#VALUE!</v>
      </c>
      <c r="EN18">
        <f>IF('Female SR Endurance Speed'!2:2,"AAAAAFN/1Y8=",0)</f>
        <v>0</v>
      </c>
      <c r="EO18" t="e">
        <f>AND('Female SR Endurance Speed'!A2,"AAAAAFN/1ZA=")</f>
        <v>#VALUE!</v>
      </c>
      <c r="EP18" t="e">
        <f>AND('Female SR Endurance Speed'!B2,"AAAAAFN/1ZE=")</f>
        <v>#VALUE!</v>
      </c>
      <c r="EQ18" t="e">
        <f>AND('Female SR Endurance Speed'!C2,"AAAAAFN/1ZI=")</f>
        <v>#VALUE!</v>
      </c>
      <c r="ER18" t="e">
        <f>AND('Female SR Endurance Speed'!D2,"AAAAAFN/1ZM=")</f>
        <v>#VALUE!</v>
      </c>
      <c r="ES18" t="e">
        <f>AND('Female SR Endurance Speed'!E2,"AAAAAFN/1ZQ=")</f>
        <v>#VALUE!</v>
      </c>
      <c r="ET18" t="e">
        <f>AND('Female SR Endurance Speed'!F2,"AAAAAFN/1ZU=")</f>
        <v>#VALUE!</v>
      </c>
      <c r="EU18" t="e">
        <f>AND('Female SR Endurance Speed'!G2,"AAAAAFN/1ZY=")</f>
        <v>#VALUE!</v>
      </c>
      <c r="EV18" t="e">
        <f>AND('Female SR Endurance Speed'!H2,"AAAAAFN/1Zc=")</f>
        <v>#VALUE!</v>
      </c>
      <c r="EW18" t="e">
        <f>AND('Female SR Endurance Speed'!I2,"AAAAAFN/1Zg=")</f>
        <v>#VALUE!</v>
      </c>
      <c r="EX18" t="e">
        <f>AND('Female SR Endurance Speed'!J2,"AAAAAFN/1Zk=")</f>
        <v>#VALUE!</v>
      </c>
      <c r="EY18" t="e">
        <f>AND('Female SR Endurance Speed'!K2,"AAAAAFN/1Zo=")</f>
        <v>#VALUE!</v>
      </c>
      <c r="EZ18" t="e">
        <f>AND('Female SR Endurance Speed'!L2,"AAAAAFN/1Zs=")</f>
        <v>#VALUE!</v>
      </c>
      <c r="FA18" t="e">
        <f>AND('Female SR Endurance Speed'!M2,"AAAAAFN/1Zw=")</f>
        <v>#VALUE!</v>
      </c>
      <c r="FB18">
        <f>IF('Female SR Endurance Speed'!3:3,"AAAAAFN/1Z0=",0)</f>
        <v>0</v>
      </c>
      <c r="FC18" t="e">
        <f>AND('Female SR Endurance Speed'!A3,"AAAAAFN/1Z4=")</f>
        <v>#VALUE!</v>
      </c>
      <c r="FD18" t="e">
        <f>AND('Female SR Endurance Speed'!B3,"AAAAAFN/1Z8=")</f>
        <v>#VALUE!</v>
      </c>
      <c r="FE18" t="e">
        <f>AND('Female SR Endurance Speed'!C3,"AAAAAFN/1aA=")</f>
        <v>#VALUE!</v>
      </c>
      <c r="FF18" t="e">
        <f>AND('Female SR Endurance Speed'!D3,"AAAAAFN/1aE=")</f>
        <v>#VALUE!</v>
      </c>
      <c r="FG18" t="e">
        <f>AND('Female SR Endurance Speed'!E3,"AAAAAFN/1aI=")</f>
        <v>#VALUE!</v>
      </c>
      <c r="FH18" t="e">
        <f>AND('Female SR Endurance Speed'!F3,"AAAAAFN/1aM=")</f>
        <v>#VALUE!</v>
      </c>
      <c r="FI18" t="e">
        <f>AND('Female SR Endurance Speed'!G3,"AAAAAFN/1aQ=")</f>
        <v>#VALUE!</v>
      </c>
      <c r="FJ18" t="e">
        <f>AND('Female SR Endurance Speed'!H3,"AAAAAFN/1aU=")</f>
        <v>#VALUE!</v>
      </c>
      <c r="FK18" t="e">
        <f>AND('Female SR Endurance Speed'!I3,"AAAAAFN/1aY=")</f>
        <v>#VALUE!</v>
      </c>
      <c r="FL18" t="e">
        <f>AND('Female SR Endurance Speed'!J3,"AAAAAFN/1ac=")</f>
        <v>#VALUE!</v>
      </c>
      <c r="FM18" t="e">
        <f>AND('Female SR Endurance Speed'!K3,"AAAAAFN/1ag=")</f>
        <v>#VALUE!</v>
      </c>
      <c r="FN18" t="e">
        <f>AND('Female SR Endurance Speed'!L3,"AAAAAFN/1ak=")</f>
        <v>#VALUE!</v>
      </c>
      <c r="FO18" t="e">
        <f>AND('Female SR Endurance Speed'!M3,"AAAAAFN/1ao=")</f>
        <v>#VALUE!</v>
      </c>
      <c r="FP18">
        <f>IF('Female SR Endurance Speed'!4:4,"AAAAAFN/1as=",0)</f>
        <v>0</v>
      </c>
      <c r="FQ18" t="e">
        <f>AND('Female SR Endurance Speed'!A4,"AAAAAFN/1aw=")</f>
        <v>#VALUE!</v>
      </c>
      <c r="FR18" t="e">
        <f>AND('Female SR Endurance Speed'!B4,"AAAAAFN/1a0=")</f>
        <v>#VALUE!</v>
      </c>
      <c r="FS18" t="e">
        <f>AND('Female SR Endurance Speed'!C4,"AAAAAFN/1a4=")</f>
        <v>#VALUE!</v>
      </c>
      <c r="FT18" t="e">
        <f>AND('Female SR Endurance Speed'!D4,"AAAAAFN/1a8=")</f>
        <v>#VALUE!</v>
      </c>
      <c r="FU18" t="e">
        <f>AND('Female SR Endurance Speed'!E4,"AAAAAFN/1bA=")</f>
        <v>#VALUE!</v>
      </c>
      <c r="FV18" t="e">
        <f>AND('Female SR Endurance Speed'!F4,"AAAAAFN/1bE=")</f>
        <v>#VALUE!</v>
      </c>
      <c r="FW18" t="e">
        <f>AND('Female SR Endurance Speed'!G4,"AAAAAFN/1bI=")</f>
        <v>#VALUE!</v>
      </c>
      <c r="FX18" t="e">
        <f>AND('Female SR Endurance Speed'!H4,"AAAAAFN/1bM=")</f>
        <v>#VALUE!</v>
      </c>
      <c r="FY18" t="e">
        <f>AND('Female SR Endurance Speed'!I4,"AAAAAFN/1bQ=")</f>
        <v>#VALUE!</v>
      </c>
      <c r="FZ18" t="e">
        <f>AND('Female SR Endurance Speed'!J4,"AAAAAFN/1bU=")</f>
        <v>#VALUE!</v>
      </c>
      <c r="GA18" t="e">
        <f>AND('Female SR Endurance Speed'!K4,"AAAAAFN/1bY=")</f>
        <v>#VALUE!</v>
      </c>
      <c r="GB18" t="e">
        <f>AND('Female SR Endurance Speed'!L4,"AAAAAFN/1bc=")</f>
        <v>#VALUE!</v>
      </c>
      <c r="GC18" t="e">
        <f>AND('Female SR Endurance Speed'!M4,"AAAAAFN/1bg=")</f>
        <v>#VALUE!</v>
      </c>
      <c r="GD18">
        <f>IF('Female SR Endurance Speed'!5:5,"AAAAAFN/1bk=",0)</f>
        <v>0</v>
      </c>
      <c r="GE18" t="e">
        <f>AND('Female SR Endurance Speed'!A5,"AAAAAFN/1bo=")</f>
        <v>#VALUE!</v>
      </c>
      <c r="GF18" t="e">
        <f>AND('Female SR Endurance Speed'!B5,"AAAAAFN/1bs=")</f>
        <v>#VALUE!</v>
      </c>
      <c r="GG18" t="e">
        <f>AND('Female SR Endurance Speed'!C5,"AAAAAFN/1bw=")</f>
        <v>#VALUE!</v>
      </c>
      <c r="GH18" t="e">
        <f>AND('Female SR Endurance Speed'!D5,"AAAAAFN/1b0=")</f>
        <v>#VALUE!</v>
      </c>
      <c r="GI18" t="e">
        <f>AND('Female SR Endurance Speed'!E5,"AAAAAFN/1b4=")</f>
        <v>#VALUE!</v>
      </c>
      <c r="GJ18" t="e">
        <f>AND('Female SR Endurance Speed'!F5,"AAAAAFN/1b8=")</f>
        <v>#VALUE!</v>
      </c>
      <c r="GK18" t="e">
        <f>AND('Female SR Endurance Speed'!G5,"AAAAAFN/1cA=")</f>
        <v>#VALUE!</v>
      </c>
      <c r="GL18" t="e">
        <f>AND('Female SR Endurance Speed'!H5,"AAAAAFN/1cE=")</f>
        <v>#VALUE!</v>
      </c>
      <c r="GM18" t="e">
        <f>AND('Female SR Endurance Speed'!I5,"AAAAAFN/1cI=")</f>
        <v>#VALUE!</v>
      </c>
      <c r="GN18" t="e">
        <f>AND('Female SR Endurance Speed'!J5,"AAAAAFN/1cM=")</f>
        <v>#VALUE!</v>
      </c>
      <c r="GO18" t="e">
        <f>AND('Female SR Endurance Speed'!K5,"AAAAAFN/1cQ=")</f>
        <v>#VALUE!</v>
      </c>
      <c r="GP18" t="e">
        <f>AND('Female SR Endurance Speed'!L5,"AAAAAFN/1cU=")</f>
        <v>#VALUE!</v>
      </c>
      <c r="GQ18" t="e">
        <f>AND('Female SR Endurance Speed'!M5,"AAAAAFN/1cY=")</f>
        <v>#VALUE!</v>
      </c>
      <c r="GR18">
        <f>IF('Female SR Endurance Speed'!6:6,"AAAAAFN/1cc=",0)</f>
        <v>0</v>
      </c>
      <c r="GS18" t="e">
        <f>AND('Female SR Endurance Speed'!A6,"AAAAAFN/1cg=")</f>
        <v>#VALUE!</v>
      </c>
      <c r="GT18" t="e">
        <f>AND('Female SR Endurance Speed'!B6,"AAAAAFN/1ck=")</f>
        <v>#VALUE!</v>
      </c>
      <c r="GU18" t="e">
        <f>AND('Female SR Endurance Speed'!C6,"AAAAAFN/1co=")</f>
        <v>#VALUE!</v>
      </c>
      <c r="GV18" t="e">
        <f>AND('Female SR Endurance Speed'!D6,"AAAAAFN/1cs=")</f>
        <v>#VALUE!</v>
      </c>
      <c r="GW18" t="e">
        <f>AND('Female SR Endurance Speed'!E6,"AAAAAFN/1cw=")</f>
        <v>#VALUE!</v>
      </c>
      <c r="GX18" t="e">
        <f>AND('Female SR Endurance Speed'!F6,"AAAAAFN/1c0=")</f>
        <v>#VALUE!</v>
      </c>
      <c r="GY18" t="e">
        <f>AND('Female SR Endurance Speed'!G6,"AAAAAFN/1c4=")</f>
        <v>#VALUE!</v>
      </c>
      <c r="GZ18" t="e">
        <f>AND('Female SR Endurance Speed'!H6,"AAAAAFN/1c8=")</f>
        <v>#VALUE!</v>
      </c>
      <c r="HA18" t="e">
        <f>AND('Female SR Endurance Speed'!I6,"AAAAAFN/1dA=")</f>
        <v>#VALUE!</v>
      </c>
      <c r="HB18" t="e">
        <f>AND('Female SR Endurance Speed'!J6,"AAAAAFN/1dE=")</f>
        <v>#VALUE!</v>
      </c>
      <c r="HC18" t="e">
        <f>AND('Female SR Endurance Speed'!K6,"AAAAAFN/1dI=")</f>
        <v>#VALUE!</v>
      </c>
      <c r="HD18" t="e">
        <f>AND('Female SR Endurance Speed'!L6,"AAAAAFN/1dM=")</f>
        <v>#VALUE!</v>
      </c>
      <c r="HE18" t="e">
        <f>AND('Female SR Endurance Speed'!M6,"AAAAAFN/1dQ=")</f>
        <v>#VALUE!</v>
      </c>
      <c r="HF18">
        <f>IF('Female SR Endurance Speed'!7:7,"AAAAAFN/1dU=",0)</f>
        <v>0</v>
      </c>
      <c r="HG18" t="e">
        <f>AND('Female SR Endurance Speed'!A7,"AAAAAFN/1dY=")</f>
        <v>#VALUE!</v>
      </c>
      <c r="HH18" t="e">
        <f>AND('Female SR Endurance Speed'!B7,"AAAAAFN/1dc=")</f>
        <v>#VALUE!</v>
      </c>
      <c r="HI18" t="e">
        <f>AND('Female SR Endurance Speed'!C7,"AAAAAFN/1dg=")</f>
        <v>#VALUE!</v>
      </c>
      <c r="HJ18" t="e">
        <f>AND('Female SR Endurance Speed'!D7,"AAAAAFN/1dk=")</f>
        <v>#VALUE!</v>
      </c>
      <c r="HK18" t="e">
        <f>AND('Female SR Endurance Speed'!E7,"AAAAAFN/1do=")</f>
        <v>#VALUE!</v>
      </c>
      <c r="HL18" t="e">
        <f>AND('Female SR Endurance Speed'!F7,"AAAAAFN/1ds=")</f>
        <v>#VALUE!</v>
      </c>
      <c r="HM18" t="e">
        <f>AND('Female SR Endurance Speed'!G7,"AAAAAFN/1dw=")</f>
        <v>#VALUE!</v>
      </c>
      <c r="HN18" t="e">
        <f>AND('Female SR Endurance Speed'!H7,"AAAAAFN/1d0=")</f>
        <v>#VALUE!</v>
      </c>
      <c r="HO18" t="e">
        <f>AND('Female SR Endurance Speed'!I7,"AAAAAFN/1d4=")</f>
        <v>#VALUE!</v>
      </c>
      <c r="HP18" t="e">
        <f>AND('Female SR Endurance Speed'!J7,"AAAAAFN/1d8=")</f>
        <v>#VALUE!</v>
      </c>
      <c r="HQ18" t="e">
        <f>AND('Female SR Endurance Speed'!K7,"AAAAAFN/1eA=")</f>
        <v>#VALUE!</v>
      </c>
      <c r="HR18" t="e">
        <f>AND('Female SR Endurance Speed'!L7,"AAAAAFN/1eE=")</f>
        <v>#VALUE!</v>
      </c>
      <c r="HS18" t="e">
        <f>AND('Female SR Endurance Speed'!M7,"AAAAAFN/1eI=")</f>
        <v>#VALUE!</v>
      </c>
      <c r="HT18">
        <f>IF('Female SR Endurance Speed'!8:8,"AAAAAFN/1eM=",0)</f>
        <v>0</v>
      </c>
      <c r="HU18" t="e">
        <f>AND('Female SR Endurance Speed'!A8,"AAAAAFN/1eQ=")</f>
        <v>#VALUE!</v>
      </c>
      <c r="HV18" t="e">
        <f>AND('Female SR Endurance Speed'!B8,"AAAAAFN/1eU=")</f>
        <v>#VALUE!</v>
      </c>
      <c r="HW18" t="e">
        <f>AND('Female SR Endurance Speed'!C8,"AAAAAFN/1eY=")</f>
        <v>#VALUE!</v>
      </c>
      <c r="HX18" t="e">
        <f>AND('Female SR Endurance Speed'!D8,"AAAAAFN/1ec=")</f>
        <v>#VALUE!</v>
      </c>
      <c r="HY18" t="e">
        <f>AND('Female SR Endurance Speed'!E8,"AAAAAFN/1eg=")</f>
        <v>#VALUE!</v>
      </c>
      <c r="HZ18" t="e">
        <f>AND('Female SR Endurance Speed'!F8,"AAAAAFN/1ek=")</f>
        <v>#VALUE!</v>
      </c>
      <c r="IA18" t="e">
        <f>AND('Female SR Endurance Speed'!G8,"AAAAAFN/1eo=")</f>
        <v>#VALUE!</v>
      </c>
      <c r="IB18" t="e">
        <f>AND('Female SR Endurance Speed'!H8,"AAAAAFN/1es=")</f>
        <v>#VALUE!</v>
      </c>
      <c r="IC18" t="e">
        <f>AND('Female SR Endurance Speed'!I8,"AAAAAFN/1ew=")</f>
        <v>#VALUE!</v>
      </c>
      <c r="ID18" t="e">
        <f>AND('Female SR Endurance Speed'!J8,"AAAAAFN/1e0=")</f>
        <v>#VALUE!</v>
      </c>
      <c r="IE18" t="e">
        <f>AND('Female SR Endurance Speed'!K8,"AAAAAFN/1e4=")</f>
        <v>#VALUE!</v>
      </c>
      <c r="IF18" t="e">
        <f>AND('Female SR Endurance Speed'!L8,"AAAAAFN/1e8=")</f>
        <v>#VALUE!</v>
      </c>
      <c r="IG18" t="e">
        <f>AND('Female SR Endurance Speed'!M8,"AAAAAFN/1fA=")</f>
        <v>#VALUE!</v>
      </c>
      <c r="IH18">
        <f>IF('Female SR Endurance Speed'!9:9,"AAAAAFN/1fE=",0)</f>
        <v>0</v>
      </c>
      <c r="II18" t="e">
        <f>AND('Female SR Endurance Speed'!A9,"AAAAAFN/1fI=")</f>
        <v>#VALUE!</v>
      </c>
      <c r="IJ18" t="e">
        <f>AND('Female SR Endurance Speed'!B9,"AAAAAFN/1fM=")</f>
        <v>#VALUE!</v>
      </c>
      <c r="IK18" t="e">
        <f>AND('Female SR Endurance Speed'!C9,"AAAAAFN/1fQ=")</f>
        <v>#VALUE!</v>
      </c>
      <c r="IL18" t="e">
        <f>AND('Female SR Endurance Speed'!D9,"AAAAAFN/1fU=")</f>
        <v>#VALUE!</v>
      </c>
      <c r="IM18" t="e">
        <f>AND('Female SR Endurance Speed'!E9,"AAAAAFN/1fY=")</f>
        <v>#VALUE!</v>
      </c>
      <c r="IN18" t="e">
        <f>AND('Female SR Endurance Speed'!F9,"AAAAAFN/1fc=")</f>
        <v>#VALUE!</v>
      </c>
      <c r="IO18" t="e">
        <f>AND('Female SR Endurance Speed'!G9,"AAAAAFN/1fg=")</f>
        <v>#VALUE!</v>
      </c>
      <c r="IP18" t="e">
        <f>AND('Female SR Endurance Speed'!H9,"AAAAAFN/1fk=")</f>
        <v>#VALUE!</v>
      </c>
      <c r="IQ18" t="e">
        <f>AND('Female SR Endurance Speed'!I9,"AAAAAFN/1fo=")</f>
        <v>#VALUE!</v>
      </c>
      <c r="IR18" t="e">
        <f>AND('Female SR Endurance Speed'!J9,"AAAAAFN/1fs=")</f>
        <v>#VALUE!</v>
      </c>
      <c r="IS18" t="e">
        <f>AND('Female SR Endurance Speed'!K9,"AAAAAFN/1fw=")</f>
        <v>#VALUE!</v>
      </c>
      <c r="IT18" t="e">
        <f>AND('Female SR Endurance Speed'!L9,"AAAAAFN/1f0=")</f>
        <v>#VALUE!</v>
      </c>
      <c r="IU18" t="e">
        <f>AND('Female SR Endurance Speed'!M9,"AAAAAFN/1f4=")</f>
        <v>#VALUE!</v>
      </c>
      <c r="IV18">
        <f>IF('Female SR Endurance Speed'!10:10,"AAAAAFN/1f8=",0)</f>
        <v>0</v>
      </c>
    </row>
    <row r="19" spans="1:256" x14ac:dyDescent="0.25">
      <c r="A19" t="e">
        <f>AND('Female SR Endurance Speed'!A10,"AAAAAD/nsQA=")</f>
        <v>#VALUE!</v>
      </c>
      <c r="B19" t="e">
        <f>AND('Female SR Endurance Speed'!B10,"AAAAAD/nsQE=")</f>
        <v>#VALUE!</v>
      </c>
      <c r="C19" t="e">
        <f>AND('Female SR Endurance Speed'!C10,"AAAAAD/nsQI=")</f>
        <v>#VALUE!</v>
      </c>
      <c r="D19" t="e">
        <f>AND('Female SR Endurance Speed'!D10,"AAAAAD/nsQM=")</f>
        <v>#VALUE!</v>
      </c>
      <c r="E19" t="e">
        <f>AND('Female SR Endurance Speed'!E10,"AAAAAD/nsQQ=")</f>
        <v>#VALUE!</v>
      </c>
      <c r="F19" t="e">
        <f>AND('Female SR Endurance Speed'!F10,"AAAAAD/nsQU=")</f>
        <v>#VALUE!</v>
      </c>
      <c r="G19" t="e">
        <f>AND('Female SR Endurance Speed'!G10,"AAAAAD/nsQY=")</f>
        <v>#VALUE!</v>
      </c>
      <c r="H19" t="e">
        <f>AND('Female SR Endurance Speed'!H10,"AAAAAD/nsQc=")</f>
        <v>#VALUE!</v>
      </c>
      <c r="I19" t="e">
        <f>AND('Female SR Endurance Speed'!I10,"AAAAAD/nsQg=")</f>
        <v>#VALUE!</v>
      </c>
      <c r="J19" t="e">
        <f>AND('Female SR Endurance Speed'!J10,"AAAAAD/nsQk=")</f>
        <v>#VALUE!</v>
      </c>
      <c r="K19" t="e">
        <f>AND('Female SR Endurance Speed'!K10,"AAAAAD/nsQo=")</f>
        <v>#VALUE!</v>
      </c>
      <c r="L19" t="e">
        <f>AND('Female SR Endurance Speed'!L10,"AAAAAD/nsQs=")</f>
        <v>#VALUE!</v>
      </c>
      <c r="M19" t="e">
        <f>AND('Female SR Endurance Speed'!M10,"AAAAAD/nsQw=")</f>
        <v>#VALUE!</v>
      </c>
      <c r="N19">
        <f>IF('Female SR Endurance Speed'!11:11,"AAAAAD/nsQ0=",0)</f>
        <v>0</v>
      </c>
      <c r="O19" t="e">
        <f>AND('Female SR Endurance Speed'!A11,"AAAAAD/nsQ4=")</f>
        <v>#VALUE!</v>
      </c>
      <c r="P19" t="e">
        <f>AND('Female SR Endurance Speed'!B11,"AAAAAD/nsQ8=")</f>
        <v>#VALUE!</v>
      </c>
      <c r="Q19" t="e">
        <f>AND('Female SR Endurance Speed'!C11,"AAAAAD/nsRA=")</f>
        <v>#VALUE!</v>
      </c>
      <c r="R19" t="e">
        <f>AND('Female SR Endurance Speed'!D11,"AAAAAD/nsRE=")</f>
        <v>#VALUE!</v>
      </c>
      <c r="S19" t="e">
        <f>AND('Female SR Endurance Speed'!E11,"AAAAAD/nsRI=")</f>
        <v>#VALUE!</v>
      </c>
      <c r="T19" t="e">
        <f>AND('Female SR Endurance Speed'!F11,"AAAAAD/nsRM=")</f>
        <v>#VALUE!</v>
      </c>
      <c r="U19" t="e">
        <f>AND('Female SR Endurance Speed'!G11,"AAAAAD/nsRQ=")</f>
        <v>#VALUE!</v>
      </c>
      <c r="V19" t="e">
        <f>AND('Female SR Endurance Speed'!H11,"AAAAAD/nsRU=")</f>
        <v>#VALUE!</v>
      </c>
      <c r="W19" t="e">
        <f>AND('Female SR Endurance Speed'!I11,"AAAAAD/nsRY=")</f>
        <v>#VALUE!</v>
      </c>
      <c r="X19" t="e">
        <f>AND('Female SR Endurance Speed'!J11,"AAAAAD/nsRc=")</f>
        <v>#VALUE!</v>
      </c>
      <c r="Y19" t="e">
        <f>AND('Female SR Endurance Speed'!K11,"AAAAAD/nsRg=")</f>
        <v>#VALUE!</v>
      </c>
      <c r="Z19" t="e">
        <f>AND('Female SR Endurance Speed'!L11,"AAAAAD/nsRk=")</f>
        <v>#VALUE!</v>
      </c>
      <c r="AA19" t="e">
        <f>AND('Female SR Endurance Speed'!M11,"AAAAAD/nsRo=")</f>
        <v>#VALUE!</v>
      </c>
      <c r="AB19">
        <f>IF('Female SR Endurance Speed'!12:12,"AAAAAD/nsRs=",0)</f>
        <v>0</v>
      </c>
      <c r="AC19" t="e">
        <f>AND('Female SR Endurance Speed'!A12,"AAAAAD/nsRw=")</f>
        <v>#VALUE!</v>
      </c>
      <c r="AD19" t="e">
        <f>AND('Female SR Endurance Speed'!B12,"AAAAAD/nsR0=")</f>
        <v>#VALUE!</v>
      </c>
      <c r="AE19" t="e">
        <f>AND('Female SR Endurance Speed'!C12,"AAAAAD/nsR4=")</f>
        <v>#VALUE!</v>
      </c>
      <c r="AF19" t="e">
        <f>AND('Female SR Endurance Speed'!D12,"AAAAAD/nsR8=")</f>
        <v>#VALUE!</v>
      </c>
      <c r="AG19" t="e">
        <f>AND('Female SR Endurance Speed'!E12,"AAAAAD/nsSA=")</f>
        <v>#VALUE!</v>
      </c>
      <c r="AH19" t="e">
        <f>AND('Female SR Endurance Speed'!F12,"AAAAAD/nsSE=")</f>
        <v>#VALUE!</v>
      </c>
      <c r="AI19" t="e">
        <f>AND('Female SR Endurance Speed'!G12,"AAAAAD/nsSI=")</f>
        <v>#VALUE!</v>
      </c>
      <c r="AJ19" t="e">
        <f>AND('Female SR Endurance Speed'!H12,"AAAAAD/nsSM=")</f>
        <v>#VALUE!</v>
      </c>
      <c r="AK19" t="e">
        <f>AND('Female SR Endurance Speed'!I12,"AAAAAD/nsSQ=")</f>
        <v>#VALUE!</v>
      </c>
      <c r="AL19" t="e">
        <f>AND('Female SR Endurance Speed'!J12,"AAAAAD/nsSU=")</f>
        <v>#VALUE!</v>
      </c>
      <c r="AM19" t="e">
        <f>AND('Female SR Endurance Speed'!K12,"AAAAAD/nsSY=")</f>
        <v>#VALUE!</v>
      </c>
      <c r="AN19" t="e">
        <f>AND('Female SR Endurance Speed'!L12,"AAAAAD/nsSc=")</f>
        <v>#VALUE!</v>
      </c>
      <c r="AO19" t="e">
        <f>AND('Female SR Endurance Speed'!M12,"AAAAAD/nsSg=")</f>
        <v>#VALUE!</v>
      </c>
      <c r="AP19">
        <f>IF('Female SR Endurance Speed'!25:25,"AAAAAD/nsSk=",0)</f>
        <v>0</v>
      </c>
      <c r="AQ19" t="e">
        <f>AND('Female SR Endurance Speed'!A25,"AAAAAD/nsSo=")</f>
        <v>#VALUE!</v>
      </c>
      <c r="AR19" t="e">
        <f>AND('Female SR Endurance Speed'!B25,"AAAAAD/nsSs=")</f>
        <v>#VALUE!</v>
      </c>
      <c r="AS19" t="e">
        <f>AND('Female SR Endurance Speed'!C25,"AAAAAD/nsSw=")</f>
        <v>#VALUE!</v>
      </c>
      <c r="AT19" t="e">
        <f>AND('Female SR Endurance Speed'!D25,"AAAAAD/nsS0=")</f>
        <v>#VALUE!</v>
      </c>
      <c r="AU19" t="e">
        <f>AND('Female SR Endurance Speed'!E25,"AAAAAD/nsS4=")</f>
        <v>#VALUE!</v>
      </c>
      <c r="AV19" t="e">
        <f>AND('Female SR Endurance Speed'!F25,"AAAAAD/nsS8=")</f>
        <v>#VALUE!</v>
      </c>
      <c r="AW19" t="e">
        <f>AND('Female SR Endurance Speed'!G25,"AAAAAD/nsTA=")</f>
        <v>#VALUE!</v>
      </c>
      <c r="AX19" t="e">
        <f>AND('Female SR Endurance Speed'!H25,"AAAAAD/nsTE=")</f>
        <v>#VALUE!</v>
      </c>
      <c r="AY19" t="e">
        <f>AND('Female SR Endurance Speed'!I25,"AAAAAD/nsTI=")</f>
        <v>#VALUE!</v>
      </c>
      <c r="AZ19" t="e">
        <f>AND('Female SR Endurance Speed'!J25,"AAAAAD/nsTM=")</f>
        <v>#VALUE!</v>
      </c>
      <c r="BA19" t="e">
        <f>AND('Female SR Endurance Speed'!K25,"AAAAAD/nsTQ=")</f>
        <v>#VALUE!</v>
      </c>
      <c r="BB19" t="e">
        <f>AND('Female SR Endurance Speed'!L25,"AAAAAD/nsTU=")</f>
        <v>#VALUE!</v>
      </c>
      <c r="BC19" t="e">
        <f>AND('Female SR Endurance Speed'!M25,"AAAAAD/nsTY=")</f>
        <v>#VALUE!</v>
      </c>
      <c r="BD19">
        <f>IF('Female SR Endurance Speed'!26:26,"AAAAAD/nsTc=",0)</f>
        <v>0</v>
      </c>
      <c r="BE19" t="e">
        <f>AND('Female SR Endurance Speed'!A26,"AAAAAD/nsTg=")</f>
        <v>#VALUE!</v>
      </c>
      <c r="BF19" t="e">
        <f>AND('Female SR Endurance Speed'!B26,"AAAAAD/nsTk=")</f>
        <v>#VALUE!</v>
      </c>
      <c r="BG19" t="e">
        <f>AND('Female SR Endurance Speed'!C26,"AAAAAD/nsTo=")</f>
        <v>#VALUE!</v>
      </c>
      <c r="BH19" t="e">
        <f>AND('Female SR Endurance Speed'!D26,"AAAAAD/nsTs=")</f>
        <v>#VALUE!</v>
      </c>
      <c r="BI19" t="e">
        <f>AND('Female SR Endurance Speed'!E26,"AAAAAD/nsTw=")</f>
        <v>#VALUE!</v>
      </c>
      <c r="BJ19" t="e">
        <f>AND('Female SR Endurance Speed'!F26,"AAAAAD/nsT0=")</f>
        <v>#VALUE!</v>
      </c>
      <c r="BK19" t="e">
        <f>AND('Female SR Endurance Speed'!G26,"AAAAAD/nsT4=")</f>
        <v>#VALUE!</v>
      </c>
      <c r="BL19" t="e">
        <f>AND('Female SR Endurance Speed'!H26,"AAAAAD/nsT8=")</f>
        <v>#VALUE!</v>
      </c>
      <c r="BM19" t="e">
        <f>AND('Female SR Endurance Speed'!I26,"AAAAAD/nsUA=")</f>
        <v>#VALUE!</v>
      </c>
      <c r="BN19" t="e">
        <f>AND('Female SR Endurance Speed'!J26,"AAAAAD/nsUE=")</f>
        <v>#VALUE!</v>
      </c>
      <c r="BO19" t="e">
        <f>AND('Female SR Endurance Speed'!K26,"AAAAAD/nsUI=")</f>
        <v>#VALUE!</v>
      </c>
      <c r="BP19" t="e">
        <f>AND('Female SR Endurance Speed'!L26,"AAAAAD/nsUM=")</f>
        <v>#VALUE!</v>
      </c>
      <c r="BQ19" t="e">
        <f>AND('Female SR Endurance Speed'!M26,"AAAAAD/nsUQ=")</f>
        <v>#VALUE!</v>
      </c>
      <c r="BR19">
        <f>IF('Female SR Endurance Speed'!27:27,"AAAAAD/nsUU=",0)</f>
        <v>0</v>
      </c>
      <c r="BS19" t="e">
        <f>AND('Female SR Endurance Speed'!A27,"AAAAAD/nsUY=")</f>
        <v>#VALUE!</v>
      </c>
      <c r="BT19" t="e">
        <f>AND('Female SR Endurance Speed'!B27,"AAAAAD/nsUc=")</f>
        <v>#VALUE!</v>
      </c>
      <c r="BU19" t="e">
        <f>AND('Female SR Endurance Speed'!C27,"AAAAAD/nsUg=")</f>
        <v>#VALUE!</v>
      </c>
      <c r="BV19" t="e">
        <f>AND('Female SR Endurance Speed'!D27,"AAAAAD/nsUk=")</f>
        <v>#VALUE!</v>
      </c>
      <c r="BW19" t="e">
        <f>AND('Female SR Endurance Speed'!E27,"AAAAAD/nsUo=")</f>
        <v>#VALUE!</v>
      </c>
      <c r="BX19" t="e">
        <f>AND('Female SR Endurance Speed'!F27,"AAAAAD/nsUs=")</f>
        <v>#VALUE!</v>
      </c>
      <c r="BY19" t="e">
        <f>AND('Female SR Endurance Speed'!G27,"AAAAAD/nsUw=")</f>
        <v>#VALUE!</v>
      </c>
      <c r="BZ19" t="e">
        <f>AND('Female SR Endurance Speed'!H27,"AAAAAD/nsU0=")</f>
        <v>#VALUE!</v>
      </c>
      <c r="CA19" t="e">
        <f>AND('Female SR Endurance Speed'!I27,"AAAAAD/nsU4=")</f>
        <v>#VALUE!</v>
      </c>
      <c r="CB19" t="e">
        <f>AND('Female SR Endurance Speed'!J27,"AAAAAD/nsU8=")</f>
        <v>#VALUE!</v>
      </c>
      <c r="CC19" t="e">
        <f>AND('Female SR Endurance Speed'!K27,"AAAAAD/nsVA=")</f>
        <v>#VALUE!</v>
      </c>
      <c r="CD19" t="e">
        <f>AND('Female SR Endurance Speed'!L27,"AAAAAD/nsVE=")</f>
        <v>#VALUE!</v>
      </c>
      <c r="CE19" t="e">
        <f>AND('Female SR Endurance Speed'!M27,"AAAAAD/nsVI=")</f>
        <v>#VALUE!</v>
      </c>
      <c r="CF19">
        <f>IF('Female SR Endurance Speed'!28:28,"AAAAAD/nsVM=",0)</f>
        <v>0</v>
      </c>
      <c r="CG19" t="e">
        <f>AND('Female SR Endurance Speed'!A28,"AAAAAD/nsVQ=")</f>
        <v>#VALUE!</v>
      </c>
      <c r="CH19" t="e">
        <f>AND('Female SR Endurance Speed'!B28,"AAAAAD/nsVU=")</f>
        <v>#VALUE!</v>
      </c>
      <c r="CI19" t="e">
        <f>AND('Female SR Endurance Speed'!C28,"AAAAAD/nsVY=")</f>
        <v>#VALUE!</v>
      </c>
      <c r="CJ19" t="e">
        <f>AND('Female SR Endurance Speed'!D28,"AAAAAD/nsVc=")</f>
        <v>#VALUE!</v>
      </c>
      <c r="CK19" t="e">
        <f>AND('Female SR Endurance Speed'!E28,"AAAAAD/nsVg=")</f>
        <v>#VALUE!</v>
      </c>
      <c r="CL19" t="e">
        <f>AND('Female SR Endurance Speed'!F28,"AAAAAD/nsVk=")</f>
        <v>#VALUE!</v>
      </c>
      <c r="CM19" t="e">
        <f>AND('Female SR Endurance Speed'!G28,"AAAAAD/nsVo=")</f>
        <v>#VALUE!</v>
      </c>
      <c r="CN19" t="e">
        <f>AND('Female SR Endurance Speed'!H28,"AAAAAD/nsVs=")</f>
        <v>#VALUE!</v>
      </c>
      <c r="CO19" t="e">
        <f>AND('Female SR Endurance Speed'!I28,"AAAAAD/nsVw=")</f>
        <v>#VALUE!</v>
      </c>
      <c r="CP19" t="e">
        <f>AND('Female SR Endurance Speed'!J28,"AAAAAD/nsV0=")</f>
        <v>#VALUE!</v>
      </c>
      <c r="CQ19" t="e">
        <f>AND('Female SR Endurance Speed'!K28,"AAAAAD/nsV4=")</f>
        <v>#VALUE!</v>
      </c>
      <c r="CR19" t="e">
        <f>AND('Female SR Endurance Speed'!L28,"AAAAAD/nsV8=")</f>
        <v>#VALUE!</v>
      </c>
      <c r="CS19" t="e">
        <f>AND('Female SR Endurance Speed'!M28,"AAAAAD/nsWA=")</f>
        <v>#VALUE!</v>
      </c>
      <c r="CT19">
        <f>IF('Female SR Endurance Speed'!29:29,"AAAAAD/nsWE=",0)</f>
        <v>0</v>
      </c>
      <c r="CU19" t="e">
        <f>AND('Female SR Endurance Speed'!A29,"AAAAAD/nsWI=")</f>
        <v>#VALUE!</v>
      </c>
      <c r="CV19" t="e">
        <f>AND('Female SR Endurance Speed'!B29,"AAAAAD/nsWM=")</f>
        <v>#VALUE!</v>
      </c>
      <c r="CW19" t="e">
        <f>AND('Female SR Endurance Speed'!C29,"AAAAAD/nsWQ=")</f>
        <v>#VALUE!</v>
      </c>
      <c r="CX19" t="e">
        <f>AND('Female SR Endurance Speed'!D29,"AAAAAD/nsWU=")</f>
        <v>#VALUE!</v>
      </c>
      <c r="CY19" t="e">
        <f>AND('Female SR Endurance Speed'!E29,"AAAAAD/nsWY=")</f>
        <v>#VALUE!</v>
      </c>
      <c r="CZ19" t="e">
        <f>AND('Female SR Endurance Speed'!F29,"AAAAAD/nsWc=")</f>
        <v>#VALUE!</v>
      </c>
      <c r="DA19" t="e">
        <f>AND('Female SR Endurance Speed'!G29,"AAAAAD/nsWg=")</f>
        <v>#VALUE!</v>
      </c>
      <c r="DB19" t="e">
        <f>AND('Female SR Endurance Speed'!H29,"AAAAAD/nsWk=")</f>
        <v>#VALUE!</v>
      </c>
      <c r="DC19" t="e">
        <f>AND('Female SR Endurance Speed'!I29,"AAAAAD/nsWo=")</f>
        <v>#VALUE!</v>
      </c>
      <c r="DD19" t="e">
        <f>AND('Female SR Endurance Speed'!J29,"AAAAAD/nsWs=")</f>
        <v>#VALUE!</v>
      </c>
      <c r="DE19" t="e">
        <f>AND('Female SR Endurance Speed'!K29,"AAAAAD/nsWw=")</f>
        <v>#VALUE!</v>
      </c>
      <c r="DF19" t="e">
        <f>AND('Female SR Endurance Speed'!L29,"AAAAAD/nsW0=")</f>
        <v>#VALUE!</v>
      </c>
      <c r="DG19" t="e">
        <f>AND('Female SR Endurance Speed'!M29,"AAAAAD/nsW4=")</f>
        <v>#VALUE!</v>
      </c>
      <c r="DH19">
        <f>IF('Female SR Endurance Speed'!30:30,"AAAAAD/nsW8=",0)</f>
        <v>0</v>
      </c>
      <c r="DI19" t="e">
        <f>AND('Female SR Endurance Speed'!A30,"AAAAAD/nsXA=")</f>
        <v>#VALUE!</v>
      </c>
      <c r="DJ19" t="e">
        <f>AND('Female SR Endurance Speed'!B30,"AAAAAD/nsXE=")</f>
        <v>#VALUE!</v>
      </c>
      <c r="DK19" t="e">
        <f>AND('Female SR Endurance Speed'!C30,"AAAAAD/nsXI=")</f>
        <v>#VALUE!</v>
      </c>
      <c r="DL19" t="e">
        <f>AND('Female SR Endurance Speed'!D30,"AAAAAD/nsXM=")</f>
        <v>#VALUE!</v>
      </c>
      <c r="DM19" t="e">
        <f>AND('Female SR Endurance Speed'!E30,"AAAAAD/nsXQ=")</f>
        <v>#VALUE!</v>
      </c>
      <c r="DN19" t="e">
        <f>AND('Female SR Endurance Speed'!F30,"AAAAAD/nsXU=")</f>
        <v>#VALUE!</v>
      </c>
      <c r="DO19" t="e">
        <f>AND('Female SR Endurance Speed'!G30,"AAAAAD/nsXY=")</f>
        <v>#VALUE!</v>
      </c>
      <c r="DP19" t="e">
        <f>AND('Female SR Endurance Speed'!H30,"AAAAAD/nsXc=")</f>
        <v>#VALUE!</v>
      </c>
      <c r="DQ19" t="e">
        <f>AND('Female SR Endurance Speed'!I30,"AAAAAD/nsXg=")</f>
        <v>#VALUE!</v>
      </c>
      <c r="DR19" t="e">
        <f>AND('Female SR Endurance Speed'!J30,"AAAAAD/nsXk=")</f>
        <v>#VALUE!</v>
      </c>
      <c r="DS19" t="e">
        <f>AND('Female SR Endurance Speed'!K30,"AAAAAD/nsXo=")</f>
        <v>#VALUE!</v>
      </c>
      <c r="DT19" t="e">
        <f>AND('Female SR Endurance Speed'!L30,"AAAAAD/nsXs=")</f>
        <v>#VALUE!</v>
      </c>
      <c r="DU19" t="e">
        <f>AND('Female SR Endurance Speed'!M30,"AAAAAD/nsXw=")</f>
        <v>#VALUE!</v>
      </c>
      <c r="DV19">
        <f>IF('Female SR Endurance Speed'!31:31,"AAAAAD/nsX0=",0)</f>
        <v>0</v>
      </c>
      <c r="DW19" t="e">
        <f>AND('Female SR Endurance Speed'!A31,"AAAAAD/nsX4=")</f>
        <v>#VALUE!</v>
      </c>
      <c r="DX19" t="e">
        <f>AND('Female SR Endurance Speed'!B31,"AAAAAD/nsX8=")</f>
        <v>#VALUE!</v>
      </c>
      <c r="DY19" t="e">
        <f>AND('Female SR Endurance Speed'!C31,"AAAAAD/nsYA=")</f>
        <v>#VALUE!</v>
      </c>
      <c r="DZ19" t="e">
        <f>AND('Female SR Endurance Speed'!D31,"AAAAAD/nsYE=")</f>
        <v>#VALUE!</v>
      </c>
      <c r="EA19" t="e">
        <f>AND('Female SR Endurance Speed'!E31,"AAAAAD/nsYI=")</f>
        <v>#VALUE!</v>
      </c>
      <c r="EB19" t="e">
        <f>AND('Female SR Endurance Speed'!F31,"AAAAAD/nsYM=")</f>
        <v>#VALUE!</v>
      </c>
      <c r="EC19" t="e">
        <f>AND('Female SR Endurance Speed'!G31,"AAAAAD/nsYQ=")</f>
        <v>#VALUE!</v>
      </c>
      <c r="ED19" t="e">
        <f>AND('Female SR Endurance Speed'!H31,"AAAAAD/nsYU=")</f>
        <v>#VALUE!</v>
      </c>
      <c r="EE19" t="e">
        <f>AND('Female SR Endurance Speed'!I31,"AAAAAD/nsYY=")</f>
        <v>#VALUE!</v>
      </c>
      <c r="EF19" t="e">
        <f>AND('Female SR Endurance Speed'!J31,"AAAAAD/nsYc=")</f>
        <v>#VALUE!</v>
      </c>
      <c r="EG19" t="e">
        <f>AND('Female SR Endurance Speed'!K31,"AAAAAD/nsYg=")</f>
        <v>#VALUE!</v>
      </c>
      <c r="EH19" t="e">
        <f>AND('Female SR Endurance Speed'!L31,"AAAAAD/nsYk=")</f>
        <v>#VALUE!</v>
      </c>
      <c r="EI19" t="e">
        <f>AND('Female SR Endurance Speed'!M31,"AAAAAD/nsYo=")</f>
        <v>#VALUE!</v>
      </c>
      <c r="EJ19">
        <f>IF('Female SR Endurance Speed'!32:32,"AAAAAD/nsYs=",0)</f>
        <v>0</v>
      </c>
      <c r="EK19" t="e">
        <f>AND('Female SR Endurance Speed'!A32,"AAAAAD/nsYw=")</f>
        <v>#VALUE!</v>
      </c>
      <c r="EL19" t="e">
        <f>AND('Female SR Endurance Speed'!B32,"AAAAAD/nsY0=")</f>
        <v>#VALUE!</v>
      </c>
      <c r="EM19" t="e">
        <f>AND('Female SR Endurance Speed'!C32,"AAAAAD/nsY4=")</f>
        <v>#VALUE!</v>
      </c>
      <c r="EN19" t="e">
        <f>AND('Female SR Endurance Speed'!D32,"AAAAAD/nsY8=")</f>
        <v>#VALUE!</v>
      </c>
      <c r="EO19" t="e">
        <f>AND('Female SR Endurance Speed'!E32,"AAAAAD/nsZA=")</f>
        <v>#VALUE!</v>
      </c>
      <c r="EP19" t="e">
        <f>AND('Female SR Endurance Speed'!F32,"AAAAAD/nsZE=")</f>
        <v>#VALUE!</v>
      </c>
      <c r="EQ19" t="e">
        <f>AND('Female SR Endurance Speed'!G32,"AAAAAD/nsZI=")</f>
        <v>#VALUE!</v>
      </c>
      <c r="ER19" t="e">
        <f>AND('Female SR Endurance Speed'!H32,"AAAAAD/nsZM=")</f>
        <v>#VALUE!</v>
      </c>
      <c r="ES19" t="e">
        <f>AND('Female SR Endurance Speed'!I32,"AAAAAD/nsZQ=")</f>
        <v>#VALUE!</v>
      </c>
      <c r="ET19" t="e">
        <f>AND('Female SR Endurance Speed'!J32,"AAAAAD/nsZU=")</f>
        <v>#VALUE!</v>
      </c>
      <c r="EU19" t="e">
        <f>AND('Female SR Endurance Speed'!K32,"AAAAAD/nsZY=")</f>
        <v>#VALUE!</v>
      </c>
      <c r="EV19" t="e">
        <f>AND('Female SR Endurance Speed'!L32,"AAAAAD/nsZc=")</f>
        <v>#VALUE!</v>
      </c>
      <c r="EW19" t="e">
        <f>AND('Female SR Endurance Speed'!M32,"AAAAAD/nsZg=")</f>
        <v>#VALUE!</v>
      </c>
      <c r="EX19">
        <f>IF('Female SR Endurance Speed'!33:33,"AAAAAD/nsZk=",0)</f>
        <v>0</v>
      </c>
      <c r="EY19" t="e">
        <f>AND('Female SR Endurance Speed'!A33,"AAAAAD/nsZo=")</f>
        <v>#VALUE!</v>
      </c>
      <c r="EZ19" t="e">
        <f>AND('Female SR Endurance Speed'!B33,"AAAAAD/nsZs=")</f>
        <v>#VALUE!</v>
      </c>
      <c r="FA19" t="e">
        <f>AND('Female SR Endurance Speed'!C33,"AAAAAD/nsZw=")</f>
        <v>#VALUE!</v>
      </c>
      <c r="FB19" t="e">
        <f>AND('Female SR Endurance Speed'!D33,"AAAAAD/nsZ0=")</f>
        <v>#VALUE!</v>
      </c>
      <c r="FC19" t="e">
        <f>AND('Female SR Endurance Speed'!E33,"AAAAAD/nsZ4=")</f>
        <v>#VALUE!</v>
      </c>
      <c r="FD19" t="e">
        <f>AND('Female SR Endurance Speed'!F33,"AAAAAD/nsZ8=")</f>
        <v>#VALUE!</v>
      </c>
      <c r="FE19" t="e">
        <f>AND('Female SR Endurance Speed'!G33,"AAAAAD/nsaA=")</f>
        <v>#VALUE!</v>
      </c>
      <c r="FF19" t="e">
        <f>AND('Female SR Endurance Speed'!H33,"AAAAAD/nsaE=")</f>
        <v>#VALUE!</v>
      </c>
      <c r="FG19" t="e">
        <f>AND('Female SR Endurance Speed'!I33,"AAAAAD/nsaI=")</f>
        <v>#VALUE!</v>
      </c>
      <c r="FH19" t="e">
        <f>AND('Female SR Endurance Speed'!J33,"AAAAAD/nsaM=")</f>
        <v>#VALUE!</v>
      </c>
      <c r="FI19" t="e">
        <f>AND('Female SR Endurance Speed'!K33,"AAAAAD/nsaQ=")</f>
        <v>#VALUE!</v>
      </c>
      <c r="FJ19" t="e">
        <f>AND('Female SR Endurance Speed'!L33,"AAAAAD/nsaU=")</f>
        <v>#VALUE!</v>
      </c>
      <c r="FK19" t="e">
        <f>AND('Female SR Endurance Speed'!M33,"AAAAAD/nsaY=")</f>
        <v>#VALUE!</v>
      </c>
      <c r="FL19">
        <f>IF('Female SR Endurance Speed'!34:34,"AAAAAD/nsac=",0)</f>
        <v>0</v>
      </c>
      <c r="FM19" t="e">
        <f>AND('Female SR Endurance Speed'!A34,"AAAAAD/nsag=")</f>
        <v>#VALUE!</v>
      </c>
      <c r="FN19" t="e">
        <f>AND('Female SR Endurance Speed'!B34,"AAAAAD/nsak=")</f>
        <v>#VALUE!</v>
      </c>
      <c r="FO19" t="e">
        <f>AND('Female SR Endurance Speed'!C34,"AAAAAD/nsao=")</f>
        <v>#VALUE!</v>
      </c>
      <c r="FP19" t="e">
        <f>AND('Female SR Endurance Speed'!D34,"AAAAAD/nsas=")</f>
        <v>#VALUE!</v>
      </c>
      <c r="FQ19" t="e">
        <f>AND('Female SR Endurance Speed'!E34,"AAAAAD/nsaw=")</f>
        <v>#VALUE!</v>
      </c>
      <c r="FR19" t="e">
        <f>AND('Female SR Endurance Speed'!F34,"AAAAAD/nsa0=")</f>
        <v>#VALUE!</v>
      </c>
      <c r="FS19" t="e">
        <f>AND('Female SR Endurance Speed'!G34,"AAAAAD/nsa4=")</f>
        <v>#VALUE!</v>
      </c>
      <c r="FT19" t="e">
        <f>AND('Female SR Endurance Speed'!H34,"AAAAAD/nsa8=")</f>
        <v>#VALUE!</v>
      </c>
      <c r="FU19" t="e">
        <f>AND('Female SR Endurance Speed'!I34,"AAAAAD/nsbA=")</f>
        <v>#VALUE!</v>
      </c>
      <c r="FV19" t="e">
        <f>AND('Female SR Endurance Speed'!J34,"AAAAAD/nsbE=")</f>
        <v>#VALUE!</v>
      </c>
      <c r="FW19" t="e">
        <f>AND('Female SR Endurance Speed'!K34,"AAAAAD/nsbI=")</f>
        <v>#VALUE!</v>
      </c>
      <c r="FX19" t="e">
        <f>AND('Female SR Endurance Speed'!L34,"AAAAAD/nsbM=")</f>
        <v>#VALUE!</v>
      </c>
      <c r="FY19" t="e">
        <f>AND('Female SR Endurance Speed'!M34,"AAAAAD/nsbQ=")</f>
        <v>#VALUE!</v>
      </c>
      <c r="FZ19">
        <f>IF('Female SR Endurance Speed'!35:35,"AAAAAD/nsbU=",0)</f>
        <v>0</v>
      </c>
      <c r="GA19" t="e">
        <f>AND('Female SR Endurance Speed'!A35,"AAAAAD/nsbY=")</f>
        <v>#VALUE!</v>
      </c>
      <c r="GB19" t="e">
        <f>AND('Female SR Endurance Speed'!B35,"AAAAAD/nsbc=")</f>
        <v>#VALUE!</v>
      </c>
      <c r="GC19" t="e">
        <f>AND('Female SR Endurance Speed'!C35,"AAAAAD/nsbg=")</f>
        <v>#VALUE!</v>
      </c>
      <c r="GD19" t="e">
        <f>AND('Female SR Endurance Speed'!D35,"AAAAAD/nsbk=")</f>
        <v>#VALUE!</v>
      </c>
      <c r="GE19" t="e">
        <f>AND('Female SR Endurance Speed'!E35,"AAAAAD/nsbo=")</f>
        <v>#VALUE!</v>
      </c>
      <c r="GF19" t="e">
        <f>AND('Female SR Endurance Speed'!F35,"AAAAAD/nsbs=")</f>
        <v>#VALUE!</v>
      </c>
      <c r="GG19" t="e">
        <f>AND('Female SR Endurance Speed'!G35,"AAAAAD/nsbw=")</f>
        <v>#VALUE!</v>
      </c>
      <c r="GH19" t="e">
        <f>AND('Female SR Endurance Speed'!H35,"AAAAAD/nsb0=")</f>
        <v>#VALUE!</v>
      </c>
      <c r="GI19" t="e">
        <f>AND('Female SR Endurance Speed'!I35,"AAAAAD/nsb4=")</f>
        <v>#VALUE!</v>
      </c>
      <c r="GJ19" t="e">
        <f>AND('Female SR Endurance Speed'!J35,"AAAAAD/nsb8=")</f>
        <v>#VALUE!</v>
      </c>
      <c r="GK19" t="e">
        <f>AND('Female SR Endurance Speed'!K35,"AAAAAD/nscA=")</f>
        <v>#VALUE!</v>
      </c>
      <c r="GL19" t="e">
        <f>AND('Female SR Endurance Speed'!L35,"AAAAAD/nscE=")</f>
        <v>#VALUE!</v>
      </c>
      <c r="GM19" t="e">
        <f>AND('Female SR Endurance Speed'!M35,"AAAAAD/nscI=")</f>
        <v>#VALUE!</v>
      </c>
      <c r="GN19">
        <f>IF('Female SR Endurance Speed'!48:48,"AAAAAD/nscM=",0)</f>
        <v>0</v>
      </c>
      <c r="GO19" t="e">
        <f>AND('Female SR Endurance Speed'!A48,"AAAAAD/nscQ=")</f>
        <v>#VALUE!</v>
      </c>
      <c r="GP19" t="e">
        <f>AND('Female SR Endurance Speed'!B48,"AAAAAD/nscU=")</f>
        <v>#VALUE!</v>
      </c>
      <c r="GQ19" t="e">
        <f>AND('Female SR Endurance Speed'!C48,"AAAAAD/nscY=")</f>
        <v>#VALUE!</v>
      </c>
      <c r="GR19" t="e">
        <f>AND('Female SR Endurance Speed'!D48,"AAAAAD/nscc=")</f>
        <v>#VALUE!</v>
      </c>
      <c r="GS19" t="e">
        <f>AND('Female SR Endurance Speed'!E48,"AAAAAD/nscg=")</f>
        <v>#VALUE!</v>
      </c>
      <c r="GT19" t="e">
        <f>AND('Female SR Endurance Speed'!F48,"AAAAAD/nsck=")</f>
        <v>#VALUE!</v>
      </c>
      <c r="GU19" t="e">
        <f>AND('Female SR Endurance Speed'!G48,"AAAAAD/nsco=")</f>
        <v>#VALUE!</v>
      </c>
      <c r="GV19" t="e">
        <f>AND('Female SR Endurance Speed'!H48,"AAAAAD/nscs=")</f>
        <v>#VALUE!</v>
      </c>
      <c r="GW19" t="e">
        <f>AND('Female SR Endurance Speed'!I48,"AAAAAD/nscw=")</f>
        <v>#VALUE!</v>
      </c>
      <c r="GX19" t="e">
        <f>AND('Female SR Endurance Speed'!J48,"AAAAAD/nsc0=")</f>
        <v>#VALUE!</v>
      </c>
      <c r="GY19" t="e">
        <f>AND('Female SR Endurance Speed'!K48,"AAAAAD/nsc4=")</f>
        <v>#VALUE!</v>
      </c>
      <c r="GZ19" t="e">
        <f>AND('Female SR Endurance Speed'!L48,"AAAAAD/nsc8=")</f>
        <v>#VALUE!</v>
      </c>
      <c r="HA19" t="e">
        <f>AND('Female SR Endurance Speed'!M48,"AAAAAD/nsdA=")</f>
        <v>#VALUE!</v>
      </c>
      <c r="HB19">
        <f>IF('Female SR Endurance Speed'!49:49,"AAAAAD/nsdE=",0)</f>
        <v>0</v>
      </c>
      <c r="HC19" t="e">
        <f>AND('Female SR Endurance Speed'!A49,"AAAAAD/nsdI=")</f>
        <v>#VALUE!</v>
      </c>
      <c r="HD19" t="e">
        <f>AND('Female SR Endurance Speed'!B49,"AAAAAD/nsdM=")</f>
        <v>#VALUE!</v>
      </c>
      <c r="HE19" t="e">
        <f>AND('Female SR Endurance Speed'!C49,"AAAAAD/nsdQ=")</f>
        <v>#VALUE!</v>
      </c>
      <c r="HF19" t="e">
        <f>AND('Female SR Endurance Speed'!D49,"AAAAAD/nsdU=")</f>
        <v>#VALUE!</v>
      </c>
      <c r="HG19" t="e">
        <f>AND('Female SR Endurance Speed'!E49,"AAAAAD/nsdY=")</f>
        <v>#VALUE!</v>
      </c>
      <c r="HH19" t="e">
        <f>AND('Female SR Endurance Speed'!F49,"AAAAAD/nsdc=")</f>
        <v>#VALUE!</v>
      </c>
      <c r="HI19" t="e">
        <f>AND('Female SR Endurance Speed'!G49,"AAAAAD/nsdg=")</f>
        <v>#VALUE!</v>
      </c>
      <c r="HJ19" t="e">
        <f>AND('Female SR Endurance Speed'!H49,"AAAAAD/nsdk=")</f>
        <v>#VALUE!</v>
      </c>
      <c r="HK19" t="e">
        <f>AND('Female SR Endurance Speed'!I49,"AAAAAD/nsdo=")</f>
        <v>#VALUE!</v>
      </c>
      <c r="HL19" t="e">
        <f>AND('Female SR Endurance Speed'!J49,"AAAAAD/nsds=")</f>
        <v>#VALUE!</v>
      </c>
      <c r="HM19" t="e">
        <f>AND('Female SR Endurance Speed'!K49,"AAAAAD/nsdw=")</f>
        <v>#VALUE!</v>
      </c>
      <c r="HN19" t="e">
        <f>AND('Female SR Endurance Speed'!L49,"AAAAAD/nsd0=")</f>
        <v>#VALUE!</v>
      </c>
      <c r="HO19" t="e">
        <f>AND('Female SR Endurance Speed'!M49,"AAAAAD/nsd4=")</f>
        <v>#VALUE!</v>
      </c>
      <c r="HP19">
        <f>IF('Female SR Endurance Speed'!50:50,"AAAAAD/nsd8=",0)</f>
        <v>0</v>
      </c>
      <c r="HQ19" t="e">
        <f>AND('Female SR Endurance Speed'!A50,"AAAAAD/nseA=")</f>
        <v>#VALUE!</v>
      </c>
      <c r="HR19" t="e">
        <f>AND('Female SR Endurance Speed'!B50,"AAAAAD/nseE=")</f>
        <v>#VALUE!</v>
      </c>
      <c r="HS19" t="e">
        <f>AND('Female SR Endurance Speed'!C50,"AAAAAD/nseI=")</f>
        <v>#VALUE!</v>
      </c>
      <c r="HT19" t="e">
        <f>AND('Female SR Endurance Speed'!D50,"AAAAAD/nseM=")</f>
        <v>#VALUE!</v>
      </c>
      <c r="HU19" t="e">
        <f>AND('Female SR Endurance Speed'!E50,"AAAAAD/nseQ=")</f>
        <v>#VALUE!</v>
      </c>
      <c r="HV19" t="e">
        <f>AND('Female SR Endurance Speed'!F50,"AAAAAD/nseU=")</f>
        <v>#VALUE!</v>
      </c>
      <c r="HW19" t="e">
        <f>AND('Female SR Endurance Speed'!G50,"AAAAAD/nseY=")</f>
        <v>#VALUE!</v>
      </c>
      <c r="HX19" t="e">
        <f>AND('Female SR Endurance Speed'!H50,"AAAAAD/nsec=")</f>
        <v>#VALUE!</v>
      </c>
      <c r="HY19" t="e">
        <f>AND('Female SR Endurance Speed'!I50,"AAAAAD/nseg=")</f>
        <v>#VALUE!</v>
      </c>
      <c r="HZ19" t="e">
        <f>AND('Female SR Endurance Speed'!J50,"AAAAAD/nsek=")</f>
        <v>#VALUE!</v>
      </c>
      <c r="IA19" t="e">
        <f>AND('Female SR Endurance Speed'!K50,"AAAAAD/nseo=")</f>
        <v>#VALUE!</v>
      </c>
      <c r="IB19" t="e">
        <f>AND('Female SR Endurance Speed'!L50,"AAAAAD/nses=")</f>
        <v>#VALUE!</v>
      </c>
      <c r="IC19" t="e">
        <f>AND('Female SR Endurance Speed'!M50,"AAAAAD/nsew=")</f>
        <v>#VALUE!</v>
      </c>
      <c r="ID19">
        <f>IF('Female SR Endurance Speed'!51:51,"AAAAAD/nse0=",0)</f>
        <v>0</v>
      </c>
      <c r="IE19" t="e">
        <f>AND('Female SR Endurance Speed'!A51,"AAAAAD/nse4=")</f>
        <v>#VALUE!</v>
      </c>
      <c r="IF19" t="e">
        <f>AND('Female SR Endurance Speed'!B51,"AAAAAD/nse8=")</f>
        <v>#VALUE!</v>
      </c>
      <c r="IG19" t="e">
        <f>AND('Female SR Endurance Speed'!C51,"AAAAAD/nsfA=")</f>
        <v>#VALUE!</v>
      </c>
      <c r="IH19" t="e">
        <f>AND('Female SR Endurance Speed'!D51,"AAAAAD/nsfE=")</f>
        <v>#VALUE!</v>
      </c>
      <c r="II19" t="e">
        <f>AND('Female SR Endurance Speed'!E51,"AAAAAD/nsfI=")</f>
        <v>#VALUE!</v>
      </c>
      <c r="IJ19" t="e">
        <f>AND('Female SR Endurance Speed'!F51,"AAAAAD/nsfM=")</f>
        <v>#VALUE!</v>
      </c>
      <c r="IK19" t="e">
        <f>AND('Female SR Endurance Speed'!G51,"AAAAAD/nsfQ=")</f>
        <v>#VALUE!</v>
      </c>
      <c r="IL19" t="e">
        <f>AND('Female SR Endurance Speed'!H51,"AAAAAD/nsfU=")</f>
        <v>#VALUE!</v>
      </c>
      <c r="IM19" t="e">
        <f>AND('Female SR Endurance Speed'!I51,"AAAAAD/nsfY=")</f>
        <v>#VALUE!</v>
      </c>
      <c r="IN19" t="e">
        <f>AND('Female SR Endurance Speed'!J51,"AAAAAD/nsfc=")</f>
        <v>#VALUE!</v>
      </c>
      <c r="IO19" t="e">
        <f>AND('Female SR Endurance Speed'!K51,"AAAAAD/nsfg=")</f>
        <v>#VALUE!</v>
      </c>
      <c r="IP19" t="e">
        <f>AND('Female SR Endurance Speed'!L51,"AAAAAD/nsfk=")</f>
        <v>#VALUE!</v>
      </c>
      <c r="IQ19" t="e">
        <f>AND('Female SR Endurance Speed'!M51,"AAAAAD/nsfo=")</f>
        <v>#VALUE!</v>
      </c>
      <c r="IR19">
        <f>IF('Female SR Endurance Speed'!52:52,"AAAAAD/nsfs=",0)</f>
        <v>0</v>
      </c>
      <c r="IS19" t="e">
        <f>AND('Female SR Endurance Speed'!A52,"AAAAAD/nsfw=")</f>
        <v>#VALUE!</v>
      </c>
      <c r="IT19" t="e">
        <f>AND('Female SR Endurance Speed'!B52,"AAAAAD/nsf0=")</f>
        <v>#VALUE!</v>
      </c>
      <c r="IU19" t="e">
        <f>AND('Female SR Endurance Speed'!C52,"AAAAAD/nsf4=")</f>
        <v>#VALUE!</v>
      </c>
      <c r="IV19" t="e">
        <f>AND('Female SR Endurance Speed'!D52,"AAAAAD/nsf8=")</f>
        <v>#VALUE!</v>
      </c>
    </row>
    <row r="20" spans="1:256" x14ac:dyDescent="0.25">
      <c r="A20" t="e">
        <f>AND('Female SR Endurance Speed'!E52,"AAAAAH/47wA=")</f>
        <v>#VALUE!</v>
      </c>
      <c r="B20" t="e">
        <f>AND('Female SR Endurance Speed'!F52,"AAAAAH/47wE=")</f>
        <v>#VALUE!</v>
      </c>
      <c r="C20" t="e">
        <f>AND('Female SR Endurance Speed'!G52,"AAAAAH/47wI=")</f>
        <v>#VALUE!</v>
      </c>
      <c r="D20" t="e">
        <f>AND('Female SR Endurance Speed'!H52,"AAAAAH/47wM=")</f>
        <v>#VALUE!</v>
      </c>
      <c r="E20" t="e">
        <f>AND('Female SR Endurance Speed'!I52,"AAAAAH/47wQ=")</f>
        <v>#VALUE!</v>
      </c>
      <c r="F20" t="e">
        <f>AND('Female SR Endurance Speed'!J52,"AAAAAH/47wU=")</f>
        <v>#VALUE!</v>
      </c>
      <c r="G20" t="e">
        <f>AND('Female SR Endurance Speed'!K52,"AAAAAH/47wY=")</f>
        <v>#VALUE!</v>
      </c>
      <c r="H20" t="e">
        <f>AND('Female SR Endurance Speed'!L52,"AAAAAH/47wc=")</f>
        <v>#VALUE!</v>
      </c>
      <c r="I20" t="e">
        <f>AND('Female SR Endurance Speed'!M52,"AAAAAH/47wg=")</f>
        <v>#VALUE!</v>
      </c>
      <c r="J20" t="str">
        <f>IF('Female SR Endurance Speed'!53:53,"AAAAAH/47wk=",0)</f>
        <v>AAAAAH/47wk=</v>
      </c>
      <c r="K20" t="e">
        <f>AND('Female SR Endurance Speed'!A53,"AAAAAH/47wo=")</f>
        <v>#VALUE!</v>
      </c>
      <c r="L20" t="e">
        <f>AND('Female SR Endurance Speed'!B53,"AAAAAH/47ws=")</f>
        <v>#VALUE!</v>
      </c>
      <c r="M20" t="e">
        <f>AND('Female SR Endurance Speed'!C53,"AAAAAH/47ww=")</f>
        <v>#VALUE!</v>
      </c>
      <c r="N20" t="e">
        <f>AND('Female SR Endurance Speed'!D53,"AAAAAH/47w0=")</f>
        <v>#VALUE!</v>
      </c>
      <c r="O20" t="e">
        <f>AND('Female SR Endurance Speed'!E53,"AAAAAH/47w4=")</f>
        <v>#VALUE!</v>
      </c>
      <c r="P20" t="e">
        <f>AND('Female SR Endurance Speed'!F53,"AAAAAH/47w8=")</f>
        <v>#VALUE!</v>
      </c>
      <c r="Q20" t="e">
        <f>AND('Female SR Endurance Speed'!G53,"AAAAAH/47xA=")</f>
        <v>#VALUE!</v>
      </c>
      <c r="R20" t="e">
        <f>AND('Female SR Endurance Speed'!H53,"AAAAAH/47xE=")</f>
        <v>#VALUE!</v>
      </c>
      <c r="S20" t="e">
        <f>AND('Female SR Endurance Speed'!I53,"AAAAAH/47xI=")</f>
        <v>#VALUE!</v>
      </c>
      <c r="T20" t="e">
        <f>AND('Female SR Endurance Speed'!J53,"AAAAAH/47xM=")</f>
        <v>#VALUE!</v>
      </c>
      <c r="U20" t="e">
        <f>AND('Female SR Endurance Speed'!K53,"AAAAAH/47xQ=")</f>
        <v>#VALUE!</v>
      </c>
      <c r="V20" t="e">
        <f>AND('Female SR Endurance Speed'!L53,"AAAAAH/47xU=")</f>
        <v>#VALUE!</v>
      </c>
      <c r="W20" t="e">
        <f>AND('Female SR Endurance Speed'!M53,"AAAAAH/47xY=")</f>
        <v>#VALUE!</v>
      </c>
      <c r="X20">
        <f>IF('Female SR Endurance Speed'!54:54,"AAAAAH/47xc=",0)</f>
        <v>0</v>
      </c>
      <c r="Y20" t="e">
        <f>AND('Female SR Endurance Speed'!A54,"AAAAAH/47xg=")</f>
        <v>#VALUE!</v>
      </c>
      <c r="Z20" t="e">
        <f>AND('Female SR Endurance Speed'!B54,"AAAAAH/47xk=")</f>
        <v>#VALUE!</v>
      </c>
      <c r="AA20" t="e">
        <f>AND('Female SR Endurance Speed'!C54,"AAAAAH/47xo=")</f>
        <v>#VALUE!</v>
      </c>
      <c r="AB20" t="e">
        <f>AND('Female SR Endurance Speed'!D54,"AAAAAH/47xs=")</f>
        <v>#VALUE!</v>
      </c>
      <c r="AC20" t="e">
        <f>AND('Female SR Endurance Speed'!E54,"AAAAAH/47xw=")</f>
        <v>#VALUE!</v>
      </c>
      <c r="AD20" t="e">
        <f>AND('Female SR Endurance Speed'!F54,"AAAAAH/47x0=")</f>
        <v>#VALUE!</v>
      </c>
      <c r="AE20" t="e">
        <f>AND('Female SR Endurance Speed'!G54,"AAAAAH/47x4=")</f>
        <v>#VALUE!</v>
      </c>
      <c r="AF20" t="e">
        <f>AND('Female SR Endurance Speed'!H54,"AAAAAH/47x8=")</f>
        <v>#VALUE!</v>
      </c>
      <c r="AG20" t="e">
        <f>AND('Female SR Endurance Speed'!I54,"AAAAAH/47yA=")</f>
        <v>#VALUE!</v>
      </c>
      <c r="AH20" t="e">
        <f>AND('Female SR Endurance Speed'!J54,"AAAAAH/47yE=")</f>
        <v>#VALUE!</v>
      </c>
      <c r="AI20" t="e">
        <f>AND('Female SR Endurance Speed'!K54,"AAAAAH/47yI=")</f>
        <v>#VALUE!</v>
      </c>
      <c r="AJ20" t="e">
        <f>AND('Female SR Endurance Speed'!L54,"AAAAAH/47yM=")</f>
        <v>#VALUE!</v>
      </c>
      <c r="AK20" t="e">
        <f>AND('Female SR Endurance Speed'!M54,"AAAAAH/47yQ=")</f>
        <v>#VALUE!</v>
      </c>
      <c r="AL20">
        <f>IF('Female SR Endurance Speed'!55:55,"AAAAAH/47yU=",0)</f>
        <v>0</v>
      </c>
      <c r="AM20" t="e">
        <f>AND('Female SR Endurance Speed'!A55,"AAAAAH/47yY=")</f>
        <v>#VALUE!</v>
      </c>
      <c r="AN20" t="e">
        <f>AND('Female SR Endurance Speed'!B55,"AAAAAH/47yc=")</f>
        <v>#VALUE!</v>
      </c>
      <c r="AO20" t="e">
        <f>AND('Female SR Endurance Speed'!C55,"AAAAAH/47yg=")</f>
        <v>#VALUE!</v>
      </c>
      <c r="AP20" t="e">
        <f>AND('Female SR Endurance Speed'!D55,"AAAAAH/47yk=")</f>
        <v>#VALUE!</v>
      </c>
      <c r="AQ20" t="e">
        <f>AND('Female SR Endurance Speed'!E55,"AAAAAH/47yo=")</f>
        <v>#VALUE!</v>
      </c>
      <c r="AR20" t="e">
        <f>AND('Female SR Endurance Speed'!F55,"AAAAAH/47ys=")</f>
        <v>#VALUE!</v>
      </c>
      <c r="AS20" t="e">
        <f>AND('Female SR Endurance Speed'!G55,"AAAAAH/47yw=")</f>
        <v>#VALUE!</v>
      </c>
      <c r="AT20" t="e">
        <f>AND('Female SR Endurance Speed'!H55,"AAAAAH/47y0=")</f>
        <v>#VALUE!</v>
      </c>
      <c r="AU20" t="e">
        <f>AND('Female SR Endurance Speed'!I55,"AAAAAH/47y4=")</f>
        <v>#VALUE!</v>
      </c>
      <c r="AV20" t="e">
        <f>AND('Female SR Endurance Speed'!J55,"AAAAAH/47y8=")</f>
        <v>#VALUE!</v>
      </c>
      <c r="AW20" t="e">
        <f>AND('Female SR Endurance Speed'!K55,"AAAAAH/47zA=")</f>
        <v>#VALUE!</v>
      </c>
      <c r="AX20" t="e">
        <f>AND('Female SR Endurance Speed'!L55,"AAAAAH/47zE=")</f>
        <v>#VALUE!</v>
      </c>
      <c r="AY20" t="e">
        <f>AND('Female SR Endurance Speed'!M55,"AAAAAH/47zI=")</f>
        <v>#VALUE!</v>
      </c>
      <c r="AZ20">
        <f>IF('Female SR Endurance Speed'!56:56,"AAAAAH/47zM=",0)</f>
        <v>0</v>
      </c>
      <c r="BA20" t="e">
        <f>AND('Female SR Endurance Speed'!A56,"AAAAAH/47zQ=")</f>
        <v>#VALUE!</v>
      </c>
      <c r="BB20" t="e">
        <f>AND('Female SR Endurance Speed'!B56,"AAAAAH/47zU=")</f>
        <v>#VALUE!</v>
      </c>
      <c r="BC20" t="e">
        <f>AND('Female SR Endurance Speed'!C56,"AAAAAH/47zY=")</f>
        <v>#VALUE!</v>
      </c>
      <c r="BD20" t="e">
        <f>AND('Female SR Endurance Speed'!D56,"AAAAAH/47zc=")</f>
        <v>#VALUE!</v>
      </c>
      <c r="BE20" t="e">
        <f>AND('Female SR Endurance Speed'!E56,"AAAAAH/47zg=")</f>
        <v>#VALUE!</v>
      </c>
      <c r="BF20" t="e">
        <f>AND('Female SR Endurance Speed'!F56,"AAAAAH/47zk=")</f>
        <v>#VALUE!</v>
      </c>
      <c r="BG20" t="e">
        <f>AND('Female SR Endurance Speed'!G56,"AAAAAH/47zo=")</f>
        <v>#VALUE!</v>
      </c>
      <c r="BH20" t="e">
        <f>AND('Female SR Endurance Speed'!H56,"AAAAAH/47zs=")</f>
        <v>#VALUE!</v>
      </c>
      <c r="BI20" t="e">
        <f>AND('Female SR Endurance Speed'!I56,"AAAAAH/47zw=")</f>
        <v>#VALUE!</v>
      </c>
      <c r="BJ20" t="e">
        <f>AND('Female SR Endurance Speed'!J56,"AAAAAH/47z0=")</f>
        <v>#VALUE!</v>
      </c>
      <c r="BK20" t="e">
        <f>AND('Female SR Endurance Speed'!K56,"AAAAAH/47z4=")</f>
        <v>#VALUE!</v>
      </c>
      <c r="BL20" t="e">
        <f>AND('Female SR Endurance Speed'!L56,"AAAAAH/47z8=")</f>
        <v>#VALUE!</v>
      </c>
      <c r="BM20" t="e">
        <f>AND('Female SR Endurance Speed'!M56,"AAAAAH/470A=")</f>
        <v>#VALUE!</v>
      </c>
      <c r="BN20">
        <f>IF('Female SR Endurance Speed'!57:57,"AAAAAH/470E=",0)</f>
        <v>0</v>
      </c>
      <c r="BO20" t="e">
        <f>AND('Female SR Endurance Speed'!A57,"AAAAAH/470I=")</f>
        <v>#VALUE!</v>
      </c>
      <c r="BP20" t="e">
        <f>AND('Female SR Endurance Speed'!B57,"AAAAAH/470M=")</f>
        <v>#VALUE!</v>
      </c>
      <c r="BQ20" t="e">
        <f>AND('Female SR Endurance Speed'!C57,"AAAAAH/470Q=")</f>
        <v>#VALUE!</v>
      </c>
      <c r="BR20" t="e">
        <f>AND('Female SR Endurance Speed'!D57,"AAAAAH/470U=")</f>
        <v>#VALUE!</v>
      </c>
      <c r="BS20" t="e">
        <f>AND('Female SR Endurance Speed'!E57,"AAAAAH/470Y=")</f>
        <v>#VALUE!</v>
      </c>
      <c r="BT20" t="e">
        <f>AND('Female SR Endurance Speed'!F57,"AAAAAH/470c=")</f>
        <v>#VALUE!</v>
      </c>
      <c r="BU20" t="e">
        <f>AND('Female SR Endurance Speed'!G57,"AAAAAH/470g=")</f>
        <v>#VALUE!</v>
      </c>
      <c r="BV20" t="e">
        <f>AND('Female SR Endurance Speed'!H57,"AAAAAH/470k=")</f>
        <v>#VALUE!</v>
      </c>
      <c r="BW20" t="e">
        <f>AND('Female SR Endurance Speed'!I57,"AAAAAH/470o=")</f>
        <v>#VALUE!</v>
      </c>
      <c r="BX20" t="e">
        <f>AND('Female SR Endurance Speed'!J57,"AAAAAH/470s=")</f>
        <v>#VALUE!</v>
      </c>
      <c r="BY20" t="e">
        <f>AND('Female SR Endurance Speed'!K57,"AAAAAH/470w=")</f>
        <v>#VALUE!</v>
      </c>
      <c r="BZ20" t="e">
        <f>AND('Female SR Endurance Speed'!L57,"AAAAAH/4700=")</f>
        <v>#VALUE!</v>
      </c>
      <c r="CA20" t="e">
        <f>AND('Female SR Endurance Speed'!M57,"AAAAAH/4704=")</f>
        <v>#VALUE!</v>
      </c>
      <c r="CB20">
        <f>IF('Female SR Endurance Speed'!58:58,"AAAAAH/4708=",0)</f>
        <v>0</v>
      </c>
      <c r="CC20" t="e">
        <f>AND('Female SR Endurance Speed'!A58,"AAAAAH/471A=")</f>
        <v>#VALUE!</v>
      </c>
      <c r="CD20" t="e">
        <f>AND('Female SR Endurance Speed'!B58,"AAAAAH/471E=")</f>
        <v>#VALUE!</v>
      </c>
      <c r="CE20" t="e">
        <f>AND('Female SR Endurance Speed'!C58,"AAAAAH/471I=")</f>
        <v>#VALUE!</v>
      </c>
      <c r="CF20" t="e">
        <f>AND('Female SR Endurance Speed'!D58,"AAAAAH/471M=")</f>
        <v>#VALUE!</v>
      </c>
      <c r="CG20" t="e">
        <f>AND('Female SR Endurance Speed'!E58,"AAAAAH/471Q=")</f>
        <v>#VALUE!</v>
      </c>
      <c r="CH20" t="e">
        <f>AND('Female SR Endurance Speed'!F58,"AAAAAH/471U=")</f>
        <v>#VALUE!</v>
      </c>
      <c r="CI20" t="e">
        <f>AND('Female SR Endurance Speed'!G58,"AAAAAH/471Y=")</f>
        <v>#VALUE!</v>
      </c>
      <c r="CJ20" t="e">
        <f>AND('Female SR Endurance Speed'!H58,"AAAAAH/471c=")</f>
        <v>#VALUE!</v>
      </c>
      <c r="CK20" t="e">
        <f>AND('Female SR Endurance Speed'!I58,"AAAAAH/471g=")</f>
        <v>#VALUE!</v>
      </c>
      <c r="CL20" t="e">
        <f>AND('Female SR Endurance Speed'!J58,"AAAAAH/471k=")</f>
        <v>#VALUE!</v>
      </c>
      <c r="CM20" t="e">
        <f>AND('Female SR Endurance Speed'!K58,"AAAAAH/471o=")</f>
        <v>#VALUE!</v>
      </c>
      <c r="CN20" t="e">
        <f>AND('Female SR Endurance Speed'!L58,"AAAAAH/471s=")</f>
        <v>#VALUE!</v>
      </c>
      <c r="CO20" t="e">
        <f>AND('Female SR Endurance Speed'!M58,"AAAAAH/471w=")</f>
        <v>#VALUE!</v>
      </c>
      <c r="CP20">
        <f>IF('Female SR Endurance Speed'!71:71,"AAAAAH/4710=",0)</f>
        <v>0</v>
      </c>
      <c r="CQ20" t="e">
        <f>AND('Female SR Endurance Speed'!A71,"AAAAAH/4714=")</f>
        <v>#VALUE!</v>
      </c>
      <c r="CR20" t="e">
        <f>AND('Female SR Endurance Speed'!B71,"AAAAAH/4718=")</f>
        <v>#VALUE!</v>
      </c>
      <c r="CS20" t="e">
        <f>AND('Female SR Endurance Speed'!C71,"AAAAAH/472A=")</f>
        <v>#VALUE!</v>
      </c>
      <c r="CT20" t="e">
        <f>AND('Female SR Endurance Speed'!D71,"AAAAAH/472E=")</f>
        <v>#VALUE!</v>
      </c>
      <c r="CU20" t="e">
        <f>AND('Female SR Endurance Speed'!E71,"AAAAAH/472I=")</f>
        <v>#VALUE!</v>
      </c>
      <c r="CV20" t="e">
        <f>AND('Female SR Endurance Speed'!F71,"AAAAAH/472M=")</f>
        <v>#VALUE!</v>
      </c>
      <c r="CW20" t="e">
        <f>AND('Female SR Endurance Speed'!G71,"AAAAAH/472Q=")</f>
        <v>#VALUE!</v>
      </c>
      <c r="CX20" t="e">
        <f>AND('Female SR Endurance Speed'!H71,"AAAAAH/472U=")</f>
        <v>#VALUE!</v>
      </c>
      <c r="CY20" t="e">
        <f>AND('Female SR Endurance Speed'!I71,"AAAAAH/472Y=")</f>
        <v>#VALUE!</v>
      </c>
      <c r="CZ20" t="e">
        <f>AND('Female SR Endurance Speed'!J71,"AAAAAH/472c=")</f>
        <v>#VALUE!</v>
      </c>
      <c r="DA20" t="e">
        <f>AND('Female SR Endurance Speed'!K71,"AAAAAH/472g=")</f>
        <v>#VALUE!</v>
      </c>
      <c r="DB20" t="e">
        <f>AND('Female SR Endurance Speed'!L71,"AAAAAH/472k=")</f>
        <v>#VALUE!</v>
      </c>
      <c r="DC20" t="e">
        <f>AND('Female SR Endurance Speed'!M71,"AAAAAH/472o=")</f>
        <v>#VALUE!</v>
      </c>
      <c r="DD20">
        <f>IF('Female SR Endurance Speed'!72:72,"AAAAAH/472s=",0)</f>
        <v>0</v>
      </c>
      <c r="DE20" t="e">
        <f>AND('Female SR Endurance Speed'!A72,"AAAAAH/472w=")</f>
        <v>#VALUE!</v>
      </c>
      <c r="DF20" t="e">
        <f>AND('Female SR Endurance Speed'!B72,"AAAAAH/4720=")</f>
        <v>#VALUE!</v>
      </c>
      <c r="DG20" t="e">
        <f>AND('Female SR Endurance Speed'!C72,"AAAAAH/4724=")</f>
        <v>#VALUE!</v>
      </c>
      <c r="DH20" t="e">
        <f>AND('Female SR Endurance Speed'!D72,"AAAAAH/4728=")</f>
        <v>#VALUE!</v>
      </c>
      <c r="DI20" t="e">
        <f>AND('Female SR Endurance Speed'!E72,"AAAAAH/473A=")</f>
        <v>#VALUE!</v>
      </c>
      <c r="DJ20" t="e">
        <f>AND('Female SR Endurance Speed'!F72,"AAAAAH/473E=")</f>
        <v>#VALUE!</v>
      </c>
      <c r="DK20" t="e">
        <f>AND('Female SR Endurance Speed'!G72,"AAAAAH/473I=")</f>
        <v>#VALUE!</v>
      </c>
      <c r="DL20" t="e">
        <f>AND('Female SR Endurance Speed'!H72,"AAAAAH/473M=")</f>
        <v>#VALUE!</v>
      </c>
      <c r="DM20" t="e">
        <f>AND('Female SR Endurance Speed'!I72,"AAAAAH/473Q=")</f>
        <v>#VALUE!</v>
      </c>
      <c r="DN20" t="e">
        <f>AND('Female SR Endurance Speed'!J72,"AAAAAH/473U=")</f>
        <v>#VALUE!</v>
      </c>
      <c r="DO20" t="e">
        <f>AND('Female SR Endurance Speed'!K72,"AAAAAH/473Y=")</f>
        <v>#VALUE!</v>
      </c>
      <c r="DP20" t="e">
        <f>AND('Female SR Endurance Speed'!L72,"AAAAAH/473c=")</f>
        <v>#VALUE!</v>
      </c>
      <c r="DQ20" t="e">
        <f>AND('Female SR Endurance Speed'!M72,"AAAAAH/473g=")</f>
        <v>#VALUE!</v>
      </c>
      <c r="DR20">
        <f>IF('Female SR Endurance Speed'!73:73,"AAAAAH/473k=",0)</f>
        <v>0</v>
      </c>
      <c r="DS20" t="e">
        <f>AND('Female SR Endurance Speed'!A73,"AAAAAH/473o=")</f>
        <v>#VALUE!</v>
      </c>
      <c r="DT20" t="e">
        <f>AND('Female SR Endurance Speed'!B73,"AAAAAH/473s=")</f>
        <v>#VALUE!</v>
      </c>
      <c r="DU20" t="e">
        <f>AND('Female SR Endurance Speed'!C73,"AAAAAH/473w=")</f>
        <v>#VALUE!</v>
      </c>
      <c r="DV20" t="e">
        <f>AND('Female SR Endurance Speed'!D73,"AAAAAH/4730=")</f>
        <v>#VALUE!</v>
      </c>
      <c r="DW20" t="e">
        <f>AND('Female SR Endurance Speed'!E73,"AAAAAH/4734=")</f>
        <v>#VALUE!</v>
      </c>
      <c r="DX20" t="e">
        <f>AND('Female SR Endurance Speed'!F73,"AAAAAH/4738=")</f>
        <v>#VALUE!</v>
      </c>
      <c r="DY20" t="e">
        <f>AND('Female SR Endurance Speed'!G73,"AAAAAH/474A=")</f>
        <v>#VALUE!</v>
      </c>
      <c r="DZ20" t="e">
        <f>AND('Female SR Endurance Speed'!H73,"AAAAAH/474E=")</f>
        <v>#VALUE!</v>
      </c>
      <c r="EA20" t="e">
        <f>AND('Female SR Endurance Speed'!I73,"AAAAAH/474I=")</f>
        <v>#VALUE!</v>
      </c>
      <c r="EB20" t="e">
        <f>AND('Female SR Endurance Speed'!J73,"AAAAAH/474M=")</f>
        <v>#VALUE!</v>
      </c>
      <c r="EC20" t="e">
        <f>AND('Female SR Endurance Speed'!K73,"AAAAAH/474Q=")</f>
        <v>#VALUE!</v>
      </c>
      <c r="ED20" t="e">
        <f>AND('Female SR Endurance Speed'!L73,"AAAAAH/474U=")</f>
        <v>#VALUE!</v>
      </c>
      <c r="EE20" t="e">
        <f>AND('Female SR Endurance Speed'!M73,"AAAAAH/474Y=")</f>
        <v>#VALUE!</v>
      </c>
      <c r="EF20">
        <f>IF('Female SR Endurance Speed'!74:74,"AAAAAH/474c=",0)</f>
        <v>0</v>
      </c>
      <c r="EG20" t="e">
        <f>AND('Female SR Endurance Speed'!A74,"AAAAAH/474g=")</f>
        <v>#VALUE!</v>
      </c>
      <c r="EH20" t="e">
        <f>AND('Female SR Endurance Speed'!B74,"AAAAAH/474k=")</f>
        <v>#VALUE!</v>
      </c>
      <c r="EI20" t="e">
        <f>AND('Female SR Endurance Speed'!C74,"AAAAAH/474o=")</f>
        <v>#VALUE!</v>
      </c>
      <c r="EJ20" t="e">
        <f>AND('Female SR Endurance Speed'!D74,"AAAAAH/474s=")</f>
        <v>#VALUE!</v>
      </c>
      <c r="EK20" t="e">
        <f>AND('Female SR Endurance Speed'!E74,"AAAAAH/474w=")</f>
        <v>#VALUE!</v>
      </c>
      <c r="EL20" t="e">
        <f>AND('Female SR Endurance Speed'!F74,"AAAAAH/4740=")</f>
        <v>#VALUE!</v>
      </c>
      <c r="EM20" t="e">
        <f>AND('Female SR Endurance Speed'!G74,"AAAAAH/4744=")</f>
        <v>#VALUE!</v>
      </c>
      <c r="EN20" t="e">
        <f>AND('Female SR Endurance Speed'!H74,"AAAAAH/4748=")</f>
        <v>#VALUE!</v>
      </c>
      <c r="EO20" t="e">
        <f>AND('Female SR Endurance Speed'!I74,"AAAAAH/475A=")</f>
        <v>#VALUE!</v>
      </c>
      <c r="EP20" t="e">
        <f>AND('Female SR Endurance Speed'!J74,"AAAAAH/475E=")</f>
        <v>#VALUE!</v>
      </c>
      <c r="EQ20" t="e">
        <f>AND('Female SR Endurance Speed'!K74,"AAAAAH/475I=")</f>
        <v>#VALUE!</v>
      </c>
      <c r="ER20" t="e">
        <f>AND('Female SR Endurance Speed'!L74,"AAAAAH/475M=")</f>
        <v>#VALUE!</v>
      </c>
      <c r="ES20" t="e">
        <f>AND('Female SR Endurance Speed'!M74,"AAAAAH/475Q=")</f>
        <v>#VALUE!</v>
      </c>
      <c r="ET20">
        <f>IF('Female SR Endurance Speed'!75:75,"AAAAAH/475U=",0)</f>
        <v>0</v>
      </c>
      <c r="EU20" t="e">
        <f>AND('Female SR Endurance Speed'!A75,"AAAAAH/475Y=")</f>
        <v>#VALUE!</v>
      </c>
      <c r="EV20" t="e">
        <f>AND('Female SR Endurance Speed'!B75,"AAAAAH/475c=")</f>
        <v>#VALUE!</v>
      </c>
      <c r="EW20" t="e">
        <f>AND('Female SR Endurance Speed'!C75,"AAAAAH/475g=")</f>
        <v>#VALUE!</v>
      </c>
      <c r="EX20" t="e">
        <f>AND('Female SR Endurance Speed'!D75,"AAAAAH/475k=")</f>
        <v>#VALUE!</v>
      </c>
      <c r="EY20" t="e">
        <f>AND('Female SR Endurance Speed'!E75,"AAAAAH/475o=")</f>
        <v>#VALUE!</v>
      </c>
      <c r="EZ20" t="e">
        <f>AND('Female SR Endurance Speed'!F75,"AAAAAH/475s=")</f>
        <v>#VALUE!</v>
      </c>
      <c r="FA20" t="e">
        <f>AND('Female SR Endurance Speed'!G75,"AAAAAH/475w=")</f>
        <v>#VALUE!</v>
      </c>
      <c r="FB20" t="e">
        <f>AND('Female SR Endurance Speed'!H75,"AAAAAH/4750=")</f>
        <v>#VALUE!</v>
      </c>
      <c r="FC20" t="e">
        <f>AND('Female SR Endurance Speed'!I75,"AAAAAH/4754=")</f>
        <v>#VALUE!</v>
      </c>
      <c r="FD20" t="e">
        <f>AND('Female SR Endurance Speed'!J75,"AAAAAH/4758=")</f>
        <v>#VALUE!</v>
      </c>
      <c r="FE20" t="e">
        <f>AND('Female SR Endurance Speed'!K75,"AAAAAH/476A=")</f>
        <v>#VALUE!</v>
      </c>
      <c r="FF20" t="e">
        <f>AND('Female SR Endurance Speed'!L75,"AAAAAH/476E=")</f>
        <v>#VALUE!</v>
      </c>
      <c r="FG20" t="e">
        <f>AND('Female SR Endurance Speed'!M75,"AAAAAH/476I=")</f>
        <v>#VALUE!</v>
      </c>
      <c r="FH20">
        <f>IF('Female SR Endurance Speed'!76:76,"AAAAAH/476M=",0)</f>
        <v>0</v>
      </c>
      <c r="FI20" t="e">
        <f>AND('Female SR Endurance Speed'!A76,"AAAAAH/476Q=")</f>
        <v>#VALUE!</v>
      </c>
      <c r="FJ20" t="e">
        <f>AND('Female SR Endurance Speed'!B76,"AAAAAH/476U=")</f>
        <v>#VALUE!</v>
      </c>
      <c r="FK20" t="e">
        <f>AND('Female SR Endurance Speed'!C76,"AAAAAH/476Y=")</f>
        <v>#VALUE!</v>
      </c>
      <c r="FL20" t="e">
        <f>AND('Female SR Endurance Speed'!D76,"AAAAAH/476c=")</f>
        <v>#VALUE!</v>
      </c>
      <c r="FM20" t="e">
        <f>AND('Female SR Endurance Speed'!E76,"AAAAAH/476g=")</f>
        <v>#VALUE!</v>
      </c>
      <c r="FN20" t="e">
        <f>AND('Female SR Endurance Speed'!F76,"AAAAAH/476k=")</f>
        <v>#VALUE!</v>
      </c>
      <c r="FO20" t="e">
        <f>AND('Female SR Endurance Speed'!G76,"AAAAAH/476o=")</f>
        <v>#VALUE!</v>
      </c>
      <c r="FP20" t="e">
        <f>AND('Female SR Endurance Speed'!H76,"AAAAAH/476s=")</f>
        <v>#VALUE!</v>
      </c>
      <c r="FQ20" t="e">
        <f>AND('Female SR Endurance Speed'!I76,"AAAAAH/476w=")</f>
        <v>#VALUE!</v>
      </c>
      <c r="FR20" t="e">
        <f>AND('Female SR Endurance Speed'!J76,"AAAAAH/4760=")</f>
        <v>#VALUE!</v>
      </c>
      <c r="FS20" t="e">
        <f>AND('Female SR Endurance Speed'!K76,"AAAAAH/4764=")</f>
        <v>#VALUE!</v>
      </c>
      <c r="FT20" t="e">
        <f>AND('Female SR Endurance Speed'!L76,"AAAAAH/4768=")</f>
        <v>#VALUE!</v>
      </c>
      <c r="FU20" t="e">
        <f>AND('Female SR Endurance Speed'!M76,"AAAAAH/477A=")</f>
        <v>#VALUE!</v>
      </c>
      <c r="FV20">
        <f>IF('Female SR Endurance Speed'!77:77,"AAAAAH/477E=",0)</f>
        <v>0</v>
      </c>
      <c r="FW20" t="e">
        <f>AND('Female SR Endurance Speed'!A77,"AAAAAH/477I=")</f>
        <v>#VALUE!</v>
      </c>
      <c r="FX20" t="e">
        <f>AND('Female SR Endurance Speed'!B77,"AAAAAH/477M=")</f>
        <v>#VALUE!</v>
      </c>
      <c r="FY20" t="e">
        <f>AND('Female SR Endurance Speed'!C77,"AAAAAH/477Q=")</f>
        <v>#VALUE!</v>
      </c>
      <c r="FZ20" t="e">
        <f>AND('Female SR Endurance Speed'!D77,"AAAAAH/477U=")</f>
        <v>#VALUE!</v>
      </c>
      <c r="GA20" t="e">
        <f>AND('Female SR Endurance Speed'!E77,"AAAAAH/477Y=")</f>
        <v>#VALUE!</v>
      </c>
      <c r="GB20" t="e">
        <f>AND('Female SR Endurance Speed'!F77,"AAAAAH/477c=")</f>
        <v>#VALUE!</v>
      </c>
      <c r="GC20" t="e">
        <f>AND('Female SR Endurance Speed'!G77,"AAAAAH/477g=")</f>
        <v>#VALUE!</v>
      </c>
      <c r="GD20" t="e">
        <f>AND('Female SR Endurance Speed'!H77,"AAAAAH/477k=")</f>
        <v>#VALUE!</v>
      </c>
      <c r="GE20" t="e">
        <f>AND('Female SR Endurance Speed'!I77,"AAAAAH/477o=")</f>
        <v>#VALUE!</v>
      </c>
      <c r="GF20" t="e">
        <f>AND('Female SR Endurance Speed'!J77,"AAAAAH/477s=")</f>
        <v>#VALUE!</v>
      </c>
      <c r="GG20" t="e">
        <f>AND('Female SR Endurance Speed'!K77,"AAAAAH/477w=")</f>
        <v>#VALUE!</v>
      </c>
      <c r="GH20" t="e">
        <f>AND('Female SR Endurance Speed'!L77,"AAAAAH/4770=")</f>
        <v>#VALUE!</v>
      </c>
      <c r="GI20" t="e">
        <f>AND('Female SR Endurance Speed'!M77,"AAAAAH/4774=")</f>
        <v>#VALUE!</v>
      </c>
      <c r="GJ20">
        <f>IF('Female SR Endurance Speed'!78:78,"AAAAAH/4778=",0)</f>
        <v>0</v>
      </c>
      <c r="GK20" t="e">
        <f>AND('Female SR Endurance Speed'!A78,"AAAAAH/478A=")</f>
        <v>#VALUE!</v>
      </c>
      <c r="GL20" t="e">
        <f>AND('Female SR Endurance Speed'!B78,"AAAAAH/478E=")</f>
        <v>#VALUE!</v>
      </c>
      <c r="GM20" t="e">
        <f>AND('Female SR Endurance Speed'!C78,"AAAAAH/478I=")</f>
        <v>#VALUE!</v>
      </c>
      <c r="GN20" t="e">
        <f>AND('Female SR Endurance Speed'!D78,"AAAAAH/478M=")</f>
        <v>#VALUE!</v>
      </c>
      <c r="GO20" t="e">
        <f>AND('Female SR Endurance Speed'!E78,"AAAAAH/478Q=")</f>
        <v>#VALUE!</v>
      </c>
      <c r="GP20" t="e">
        <f>AND('Female SR Endurance Speed'!F78,"AAAAAH/478U=")</f>
        <v>#VALUE!</v>
      </c>
      <c r="GQ20" t="e">
        <f>AND('Female SR Endurance Speed'!G78,"AAAAAH/478Y=")</f>
        <v>#VALUE!</v>
      </c>
      <c r="GR20" t="e">
        <f>AND('Female SR Endurance Speed'!H78,"AAAAAH/478c=")</f>
        <v>#VALUE!</v>
      </c>
      <c r="GS20" t="e">
        <f>AND('Female SR Endurance Speed'!I78,"AAAAAH/478g=")</f>
        <v>#VALUE!</v>
      </c>
      <c r="GT20" t="e">
        <f>AND('Female SR Endurance Speed'!J78,"AAAAAH/478k=")</f>
        <v>#VALUE!</v>
      </c>
      <c r="GU20" t="e">
        <f>AND('Female SR Endurance Speed'!K78,"AAAAAH/478o=")</f>
        <v>#VALUE!</v>
      </c>
      <c r="GV20" t="e">
        <f>AND('Female SR Endurance Speed'!L78,"AAAAAH/478s=")</f>
        <v>#VALUE!</v>
      </c>
      <c r="GW20" t="e">
        <f>AND('Female SR Endurance Speed'!M78,"AAAAAH/478w=")</f>
        <v>#VALUE!</v>
      </c>
      <c r="GX20" t="str">
        <f>IF('Female SR Endurance Speed'!A:A,"AAAAAH/4780=",0)</f>
        <v>AAAAAH/4780=</v>
      </c>
      <c r="GY20" t="e">
        <f>IF('Female SR Endurance Speed'!B:B,"AAAAAH/4784=",0)</f>
        <v>#VALUE!</v>
      </c>
      <c r="GZ20" t="e">
        <f>IF('Female SR Endurance Speed'!C:C,"AAAAAH/4788=",0)</f>
        <v>#VALUE!</v>
      </c>
      <c r="HA20">
        <f>IF('Female SR Endurance Speed'!D:D,"AAAAAH/479A=",0)</f>
        <v>0</v>
      </c>
      <c r="HB20" t="e">
        <f>IF('Female SR Endurance Speed'!E:E,"AAAAAH/479E=",0)</f>
        <v>#VALUE!</v>
      </c>
      <c r="HC20" t="e">
        <f>IF('Female SR Endurance Speed'!F:F,"AAAAAH/479I=",0)</f>
        <v>#VALUE!</v>
      </c>
      <c r="HD20">
        <f>IF('Female SR Endurance Speed'!G:G,"AAAAAH/479M=",0)</f>
        <v>0</v>
      </c>
      <c r="HE20" t="str">
        <f>IF('Female SR Endurance Speed'!H:H,"AAAAAH/479Q=",0)</f>
        <v>AAAAAH/479Q=</v>
      </c>
      <c r="HF20" t="e">
        <f>IF('Female SR Endurance Speed'!I:I,"AAAAAH/479U=",0)</f>
        <v>#VALUE!</v>
      </c>
      <c r="HG20" t="str">
        <f>IF('Female SR Endurance Speed'!J:J,"AAAAAH/479Y=",0)</f>
        <v>AAAAAH/479Y=</v>
      </c>
      <c r="HH20">
        <f>IF('Female SR Endurance Speed'!K:K,"AAAAAH/479c=",0)</f>
        <v>0</v>
      </c>
      <c r="HI20" t="e">
        <f>IF('Female SR Endurance Speed'!L:L,"AAAAAH/479g=",0)</f>
        <v>#VALUE!</v>
      </c>
      <c r="HJ20" t="e">
        <f>IF('Female SR Endurance Speed'!M:M,"AAAAAH/479k=",0)</f>
        <v>#VALUE!</v>
      </c>
      <c r="HK20">
        <f>IF('Triple Unders'!1:1,"AAAAAH/479o=",0)</f>
        <v>0</v>
      </c>
      <c r="HL20" t="e">
        <f>AND('Triple Unders'!A1,"AAAAAH/479s=")</f>
        <v>#VALUE!</v>
      </c>
      <c r="HM20" t="e">
        <f>AND('Triple Unders'!B1,"AAAAAH/479w=")</f>
        <v>#VALUE!</v>
      </c>
      <c r="HN20" t="e">
        <f>AND('Triple Unders'!C1,"AAAAAH/4790=")</f>
        <v>#VALUE!</v>
      </c>
      <c r="HO20" t="e">
        <f>AND('Triple Unders'!D1,"AAAAAH/4794=")</f>
        <v>#VALUE!</v>
      </c>
      <c r="HP20" t="e">
        <f>AND('Triple Unders'!E1,"AAAAAH/4798=")</f>
        <v>#VALUE!</v>
      </c>
      <c r="HQ20" t="e">
        <f>AND('Triple Unders'!F1,"AAAAAH/47+A=")</f>
        <v>#VALUE!</v>
      </c>
      <c r="HR20" t="e">
        <f>AND('Triple Unders'!G1,"AAAAAH/47+E=")</f>
        <v>#VALUE!</v>
      </c>
      <c r="HS20" t="e">
        <f>AND('Triple Unders'!H1,"AAAAAH/47+I=")</f>
        <v>#VALUE!</v>
      </c>
      <c r="HT20" t="e">
        <f>AND('Triple Unders'!I1,"AAAAAH/47+M=")</f>
        <v>#VALUE!</v>
      </c>
      <c r="HU20" t="e">
        <f>AND('Triple Unders'!J1,"AAAAAH/47+Q=")</f>
        <v>#VALUE!</v>
      </c>
      <c r="HV20" t="e">
        <f>AND('Triple Unders'!K1,"AAAAAH/47+U=")</f>
        <v>#VALUE!</v>
      </c>
      <c r="HW20" t="e">
        <f>AND('Triple Unders'!L1,"AAAAAH/47+Y=")</f>
        <v>#VALUE!</v>
      </c>
      <c r="HX20" t="e">
        <f>AND('Triple Unders'!M1,"AAAAAH/47+c=")</f>
        <v>#VALUE!</v>
      </c>
      <c r="HY20">
        <f>IF('Triple Unders'!2:2,"AAAAAH/47+g=",0)</f>
        <v>0</v>
      </c>
      <c r="HZ20" t="e">
        <f>AND('Triple Unders'!A2,"AAAAAH/47+k=")</f>
        <v>#VALUE!</v>
      </c>
      <c r="IA20" t="e">
        <f>AND('Triple Unders'!B2,"AAAAAH/47+o=")</f>
        <v>#VALUE!</v>
      </c>
      <c r="IB20" t="e">
        <f>AND('Triple Unders'!C2,"AAAAAH/47+s=")</f>
        <v>#VALUE!</v>
      </c>
      <c r="IC20" t="e">
        <f>AND('Triple Unders'!D2,"AAAAAH/47+w=")</f>
        <v>#VALUE!</v>
      </c>
      <c r="ID20" t="e">
        <f>AND('Triple Unders'!E2,"AAAAAH/47+0=")</f>
        <v>#VALUE!</v>
      </c>
      <c r="IE20" t="e">
        <f>AND('Triple Unders'!F2,"AAAAAH/47+4=")</f>
        <v>#VALUE!</v>
      </c>
      <c r="IF20" t="e">
        <f>AND('Triple Unders'!G2,"AAAAAH/47+8=")</f>
        <v>#VALUE!</v>
      </c>
      <c r="IG20" t="e">
        <f>AND('Triple Unders'!H2,"AAAAAH/47/A=")</f>
        <v>#VALUE!</v>
      </c>
      <c r="IH20" t="e">
        <f>AND('Triple Unders'!I2,"AAAAAH/47/E=")</f>
        <v>#VALUE!</v>
      </c>
      <c r="II20" t="e">
        <f>AND('Triple Unders'!J2,"AAAAAH/47/I=")</f>
        <v>#VALUE!</v>
      </c>
      <c r="IJ20" t="e">
        <f>AND('Triple Unders'!K2,"AAAAAH/47/M=")</f>
        <v>#VALUE!</v>
      </c>
      <c r="IK20" t="e">
        <f>AND('Triple Unders'!L2,"AAAAAH/47/Q=")</f>
        <v>#VALUE!</v>
      </c>
      <c r="IL20" t="e">
        <f>AND('Triple Unders'!M2,"AAAAAH/47/U=")</f>
        <v>#VALUE!</v>
      </c>
      <c r="IM20">
        <f>IF('Triple Unders'!3:3,"AAAAAH/47/Y=",0)</f>
        <v>0</v>
      </c>
      <c r="IN20" t="e">
        <f>AND('Triple Unders'!A3,"AAAAAH/47/c=")</f>
        <v>#VALUE!</v>
      </c>
      <c r="IO20" t="e">
        <f>AND('Triple Unders'!B3,"AAAAAH/47/g=")</f>
        <v>#VALUE!</v>
      </c>
      <c r="IP20" t="e">
        <f>AND('Triple Unders'!C3,"AAAAAH/47/k=")</f>
        <v>#VALUE!</v>
      </c>
      <c r="IQ20" t="e">
        <f>AND('Triple Unders'!D3,"AAAAAH/47/o=")</f>
        <v>#VALUE!</v>
      </c>
      <c r="IR20" t="e">
        <f>AND('Triple Unders'!E3,"AAAAAH/47/s=")</f>
        <v>#VALUE!</v>
      </c>
      <c r="IS20" t="e">
        <f>AND('Triple Unders'!F3,"AAAAAH/47/w=")</f>
        <v>#VALUE!</v>
      </c>
      <c r="IT20" t="e">
        <f>AND('Triple Unders'!G3,"AAAAAH/47/0=")</f>
        <v>#VALUE!</v>
      </c>
      <c r="IU20" t="e">
        <f>AND('Triple Unders'!H3,"AAAAAH/47/4=")</f>
        <v>#VALUE!</v>
      </c>
      <c r="IV20" t="e">
        <f>AND('Triple Unders'!I3,"AAAAAH/47/8=")</f>
        <v>#VALUE!</v>
      </c>
    </row>
    <row r="21" spans="1:256" x14ac:dyDescent="0.25">
      <c r="A21" t="e">
        <f>AND('Triple Unders'!J3,"AAAAAFP95wA=")</f>
        <v>#VALUE!</v>
      </c>
      <c r="B21" t="e">
        <f>AND('Triple Unders'!K3,"AAAAAFP95wE=")</f>
        <v>#VALUE!</v>
      </c>
      <c r="C21" t="e">
        <f>AND('Triple Unders'!L3,"AAAAAFP95wI=")</f>
        <v>#VALUE!</v>
      </c>
      <c r="D21" t="e">
        <f>AND('Triple Unders'!M3,"AAAAAFP95wM=")</f>
        <v>#VALUE!</v>
      </c>
      <c r="E21" t="e">
        <f>IF('Triple Unders'!4:4,"AAAAAFP95wQ=",0)</f>
        <v>#VALUE!</v>
      </c>
      <c r="F21" t="e">
        <f>AND('Triple Unders'!A4,"AAAAAFP95wU=")</f>
        <v>#VALUE!</v>
      </c>
      <c r="G21" t="e">
        <f>AND('Triple Unders'!B4,"AAAAAFP95wY=")</f>
        <v>#VALUE!</v>
      </c>
      <c r="H21" t="e">
        <f>AND('Triple Unders'!C4,"AAAAAFP95wc=")</f>
        <v>#VALUE!</v>
      </c>
      <c r="I21" t="e">
        <f>AND('Triple Unders'!D4,"AAAAAFP95wg=")</f>
        <v>#VALUE!</v>
      </c>
      <c r="J21" t="e">
        <f>AND('Triple Unders'!E4,"AAAAAFP95wk=")</f>
        <v>#VALUE!</v>
      </c>
      <c r="K21" t="e">
        <f>AND('Triple Unders'!F4,"AAAAAFP95wo=")</f>
        <v>#VALUE!</v>
      </c>
      <c r="L21" t="e">
        <f>AND('Triple Unders'!G4,"AAAAAFP95ws=")</f>
        <v>#VALUE!</v>
      </c>
      <c r="M21" t="e">
        <f>AND('Triple Unders'!H4,"AAAAAFP95ww=")</f>
        <v>#VALUE!</v>
      </c>
      <c r="N21" t="e">
        <f>AND('Triple Unders'!I4,"AAAAAFP95w0=")</f>
        <v>#VALUE!</v>
      </c>
      <c r="O21" t="e">
        <f>AND('Triple Unders'!J4,"AAAAAFP95w4=")</f>
        <v>#VALUE!</v>
      </c>
      <c r="P21" t="e">
        <f>AND('Triple Unders'!K4,"AAAAAFP95w8=")</f>
        <v>#VALUE!</v>
      </c>
      <c r="Q21" t="e">
        <f>AND('Triple Unders'!L4,"AAAAAFP95xA=")</f>
        <v>#VALUE!</v>
      </c>
      <c r="R21" t="e">
        <f>AND('Triple Unders'!M4,"AAAAAFP95xE=")</f>
        <v>#VALUE!</v>
      </c>
      <c r="S21">
        <f>IF('Triple Unders'!5:5,"AAAAAFP95xI=",0)</f>
        <v>0</v>
      </c>
      <c r="T21" t="e">
        <f>AND('Triple Unders'!A5,"AAAAAFP95xM=")</f>
        <v>#VALUE!</v>
      </c>
      <c r="U21" t="e">
        <f>AND('Triple Unders'!B5,"AAAAAFP95xQ=")</f>
        <v>#VALUE!</v>
      </c>
      <c r="V21" t="e">
        <f>AND('Triple Unders'!C5,"AAAAAFP95xU=")</f>
        <v>#VALUE!</v>
      </c>
      <c r="W21" t="e">
        <f>AND('Triple Unders'!D5,"AAAAAFP95xY=")</f>
        <v>#VALUE!</v>
      </c>
      <c r="X21" t="e">
        <f>AND('Triple Unders'!E5,"AAAAAFP95xc=")</f>
        <v>#VALUE!</v>
      </c>
      <c r="Y21" t="e">
        <f>AND('Triple Unders'!F5,"AAAAAFP95xg=")</f>
        <v>#VALUE!</v>
      </c>
      <c r="Z21" t="e">
        <f>AND('Triple Unders'!G5,"AAAAAFP95xk=")</f>
        <v>#VALUE!</v>
      </c>
      <c r="AA21" t="e">
        <f>AND('Triple Unders'!H5,"AAAAAFP95xo=")</f>
        <v>#VALUE!</v>
      </c>
      <c r="AB21" t="e">
        <f>AND('Triple Unders'!I5,"AAAAAFP95xs=")</f>
        <v>#VALUE!</v>
      </c>
      <c r="AC21" t="e">
        <f>AND('Triple Unders'!J5,"AAAAAFP95xw=")</f>
        <v>#VALUE!</v>
      </c>
      <c r="AD21" t="e">
        <f>AND('Triple Unders'!K5,"AAAAAFP95x0=")</f>
        <v>#VALUE!</v>
      </c>
      <c r="AE21" t="e">
        <f>AND('Triple Unders'!L5,"AAAAAFP95x4=")</f>
        <v>#VALUE!</v>
      </c>
      <c r="AF21" t="e">
        <f>AND('Triple Unders'!M5,"AAAAAFP95x8=")</f>
        <v>#VALUE!</v>
      </c>
      <c r="AG21">
        <f>IF('Triple Unders'!6:6,"AAAAAFP95yA=",0)</f>
        <v>0</v>
      </c>
      <c r="AH21" t="e">
        <f>AND('Triple Unders'!A6,"AAAAAFP95yE=")</f>
        <v>#VALUE!</v>
      </c>
      <c r="AI21" t="e">
        <f>AND('Triple Unders'!B6,"AAAAAFP95yI=")</f>
        <v>#VALUE!</v>
      </c>
      <c r="AJ21" t="e">
        <f>AND('Triple Unders'!C6,"AAAAAFP95yM=")</f>
        <v>#VALUE!</v>
      </c>
      <c r="AK21" t="e">
        <f>AND('Triple Unders'!D6,"AAAAAFP95yQ=")</f>
        <v>#VALUE!</v>
      </c>
      <c r="AL21" t="e">
        <f>AND('Triple Unders'!E6,"AAAAAFP95yU=")</f>
        <v>#VALUE!</v>
      </c>
      <c r="AM21" t="e">
        <f>AND('Triple Unders'!F6,"AAAAAFP95yY=")</f>
        <v>#VALUE!</v>
      </c>
      <c r="AN21" t="e">
        <f>AND('Triple Unders'!G6,"AAAAAFP95yc=")</f>
        <v>#VALUE!</v>
      </c>
      <c r="AO21" t="e">
        <f>AND('Triple Unders'!H6,"AAAAAFP95yg=")</f>
        <v>#VALUE!</v>
      </c>
      <c r="AP21" t="e">
        <f>AND('Triple Unders'!I6,"AAAAAFP95yk=")</f>
        <v>#VALUE!</v>
      </c>
      <c r="AQ21" t="e">
        <f>AND('Triple Unders'!J6,"AAAAAFP95yo=")</f>
        <v>#VALUE!</v>
      </c>
      <c r="AR21" t="e">
        <f>AND('Triple Unders'!K6,"AAAAAFP95ys=")</f>
        <v>#VALUE!</v>
      </c>
      <c r="AS21" t="e">
        <f>AND('Triple Unders'!L6,"AAAAAFP95yw=")</f>
        <v>#VALUE!</v>
      </c>
      <c r="AT21" t="e">
        <f>AND('Triple Unders'!M6,"AAAAAFP95y0=")</f>
        <v>#VALUE!</v>
      </c>
      <c r="AU21">
        <f>IF('Triple Unders'!7:7,"AAAAAFP95y4=",0)</f>
        <v>0</v>
      </c>
      <c r="AV21" t="e">
        <f>AND('Triple Unders'!A7,"AAAAAFP95y8=")</f>
        <v>#VALUE!</v>
      </c>
      <c r="AW21" t="e">
        <f>AND('Triple Unders'!B7,"AAAAAFP95zA=")</f>
        <v>#VALUE!</v>
      </c>
      <c r="AX21" t="e">
        <f>AND('Triple Unders'!C7,"AAAAAFP95zE=")</f>
        <v>#VALUE!</v>
      </c>
      <c r="AY21" t="e">
        <f>AND('Triple Unders'!D7,"AAAAAFP95zI=")</f>
        <v>#VALUE!</v>
      </c>
      <c r="AZ21" t="e">
        <f>AND('Triple Unders'!E7,"AAAAAFP95zM=")</f>
        <v>#VALUE!</v>
      </c>
      <c r="BA21" t="e">
        <f>AND('Triple Unders'!F7,"AAAAAFP95zQ=")</f>
        <v>#VALUE!</v>
      </c>
      <c r="BB21" t="e">
        <f>AND('Triple Unders'!G7,"AAAAAFP95zU=")</f>
        <v>#VALUE!</v>
      </c>
      <c r="BC21" t="e">
        <f>AND('Triple Unders'!H7,"AAAAAFP95zY=")</f>
        <v>#VALUE!</v>
      </c>
      <c r="BD21" t="e">
        <f>AND('Triple Unders'!I7,"AAAAAFP95zc=")</f>
        <v>#VALUE!</v>
      </c>
      <c r="BE21" t="e">
        <f>AND('Triple Unders'!J7,"AAAAAFP95zg=")</f>
        <v>#VALUE!</v>
      </c>
      <c r="BF21" t="e">
        <f>AND('Triple Unders'!K7,"AAAAAFP95zk=")</f>
        <v>#VALUE!</v>
      </c>
      <c r="BG21" t="e">
        <f>AND('Triple Unders'!L7,"AAAAAFP95zo=")</f>
        <v>#VALUE!</v>
      </c>
      <c r="BH21" t="e">
        <f>AND('Triple Unders'!M7,"AAAAAFP95zs=")</f>
        <v>#VALUE!</v>
      </c>
      <c r="BI21">
        <f>IF('Triple Unders'!8:8,"AAAAAFP95zw=",0)</f>
        <v>0</v>
      </c>
      <c r="BJ21" t="e">
        <f>AND('Triple Unders'!A8,"AAAAAFP95z0=")</f>
        <v>#VALUE!</v>
      </c>
      <c r="BK21" t="e">
        <f>AND('Triple Unders'!B8,"AAAAAFP95z4=")</f>
        <v>#VALUE!</v>
      </c>
      <c r="BL21" t="e">
        <f>AND('Triple Unders'!C8,"AAAAAFP95z8=")</f>
        <v>#VALUE!</v>
      </c>
      <c r="BM21" t="e">
        <f>AND('Triple Unders'!D8,"AAAAAFP950A=")</f>
        <v>#VALUE!</v>
      </c>
      <c r="BN21" t="e">
        <f>AND('Triple Unders'!E8,"AAAAAFP950E=")</f>
        <v>#VALUE!</v>
      </c>
      <c r="BO21" t="e">
        <f>AND('Triple Unders'!F8,"AAAAAFP950I=")</f>
        <v>#VALUE!</v>
      </c>
      <c r="BP21" t="e">
        <f>AND('Triple Unders'!G8,"AAAAAFP950M=")</f>
        <v>#VALUE!</v>
      </c>
      <c r="BQ21" t="e">
        <f>AND('Triple Unders'!H8,"AAAAAFP950Q=")</f>
        <v>#VALUE!</v>
      </c>
      <c r="BR21" t="e">
        <f>AND('Triple Unders'!I8,"AAAAAFP950U=")</f>
        <v>#VALUE!</v>
      </c>
      <c r="BS21" t="e">
        <f>AND('Triple Unders'!J8,"AAAAAFP950Y=")</f>
        <v>#VALUE!</v>
      </c>
      <c r="BT21" t="e">
        <f>AND('Triple Unders'!K8,"AAAAAFP950c=")</f>
        <v>#VALUE!</v>
      </c>
      <c r="BU21" t="e">
        <f>AND('Triple Unders'!L8,"AAAAAFP950g=")</f>
        <v>#VALUE!</v>
      </c>
      <c r="BV21" t="e">
        <f>AND('Triple Unders'!M8,"AAAAAFP950k=")</f>
        <v>#VALUE!</v>
      </c>
      <c r="BW21">
        <f>IF('Triple Unders'!9:9,"AAAAAFP950o=",0)</f>
        <v>0</v>
      </c>
      <c r="BX21" t="e">
        <f>AND('Triple Unders'!A9,"AAAAAFP950s=")</f>
        <v>#VALUE!</v>
      </c>
      <c r="BY21" t="e">
        <f>AND('Triple Unders'!B9,"AAAAAFP950w=")</f>
        <v>#VALUE!</v>
      </c>
      <c r="BZ21" t="e">
        <f>AND('Triple Unders'!C9,"AAAAAFP9500=")</f>
        <v>#VALUE!</v>
      </c>
      <c r="CA21" t="e">
        <f>AND('Triple Unders'!D9,"AAAAAFP9504=")</f>
        <v>#VALUE!</v>
      </c>
      <c r="CB21" t="e">
        <f>AND('Triple Unders'!E9,"AAAAAFP9508=")</f>
        <v>#VALUE!</v>
      </c>
      <c r="CC21" t="e">
        <f>AND('Triple Unders'!F9,"AAAAAFP951A=")</f>
        <v>#VALUE!</v>
      </c>
      <c r="CD21" t="e">
        <f>AND('Triple Unders'!G9,"AAAAAFP951E=")</f>
        <v>#VALUE!</v>
      </c>
      <c r="CE21" t="e">
        <f>AND('Triple Unders'!H9,"AAAAAFP951I=")</f>
        <v>#VALUE!</v>
      </c>
      <c r="CF21" t="e">
        <f>AND('Triple Unders'!I9,"AAAAAFP951M=")</f>
        <v>#VALUE!</v>
      </c>
      <c r="CG21" t="e">
        <f>AND('Triple Unders'!J9,"AAAAAFP951Q=")</f>
        <v>#VALUE!</v>
      </c>
      <c r="CH21" t="e">
        <f>AND('Triple Unders'!K9,"AAAAAFP951U=")</f>
        <v>#VALUE!</v>
      </c>
      <c r="CI21" t="e">
        <f>AND('Triple Unders'!L9,"AAAAAFP951Y=")</f>
        <v>#VALUE!</v>
      </c>
      <c r="CJ21" t="e">
        <f>AND('Triple Unders'!M9,"AAAAAFP951c=")</f>
        <v>#VALUE!</v>
      </c>
      <c r="CK21">
        <f>IF('Triple Unders'!10:10,"AAAAAFP951g=",0)</f>
        <v>0</v>
      </c>
      <c r="CL21" t="e">
        <f>AND('Triple Unders'!A10,"AAAAAFP951k=")</f>
        <v>#VALUE!</v>
      </c>
      <c r="CM21" t="e">
        <f>AND('Triple Unders'!B10,"AAAAAFP951o=")</f>
        <v>#VALUE!</v>
      </c>
      <c r="CN21" t="e">
        <f>AND('Triple Unders'!C10,"AAAAAFP951s=")</f>
        <v>#VALUE!</v>
      </c>
      <c r="CO21" t="e">
        <f>AND('Triple Unders'!D10,"AAAAAFP951w=")</f>
        <v>#VALUE!</v>
      </c>
      <c r="CP21" t="e">
        <f>AND('Triple Unders'!E10,"AAAAAFP9510=")</f>
        <v>#VALUE!</v>
      </c>
      <c r="CQ21" t="e">
        <f>AND('Triple Unders'!F10,"AAAAAFP9514=")</f>
        <v>#VALUE!</v>
      </c>
      <c r="CR21" t="e">
        <f>AND('Triple Unders'!G10,"AAAAAFP9518=")</f>
        <v>#VALUE!</v>
      </c>
      <c r="CS21" t="e">
        <f>AND('Triple Unders'!H10,"AAAAAFP952A=")</f>
        <v>#VALUE!</v>
      </c>
      <c r="CT21" t="e">
        <f>AND('Triple Unders'!I10,"AAAAAFP952E=")</f>
        <v>#VALUE!</v>
      </c>
      <c r="CU21" t="e">
        <f>AND('Triple Unders'!J10,"AAAAAFP952I=")</f>
        <v>#VALUE!</v>
      </c>
      <c r="CV21" t="e">
        <f>AND('Triple Unders'!K10,"AAAAAFP952M=")</f>
        <v>#VALUE!</v>
      </c>
      <c r="CW21" t="e">
        <f>AND('Triple Unders'!L10,"AAAAAFP952Q=")</f>
        <v>#VALUE!</v>
      </c>
      <c r="CX21" t="e">
        <f>AND('Triple Unders'!M10,"AAAAAFP952U=")</f>
        <v>#VALUE!</v>
      </c>
      <c r="CY21">
        <f>IF('Triple Unders'!11:11,"AAAAAFP952Y=",0)</f>
        <v>0</v>
      </c>
      <c r="CZ21" t="e">
        <f>AND('Triple Unders'!A11,"AAAAAFP952c=")</f>
        <v>#VALUE!</v>
      </c>
      <c r="DA21" t="e">
        <f>AND('Triple Unders'!B11,"AAAAAFP952g=")</f>
        <v>#VALUE!</v>
      </c>
      <c r="DB21" t="e">
        <f>AND('Triple Unders'!C11,"AAAAAFP952k=")</f>
        <v>#VALUE!</v>
      </c>
      <c r="DC21" t="e">
        <f>AND('Triple Unders'!D11,"AAAAAFP952o=")</f>
        <v>#VALUE!</v>
      </c>
      <c r="DD21" t="e">
        <f>AND('Triple Unders'!E11,"AAAAAFP952s=")</f>
        <v>#VALUE!</v>
      </c>
      <c r="DE21" t="e">
        <f>AND('Triple Unders'!F11,"AAAAAFP952w=")</f>
        <v>#VALUE!</v>
      </c>
      <c r="DF21" t="e">
        <f>AND('Triple Unders'!G11,"AAAAAFP9520=")</f>
        <v>#VALUE!</v>
      </c>
      <c r="DG21" t="e">
        <f>AND('Triple Unders'!H11,"AAAAAFP9524=")</f>
        <v>#VALUE!</v>
      </c>
      <c r="DH21" t="e">
        <f>AND('Triple Unders'!I11,"AAAAAFP9528=")</f>
        <v>#VALUE!</v>
      </c>
      <c r="DI21" t="e">
        <f>AND('Triple Unders'!J11,"AAAAAFP953A=")</f>
        <v>#VALUE!</v>
      </c>
      <c r="DJ21" t="e">
        <f>AND('Triple Unders'!K11,"AAAAAFP953E=")</f>
        <v>#VALUE!</v>
      </c>
      <c r="DK21" t="e">
        <f>AND('Triple Unders'!L11,"AAAAAFP953I=")</f>
        <v>#VALUE!</v>
      </c>
      <c r="DL21" t="e">
        <f>AND('Triple Unders'!M11,"AAAAAFP953M=")</f>
        <v>#VALUE!</v>
      </c>
      <c r="DM21">
        <f>IF('Triple Unders'!12:12,"AAAAAFP953Q=",0)</f>
        <v>0</v>
      </c>
      <c r="DN21" t="e">
        <f>AND('Triple Unders'!A12,"AAAAAFP953U=")</f>
        <v>#VALUE!</v>
      </c>
      <c r="DO21" t="e">
        <f>AND('Triple Unders'!B12,"AAAAAFP953Y=")</f>
        <v>#VALUE!</v>
      </c>
      <c r="DP21" t="e">
        <f>AND('Triple Unders'!C12,"AAAAAFP953c=")</f>
        <v>#VALUE!</v>
      </c>
      <c r="DQ21" t="e">
        <f>AND('Triple Unders'!D12,"AAAAAFP953g=")</f>
        <v>#VALUE!</v>
      </c>
      <c r="DR21" t="e">
        <f>AND('Triple Unders'!E12,"AAAAAFP953k=")</f>
        <v>#VALUE!</v>
      </c>
      <c r="DS21" t="e">
        <f>AND('Triple Unders'!F12,"AAAAAFP953o=")</f>
        <v>#VALUE!</v>
      </c>
      <c r="DT21" t="e">
        <f>AND('Triple Unders'!G12,"AAAAAFP953s=")</f>
        <v>#VALUE!</v>
      </c>
      <c r="DU21" t="e">
        <f>AND('Triple Unders'!H12,"AAAAAFP953w=")</f>
        <v>#VALUE!</v>
      </c>
      <c r="DV21" t="e">
        <f>AND('Triple Unders'!I12,"AAAAAFP9530=")</f>
        <v>#VALUE!</v>
      </c>
      <c r="DW21" t="e">
        <f>AND('Triple Unders'!J12,"AAAAAFP9534=")</f>
        <v>#VALUE!</v>
      </c>
      <c r="DX21" t="e">
        <f>AND('Triple Unders'!K12,"AAAAAFP9538=")</f>
        <v>#VALUE!</v>
      </c>
      <c r="DY21" t="e">
        <f>AND('Triple Unders'!L12,"AAAAAFP954A=")</f>
        <v>#VALUE!</v>
      </c>
      <c r="DZ21" t="e">
        <f>AND('Triple Unders'!M12,"AAAAAFP954E=")</f>
        <v>#VALUE!</v>
      </c>
      <c r="EA21">
        <f>IF('Triple Unders'!13:13,"AAAAAFP954I=",0)</f>
        <v>0</v>
      </c>
      <c r="EB21" t="e">
        <f>AND('Triple Unders'!A13,"AAAAAFP954M=")</f>
        <v>#VALUE!</v>
      </c>
      <c r="EC21" t="e">
        <f>AND('Triple Unders'!B13,"AAAAAFP954Q=")</f>
        <v>#VALUE!</v>
      </c>
      <c r="ED21" t="e">
        <f>AND('Triple Unders'!C13,"AAAAAFP954U=")</f>
        <v>#VALUE!</v>
      </c>
      <c r="EE21" t="e">
        <f>AND('Triple Unders'!D13,"AAAAAFP954Y=")</f>
        <v>#VALUE!</v>
      </c>
      <c r="EF21" t="e">
        <f>AND('Triple Unders'!E13,"AAAAAFP954c=")</f>
        <v>#VALUE!</v>
      </c>
      <c r="EG21" t="e">
        <f>AND('Triple Unders'!F13,"AAAAAFP954g=")</f>
        <v>#VALUE!</v>
      </c>
      <c r="EH21" t="e">
        <f>AND('Triple Unders'!G13,"AAAAAFP954k=")</f>
        <v>#VALUE!</v>
      </c>
      <c r="EI21" t="e">
        <f>AND('Triple Unders'!H13,"AAAAAFP954o=")</f>
        <v>#VALUE!</v>
      </c>
      <c r="EJ21" t="e">
        <f>AND('Triple Unders'!I13,"AAAAAFP954s=")</f>
        <v>#VALUE!</v>
      </c>
      <c r="EK21" t="e">
        <f>AND('Triple Unders'!J13,"AAAAAFP954w=")</f>
        <v>#VALUE!</v>
      </c>
      <c r="EL21" t="e">
        <f>AND('Triple Unders'!K13,"AAAAAFP9540=")</f>
        <v>#VALUE!</v>
      </c>
      <c r="EM21" t="e">
        <f>AND('Triple Unders'!L13,"AAAAAFP9544=")</f>
        <v>#VALUE!</v>
      </c>
      <c r="EN21" t="e">
        <f>AND('Triple Unders'!M13,"AAAAAFP9548=")</f>
        <v>#VALUE!</v>
      </c>
      <c r="EO21">
        <f>IF('Triple Unders'!14:14,"AAAAAFP955A=",0)</f>
        <v>0</v>
      </c>
      <c r="EP21" t="e">
        <f>AND('Triple Unders'!A14,"AAAAAFP955E=")</f>
        <v>#VALUE!</v>
      </c>
      <c r="EQ21" t="e">
        <f>AND('Triple Unders'!B14,"AAAAAFP955I=")</f>
        <v>#VALUE!</v>
      </c>
      <c r="ER21" t="e">
        <f>AND('Triple Unders'!C14,"AAAAAFP955M=")</f>
        <v>#VALUE!</v>
      </c>
      <c r="ES21" t="e">
        <f>AND('Triple Unders'!D14,"AAAAAFP955Q=")</f>
        <v>#VALUE!</v>
      </c>
      <c r="ET21" t="e">
        <f>AND('Triple Unders'!E14,"AAAAAFP955U=")</f>
        <v>#VALUE!</v>
      </c>
      <c r="EU21" t="e">
        <f>AND('Triple Unders'!F14,"AAAAAFP955Y=")</f>
        <v>#VALUE!</v>
      </c>
      <c r="EV21" t="e">
        <f>AND('Triple Unders'!G14,"AAAAAFP955c=")</f>
        <v>#VALUE!</v>
      </c>
      <c r="EW21" t="e">
        <f>AND('Triple Unders'!H14,"AAAAAFP955g=")</f>
        <v>#VALUE!</v>
      </c>
      <c r="EX21" t="e">
        <f>AND('Triple Unders'!I14,"AAAAAFP955k=")</f>
        <v>#VALUE!</v>
      </c>
      <c r="EY21" t="e">
        <f>AND('Triple Unders'!J14,"AAAAAFP955o=")</f>
        <v>#VALUE!</v>
      </c>
      <c r="EZ21" t="e">
        <f>AND('Triple Unders'!K14,"AAAAAFP955s=")</f>
        <v>#VALUE!</v>
      </c>
      <c r="FA21" t="e">
        <f>AND('Triple Unders'!L14,"AAAAAFP955w=")</f>
        <v>#VALUE!</v>
      </c>
      <c r="FB21" t="e">
        <f>AND('Triple Unders'!M14,"AAAAAFP9550=")</f>
        <v>#VALUE!</v>
      </c>
      <c r="FC21">
        <f>IF('Triple Unders'!15:15,"AAAAAFP9554=",0)</f>
        <v>0</v>
      </c>
      <c r="FD21" t="e">
        <f>AND('Triple Unders'!A15,"AAAAAFP9558=")</f>
        <v>#VALUE!</v>
      </c>
      <c r="FE21" t="e">
        <f>AND('Triple Unders'!B15,"AAAAAFP956A=")</f>
        <v>#VALUE!</v>
      </c>
      <c r="FF21" t="e">
        <f>AND('Triple Unders'!C15,"AAAAAFP956E=")</f>
        <v>#VALUE!</v>
      </c>
      <c r="FG21" t="e">
        <f>AND('Triple Unders'!D15,"AAAAAFP956I=")</f>
        <v>#VALUE!</v>
      </c>
      <c r="FH21" t="e">
        <f>AND('Triple Unders'!E15,"AAAAAFP956M=")</f>
        <v>#VALUE!</v>
      </c>
      <c r="FI21" t="e">
        <f>AND('Triple Unders'!F15,"AAAAAFP956Q=")</f>
        <v>#VALUE!</v>
      </c>
      <c r="FJ21" t="e">
        <f>AND('Triple Unders'!G15,"AAAAAFP956U=")</f>
        <v>#VALUE!</v>
      </c>
      <c r="FK21" t="e">
        <f>AND('Triple Unders'!H15,"AAAAAFP956Y=")</f>
        <v>#VALUE!</v>
      </c>
      <c r="FL21" t="e">
        <f>AND('Triple Unders'!I15,"AAAAAFP956c=")</f>
        <v>#VALUE!</v>
      </c>
      <c r="FM21" t="e">
        <f>AND('Triple Unders'!J15,"AAAAAFP956g=")</f>
        <v>#VALUE!</v>
      </c>
      <c r="FN21" t="e">
        <f>AND('Triple Unders'!K15,"AAAAAFP956k=")</f>
        <v>#VALUE!</v>
      </c>
      <c r="FO21" t="e">
        <f>AND('Triple Unders'!L15,"AAAAAFP956o=")</f>
        <v>#VALUE!</v>
      </c>
      <c r="FP21" t="e">
        <f>AND('Triple Unders'!M15,"AAAAAFP956s=")</f>
        <v>#VALUE!</v>
      </c>
      <c r="FQ21">
        <f>IF('Triple Unders'!16:16,"AAAAAFP956w=",0)</f>
        <v>0</v>
      </c>
      <c r="FR21" t="e">
        <f>AND('Triple Unders'!A16,"AAAAAFP9560=")</f>
        <v>#VALUE!</v>
      </c>
      <c r="FS21" t="e">
        <f>AND('Triple Unders'!B16,"AAAAAFP9564=")</f>
        <v>#VALUE!</v>
      </c>
      <c r="FT21" t="e">
        <f>AND('Triple Unders'!C16,"AAAAAFP9568=")</f>
        <v>#VALUE!</v>
      </c>
      <c r="FU21" t="e">
        <f>AND('Triple Unders'!D16,"AAAAAFP957A=")</f>
        <v>#VALUE!</v>
      </c>
      <c r="FV21" t="e">
        <f>AND('Triple Unders'!E16,"AAAAAFP957E=")</f>
        <v>#VALUE!</v>
      </c>
      <c r="FW21" t="e">
        <f>AND('Triple Unders'!F16,"AAAAAFP957I=")</f>
        <v>#VALUE!</v>
      </c>
      <c r="FX21" t="e">
        <f>AND('Triple Unders'!G16,"AAAAAFP957M=")</f>
        <v>#VALUE!</v>
      </c>
      <c r="FY21" t="e">
        <f>AND('Triple Unders'!H16,"AAAAAFP957Q=")</f>
        <v>#VALUE!</v>
      </c>
      <c r="FZ21" t="e">
        <f>AND('Triple Unders'!I16,"AAAAAFP957U=")</f>
        <v>#VALUE!</v>
      </c>
      <c r="GA21" t="e">
        <f>AND('Triple Unders'!J16,"AAAAAFP957Y=")</f>
        <v>#VALUE!</v>
      </c>
      <c r="GB21" t="e">
        <f>AND('Triple Unders'!K16,"AAAAAFP957c=")</f>
        <v>#VALUE!</v>
      </c>
      <c r="GC21" t="e">
        <f>AND('Triple Unders'!L16,"AAAAAFP957g=")</f>
        <v>#VALUE!</v>
      </c>
      <c r="GD21" t="e">
        <f>AND('Triple Unders'!M16,"AAAAAFP957k=")</f>
        <v>#VALUE!</v>
      </c>
      <c r="GE21">
        <f>IF('Triple Unders'!17:17,"AAAAAFP957o=",0)</f>
        <v>0</v>
      </c>
      <c r="GF21" t="e">
        <f>AND('Triple Unders'!A17,"AAAAAFP957s=")</f>
        <v>#VALUE!</v>
      </c>
      <c r="GG21" t="e">
        <f>AND('Triple Unders'!B17,"AAAAAFP957w=")</f>
        <v>#VALUE!</v>
      </c>
      <c r="GH21" t="e">
        <f>AND('Triple Unders'!C17,"AAAAAFP9570=")</f>
        <v>#VALUE!</v>
      </c>
      <c r="GI21" t="e">
        <f>AND('Triple Unders'!D17,"AAAAAFP9574=")</f>
        <v>#VALUE!</v>
      </c>
      <c r="GJ21" t="e">
        <f>AND('Triple Unders'!E17,"AAAAAFP9578=")</f>
        <v>#VALUE!</v>
      </c>
      <c r="GK21" t="e">
        <f>AND('Triple Unders'!F17,"AAAAAFP958A=")</f>
        <v>#VALUE!</v>
      </c>
      <c r="GL21" t="e">
        <f>AND('Triple Unders'!G17,"AAAAAFP958E=")</f>
        <v>#VALUE!</v>
      </c>
      <c r="GM21" t="e">
        <f>AND('Triple Unders'!H17,"AAAAAFP958I=")</f>
        <v>#VALUE!</v>
      </c>
      <c r="GN21" t="e">
        <f>AND('Triple Unders'!I17,"AAAAAFP958M=")</f>
        <v>#VALUE!</v>
      </c>
      <c r="GO21" t="e">
        <f>AND('Triple Unders'!J17,"AAAAAFP958Q=")</f>
        <v>#VALUE!</v>
      </c>
      <c r="GP21" t="e">
        <f>AND('Triple Unders'!K17,"AAAAAFP958U=")</f>
        <v>#VALUE!</v>
      </c>
      <c r="GQ21" t="e">
        <f>AND('Triple Unders'!L17,"AAAAAFP958Y=")</f>
        <v>#VALUE!</v>
      </c>
      <c r="GR21" t="e">
        <f>AND('Triple Unders'!M17,"AAAAAFP958c=")</f>
        <v>#VALUE!</v>
      </c>
      <c r="GS21">
        <f>IF('Triple Unders'!18:18,"AAAAAFP958g=",0)</f>
        <v>0</v>
      </c>
      <c r="GT21" t="e">
        <f>AND('Triple Unders'!A18,"AAAAAFP958k=")</f>
        <v>#VALUE!</v>
      </c>
      <c r="GU21" t="e">
        <f>AND('Triple Unders'!B18,"AAAAAFP958o=")</f>
        <v>#VALUE!</v>
      </c>
      <c r="GV21" t="e">
        <f>AND('Triple Unders'!C18,"AAAAAFP958s=")</f>
        <v>#VALUE!</v>
      </c>
      <c r="GW21" t="e">
        <f>AND('Triple Unders'!D18,"AAAAAFP958w=")</f>
        <v>#VALUE!</v>
      </c>
      <c r="GX21" t="e">
        <f>AND('Triple Unders'!E18,"AAAAAFP9580=")</f>
        <v>#VALUE!</v>
      </c>
      <c r="GY21" t="e">
        <f>AND('Triple Unders'!F18,"AAAAAFP9584=")</f>
        <v>#VALUE!</v>
      </c>
      <c r="GZ21" t="e">
        <f>AND('Triple Unders'!G18,"AAAAAFP9588=")</f>
        <v>#VALUE!</v>
      </c>
      <c r="HA21" t="e">
        <f>AND('Triple Unders'!H18,"AAAAAFP959A=")</f>
        <v>#VALUE!</v>
      </c>
      <c r="HB21" t="e">
        <f>AND('Triple Unders'!I18,"AAAAAFP959E=")</f>
        <v>#VALUE!</v>
      </c>
      <c r="HC21" t="e">
        <f>AND('Triple Unders'!J18,"AAAAAFP959I=")</f>
        <v>#VALUE!</v>
      </c>
      <c r="HD21" t="e">
        <f>AND('Triple Unders'!K18,"AAAAAFP959M=")</f>
        <v>#VALUE!</v>
      </c>
      <c r="HE21" t="e">
        <f>AND('Triple Unders'!L18,"AAAAAFP959Q=")</f>
        <v>#VALUE!</v>
      </c>
      <c r="HF21" t="e">
        <f>AND('Triple Unders'!M18,"AAAAAFP959U=")</f>
        <v>#VALUE!</v>
      </c>
      <c r="HG21">
        <f>IF('Triple Unders'!19:19,"AAAAAFP959Y=",0)</f>
        <v>0</v>
      </c>
      <c r="HH21" t="e">
        <f>AND('Triple Unders'!A19,"AAAAAFP959c=")</f>
        <v>#VALUE!</v>
      </c>
      <c r="HI21" t="e">
        <f>AND('Triple Unders'!B19,"AAAAAFP959g=")</f>
        <v>#VALUE!</v>
      </c>
      <c r="HJ21" t="e">
        <f>AND('Triple Unders'!C19,"AAAAAFP959k=")</f>
        <v>#VALUE!</v>
      </c>
      <c r="HK21" t="e">
        <f>AND('Triple Unders'!D19,"AAAAAFP959o=")</f>
        <v>#VALUE!</v>
      </c>
      <c r="HL21" t="e">
        <f>AND('Triple Unders'!E19,"AAAAAFP959s=")</f>
        <v>#VALUE!</v>
      </c>
      <c r="HM21" t="e">
        <f>AND('Triple Unders'!F19,"AAAAAFP959w=")</f>
        <v>#VALUE!</v>
      </c>
      <c r="HN21" t="e">
        <f>AND('Triple Unders'!G19,"AAAAAFP9590=")</f>
        <v>#VALUE!</v>
      </c>
      <c r="HO21" t="e">
        <f>AND('Triple Unders'!H19,"AAAAAFP9594=")</f>
        <v>#VALUE!</v>
      </c>
      <c r="HP21" t="e">
        <f>AND('Triple Unders'!I19,"AAAAAFP9598=")</f>
        <v>#VALUE!</v>
      </c>
      <c r="HQ21" t="e">
        <f>AND('Triple Unders'!J19,"AAAAAFP95+A=")</f>
        <v>#VALUE!</v>
      </c>
      <c r="HR21" t="e">
        <f>AND('Triple Unders'!K19,"AAAAAFP95+E=")</f>
        <v>#VALUE!</v>
      </c>
      <c r="HS21" t="e">
        <f>AND('Triple Unders'!L19,"AAAAAFP95+I=")</f>
        <v>#VALUE!</v>
      </c>
      <c r="HT21" t="e">
        <f>AND('Triple Unders'!M19,"AAAAAFP95+M=")</f>
        <v>#VALUE!</v>
      </c>
      <c r="HU21">
        <f>IF('Triple Unders'!20:20,"AAAAAFP95+Q=",0)</f>
        <v>0</v>
      </c>
      <c r="HV21" t="e">
        <f>AND('Triple Unders'!A20,"AAAAAFP95+U=")</f>
        <v>#VALUE!</v>
      </c>
      <c r="HW21" t="e">
        <f>AND('Triple Unders'!B20,"AAAAAFP95+Y=")</f>
        <v>#VALUE!</v>
      </c>
      <c r="HX21" t="e">
        <f>AND('Triple Unders'!C20,"AAAAAFP95+c=")</f>
        <v>#VALUE!</v>
      </c>
      <c r="HY21" t="e">
        <f>AND('Triple Unders'!D20,"AAAAAFP95+g=")</f>
        <v>#VALUE!</v>
      </c>
      <c r="HZ21" t="e">
        <f>AND('Triple Unders'!E20,"AAAAAFP95+k=")</f>
        <v>#VALUE!</v>
      </c>
      <c r="IA21" t="e">
        <f>AND('Triple Unders'!F20,"AAAAAFP95+o=")</f>
        <v>#VALUE!</v>
      </c>
      <c r="IB21" t="e">
        <f>AND('Triple Unders'!G20,"AAAAAFP95+s=")</f>
        <v>#VALUE!</v>
      </c>
      <c r="IC21" t="e">
        <f>AND('Triple Unders'!H20,"AAAAAFP95+w=")</f>
        <v>#VALUE!</v>
      </c>
      <c r="ID21" t="e">
        <f>AND('Triple Unders'!I20,"AAAAAFP95+0=")</f>
        <v>#VALUE!</v>
      </c>
      <c r="IE21" t="e">
        <f>AND('Triple Unders'!J20,"AAAAAFP95+4=")</f>
        <v>#VALUE!</v>
      </c>
      <c r="IF21" t="e">
        <f>AND('Triple Unders'!K20,"AAAAAFP95+8=")</f>
        <v>#VALUE!</v>
      </c>
      <c r="IG21" t="e">
        <f>AND('Triple Unders'!L20,"AAAAAFP95/A=")</f>
        <v>#VALUE!</v>
      </c>
      <c r="IH21" t="e">
        <f>AND('Triple Unders'!M20,"AAAAAFP95/E=")</f>
        <v>#VALUE!</v>
      </c>
      <c r="II21">
        <f>IF('Triple Unders'!25:25,"AAAAAFP95/I=",0)</f>
        <v>0</v>
      </c>
      <c r="IJ21" t="e">
        <f>AND('Triple Unders'!A25,"AAAAAFP95/M=")</f>
        <v>#VALUE!</v>
      </c>
      <c r="IK21" t="e">
        <f>AND('Triple Unders'!B25,"AAAAAFP95/Q=")</f>
        <v>#VALUE!</v>
      </c>
      <c r="IL21" t="e">
        <f>AND('Triple Unders'!C25,"AAAAAFP95/U=")</f>
        <v>#VALUE!</v>
      </c>
      <c r="IM21" t="e">
        <f>AND('Triple Unders'!D25,"AAAAAFP95/Y=")</f>
        <v>#VALUE!</v>
      </c>
      <c r="IN21" t="e">
        <f>AND('Triple Unders'!E25,"AAAAAFP95/c=")</f>
        <v>#VALUE!</v>
      </c>
      <c r="IO21" t="e">
        <f>AND('Triple Unders'!F25,"AAAAAFP95/g=")</f>
        <v>#VALUE!</v>
      </c>
      <c r="IP21" t="e">
        <f>AND('Triple Unders'!G25,"AAAAAFP95/k=")</f>
        <v>#VALUE!</v>
      </c>
      <c r="IQ21" t="e">
        <f>AND('Triple Unders'!H25,"AAAAAFP95/o=")</f>
        <v>#VALUE!</v>
      </c>
      <c r="IR21" t="e">
        <f>AND('Triple Unders'!I25,"AAAAAFP95/s=")</f>
        <v>#VALUE!</v>
      </c>
      <c r="IS21" t="e">
        <f>AND('Triple Unders'!J25,"AAAAAFP95/w=")</f>
        <v>#VALUE!</v>
      </c>
      <c r="IT21" t="e">
        <f>AND('Triple Unders'!K25,"AAAAAFP95/0=")</f>
        <v>#VALUE!</v>
      </c>
      <c r="IU21" t="e">
        <f>AND('Triple Unders'!L25,"AAAAAFP95/4=")</f>
        <v>#VALUE!</v>
      </c>
      <c r="IV21" t="e">
        <f>AND('Triple Unders'!M25,"AAAAAFP95/8=")</f>
        <v>#VALUE!</v>
      </c>
    </row>
    <row r="22" spans="1:256" x14ac:dyDescent="0.25">
      <c r="A22" t="e">
        <f>IF('Triple Unders'!26:26,"AAAAAEv+7wA=",0)</f>
        <v>#VALUE!</v>
      </c>
      <c r="B22" t="e">
        <f>AND('Triple Unders'!A26,"AAAAAEv+7wE=")</f>
        <v>#VALUE!</v>
      </c>
      <c r="C22" t="e">
        <f>AND('Triple Unders'!B26,"AAAAAEv+7wI=")</f>
        <v>#VALUE!</v>
      </c>
      <c r="D22" t="e">
        <f>AND('Triple Unders'!C26,"AAAAAEv+7wM=")</f>
        <v>#VALUE!</v>
      </c>
      <c r="E22" t="e">
        <f>AND('Triple Unders'!D26,"AAAAAEv+7wQ=")</f>
        <v>#VALUE!</v>
      </c>
      <c r="F22" t="e">
        <f>AND('Triple Unders'!E26,"AAAAAEv+7wU=")</f>
        <v>#VALUE!</v>
      </c>
      <c r="G22" t="e">
        <f>AND('Triple Unders'!F26,"AAAAAEv+7wY=")</f>
        <v>#VALUE!</v>
      </c>
      <c r="H22" t="e">
        <f>AND('Triple Unders'!G26,"AAAAAEv+7wc=")</f>
        <v>#VALUE!</v>
      </c>
      <c r="I22" t="e">
        <f>AND('Triple Unders'!H26,"AAAAAEv+7wg=")</f>
        <v>#VALUE!</v>
      </c>
      <c r="J22" t="e">
        <f>AND('Triple Unders'!I26,"AAAAAEv+7wk=")</f>
        <v>#VALUE!</v>
      </c>
      <c r="K22" t="e">
        <f>AND('Triple Unders'!J26,"AAAAAEv+7wo=")</f>
        <v>#VALUE!</v>
      </c>
      <c r="L22" t="e">
        <f>AND('Triple Unders'!K26,"AAAAAEv+7ws=")</f>
        <v>#VALUE!</v>
      </c>
      <c r="M22" t="e">
        <f>AND('Triple Unders'!L26,"AAAAAEv+7ww=")</f>
        <v>#VALUE!</v>
      </c>
      <c r="N22" t="e">
        <f>AND('Triple Unders'!M26,"AAAAAEv+7w0=")</f>
        <v>#VALUE!</v>
      </c>
      <c r="O22">
        <f>IF('Triple Unders'!27:27,"AAAAAEv+7w4=",0)</f>
        <v>0</v>
      </c>
      <c r="P22" t="e">
        <f>AND('Triple Unders'!A27,"AAAAAEv+7w8=")</f>
        <v>#VALUE!</v>
      </c>
      <c r="Q22" t="e">
        <f>AND('Triple Unders'!B27,"AAAAAEv+7xA=")</f>
        <v>#VALUE!</v>
      </c>
      <c r="R22" t="e">
        <f>AND('Triple Unders'!C27,"AAAAAEv+7xE=")</f>
        <v>#VALUE!</v>
      </c>
      <c r="S22" t="e">
        <f>AND('Triple Unders'!D27,"AAAAAEv+7xI=")</f>
        <v>#VALUE!</v>
      </c>
      <c r="T22" t="e">
        <f>AND('Triple Unders'!E27,"AAAAAEv+7xM=")</f>
        <v>#VALUE!</v>
      </c>
      <c r="U22" t="e">
        <f>AND('Triple Unders'!F27,"AAAAAEv+7xQ=")</f>
        <v>#VALUE!</v>
      </c>
      <c r="V22" t="e">
        <f>AND('Triple Unders'!G27,"AAAAAEv+7xU=")</f>
        <v>#VALUE!</v>
      </c>
      <c r="W22" t="e">
        <f>AND('Triple Unders'!H27,"AAAAAEv+7xY=")</f>
        <v>#VALUE!</v>
      </c>
      <c r="X22" t="e">
        <f>AND('Triple Unders'!I27,"AAAAAEv+7xc=")</f>
        <v>#VALUE!</v>
      </c>
      <c r="Y22" t="e">
        <f>AND('Triple Unders'!J27,"AAAAAEv+7xg=")</f>
        <v>#VALUE!</v>
      </c>
      <c r="Z22" t="e">
        <f>AND('Triple Unders'!K27,"AAAAAEv+7xk=")</f>
        <v>#VALUE!</v>
      </c>
      <c r="AA22" t="e">
        <f>AND('Triple Unders'!L27,"AAAAAEv+7xo=")</f>
        <v>#VALUE!</v>
      </c>
      <c r="AB22" t="e">
        <f>AND('Triple Unders'!M27,"AAAAAEv+7xs=")</f>
        <v>#VALUE!</v>
      </c>
      <c r="AC22">
        <f>IF('Triple Unders'!28:28,"AAAAAEv+7xw=",0)</f>
        <v>0</v>
      </c>
      <c r="AD22" t="e">
        <f>AND('Triple Unders'!A28,"AAAAAEv+7x0=")</f>
        <v>#VALUE!</v>
      </c>
      <c r="AE22" t="e">
        <f>AND('Triple Unders'!B28,"AAAAAEv+7x4=")</f>
        <v>#VALUE!</v>
      </c>
      <c r="AF22" t="e">
        <f>AND('Triple Unders'!C28,"AAAAAEv+7x8=")</f>
        <v>#VALUE!</v>
      </c>
      <c r="AG22" t="e">
        <f>AND('Triple Unders'!D28,"AAAAAEv+7yA=")</f>
        <v>#VALUE!</v>
      </c>
      <c r="AH22" t="e">
        <f>AND('Triple Unders'!E28,"AAAAAEv+7yE=")</f>
        <v>#VALUE!</v>
      </c>
      <c r="AI22" t="e">
        <f>AND('Triple Unders'!F28,"AAAAAEv+7yI=")</f>
        <v>#VALUE!</v>
      </c>
      <c r="AJ22" t="e">
        <f>AND('Triple Unders'!G28,"AAAAAEv+7yM=")</f>
        <v>#VALUE!</v>
      </c>
      <c r="AK22" t="e">
        <f>AND('Triple Unders'!H28,"AAAAAEv+7yQ=")</f>
        <v>#VALUE!</v>
      </c>
      <c r="AL22" t="e">
        <f>AND('Triple Unders'!I28,"AAAAAEv+7yU=")</f>
        <v>#VALUE!</v>
      </c>
      <c r="AM22" t="e">
        <f>AND('Triple Unders'!J28,"AAAAAEv+7yY=")</f>
        <v>#VALUE!</v>
      </c>
      <c r="AN22" t="e">
        <f>AND('Triple Unders'!K28,"AAAAAEv+7yc=")</f>
        <v>#VALUE!</v>
      </c>
      <c r="AO22" t="e">
        <f>AND('Triple Unders'!L28,"AAAAAEv+7yg=")</f>
        <v>#VALUE!</v>
      </c>
      <c r="AP22" t="e">
        <f>AND('Triple Unders'!M28,"AAAAAEv+7yk=")</f>
        <v>#VALUE!</v>
      </c>
      <c r="AQ22">
        <f>IF('Triple Unders'!29:29,"AAAAAEv+7yo=",0)</f>
        <v>0</v>
      </c>
      <c r="AR22" t="e">
        <f>AND('Triple Unders'!A29,"AAAAAEv+7ys=")</f>
        <v>#VALUE!</v>
      </c>
      <c r="AS22" t="e">
        <f>AND('Triple Unders'!B29,"AAAAAEv+7yw=")</f>
        <v>#VALUE!</v>
      </c>
      <c r="AT22" t="e">
        <f>AND('Triple Unders'!C29,"AAAAAEv+7y0=")</f>
        <v>#VALUE!</v>
      </c>
      <c r="AU22" t="e">
        <f>AND('Triple Unders'!D29,"AAAAAEv+7y4=")</f>
        <v>#VALUE!</v>
      </c>
      <c r="AV22" t="e">
        <f>AND('Triple Unders'!E29,"AAAAAEv+7y8=")</f>
        <v>#VALUE!</v>
      </c>
      <c r="AW22" t="e">
        <f>AND('Triple Unders'!F29,"AAAAAEv+7zA=")</f>
        <v>#VALUE!</v>
      </c>
      <c r="AX22" t="e">
        <f>AND('Triple Unders'!G29,"AAAAAEv+7zE=")</f>
        <v>#VALUE!</v>
      </c>
      <c r="AY22" t="e">
        <f>AND('Triple Unders'!H29,"AAAAAEv+7zI=")</f>
        <v>#VALUE!</v>
      </c>
      <c r="AZ22" t="e">
        <f>AND('Triple Unders'!I29,"AAAAAEv+7zM=")</f>
        <v>#VALUE!</v>
      </c>
      <c r="BA22" t="e">
        <f>AND('Triple Unders'!J29,"AAAAAEv+7zQ=")</f>
        <v>#VALUE!</v>
      </c>
      <c r="BB22" t="e">
        <f>AND('Triple Unders'!K29,"AAAAAEv+7zU=")</f>
        <v>#VALUE!</v>
      </c>
      <c r="BC22" t="e">
        <f>AND('Triple Unders'!L29,"AAAAAEv+7zY=")</f>
        <v>#VALUE!</v>
      </c>
      <c r="BD22" t="e">
        <f>AND('Triple Unders'!M29,"AAAAAEv+7zc=")</f>
        <v>#VALUE!</v>
      </c>
      <c r="BE22">
        <f>IF('Triple Unders'!30:30,"AAAAAEv+7zg=",0)</f>
        <v>0</v>
      </c>
      <c r="BF22" t="e">
        <f>AND('Triple Unders'!A30,"AAAAAEv+7zk=")</f>
        <v>#VALUE!</v>
      </c>
      <c r="BG22" t="e">
        <f>AND('Triple Unders'!B30,"AAAAAEv+7zo=")</f>
        <v>#VALUE!</v>
      </c>
      <c r="BH22" t="e">
        <f>AND('Triple Unders'!C30,"AAAAAEv+7zs=")</f>
        <v>#VALUE!</v>
      </c>
      <c r="BI22" t="e">
        <f>AND('Triple Unders'!D30,"AAAAAEv+7zw=")</f>
        <v>#VALUE!</v>
      </c>
      <c r="BJ22" t="e">
        <f>AND('Triple Unders'!E30,"AAAAAEv+7z0=")</f>
        <v>#VALUE!</v>
      </c>
      <c r="BK22" t="e">
        <f>AND('Triple Unders'!F30,"AAAAAEv+7z4=")</f>
        <v>#VALUE!</v>
      </c>
      <c r="BL22" t="e">
        <f>AND('Triple Unders'!G30,"AAAAAEv+7z8=")</f>
        <v>#VALUE!</v>
      </c>
      <c r="BM22" t="e">
        <f>AND('Triple Unders'!H30,"AAAAAEv+70A=")</f>
        <v>#VALUE!</v>
      </c>
      <c r="BN22" t="e">
        <f>AND('Triple Unders'!I30,"AAAAAEv+70E=")</f>
        <v>#VALUE!</v>
      </c>
      <c r="BO22" t="e">
        <f>AND('Triple Unders'!J30,"AAAAAEv+70I=")</f>
        <v>#VALUE!</v>
      </c>
      <c r="BP22" t="e">
        <f>AND('Triple Unders'!K30,"AAAAAEv+70M=")</f>
        <v>#VALUE!</v>
      </c>
      <c r="BQ22" t="e">
        <f>AND('Triple Unders'!L30,"AAAAAEv+70Q=")</f>
        <v>#VALUE!</v>
      </c>
      <c r="BR22" t="e">
        <f>AND('Triple Unders'!M30,"AAAAAEv+70U=")</f>
        <v>#VALUE!</v>
      </c>
      <c r="BS22">
        <f>IF('Triple Unders'!31:31,"AAAAAEv+70Y=",0)</f>
        <v>0</v>
      </c>
      <c r="BT22" t="e">
        <f>AND('Triple Unders'!A31,"AAAAAEv+70c=")</f>
        <v>#VALUE!</v>
      </c>
      <c r="BU22" t="e">
        <f>AND('Triple Unders'!B31,"AAAAAEv+70g=")</f>
        <v>#VALUE!</v>
      </c>
      <c r="BV22" t="e">
        <f>AND('Triple Unders'!C31,"AAAAAEv+70k=")</f>
        <v>#VALUE!</v>
      </c>
      <c r="BW22" t="e">
        <f>AND('Triple Unders'!D31,"AAAAAEv+70o=")</f>
        <v>#VALUE!</v>
      </c>
      <c r="BX22" t="e">
        <f>AND('Triple Unders'!E31,"AAAAAEv+70s=")</f>
        <v>#VALUE!</v>
      </c>
      <c r="BY22" t="e">
        <f>AND('Triple Unders'!F31,"AAAAAEv+70w=")</f>
        <v>#VALUE!</v>
      </c>
      <c r="BZ22" t="e">
        <f>AND('Triple Unders'!G31,"AAAAAEv+700=")</f>
        <v>#VALUE!</v>
      </c>
      <c r="CA22" t="e">
        <f>AND('Triple Unders'!H31,"AAAAAEv+704=")</f>
        <v>#VALUE!</v>
      </c>
      <c r="CB22" t="e">
        <f>AND('Triple Unders'!I31,"AAAAAEv+708=")</f>
        <v>#VALUE!</v>
      </c>
      <c r="CC22" t="e">
        <f>AND('Triple Unders'!J31,"AAAAAEv+71A=")</f>
        <v>#VALUE!</v>
      </c>
      <c r="CD22" t="e">
        <f>AND('Triple Unders'!K31,"AAAAAEv+71E=")</f>
        <v>#VALUE!</v>
      </c>
      <c r="CE22" t="e">
        <f>AND('Triple Unders'!L31,"AAAAAEv+71I=")</f>
        <v>#VALUE!</v>
      </c>
      <c r="CF22" t="e">
        <f>AND('Triple Unders'!M31,"AAAAAEv+71M=")</f>
        <v>#VALUE!</v>
      </c>
      <c r="CG22">
        <f>IF('Triple Unders'!32:32,"AAAAAEv+71Q=",0)</f>
        <v>0</v>
      </c>
      <c r="CH22" t="e">
        <f>AND('Triple Unders'!A32,"AAAAAEv+71U=")</f>
        <v>#VALUE!</v>
      </c>
      <c r="CI22" t="e">
        <f>AND('Triple Unders'!B32,"AAAAAEv+71Y=")</f>
        <v>#VALUE!</v>
      </c>
      <c r="CJ22" t="e">
        <f>AND('Triple Unders'!C32,"AAAAAEv+71c=")</f>
        <v>#VALUE!</v>
      </c>
      <c r="CK22" t="e">
        <f>AND('Triple Unders'!D32,"AAAAAEv+71g=")</f>
        <v>#VALUE!</v>
      </c>
      <c r="CL22" t="e">
        <f>AND('Triple Unders'!E32,"AAAAAEv+71k=")</f>
        <v>#VALUE!</v>
      </c>
      <c r="CM22" t="e">
        <f>AND('Triple Unders'!F32,"AAAAAEv+71o=")</f>
        <v>#VALUE!</v>
      </c>
      <c r="CN22" t="e">
        <f>AND('Triple Unders'!G32,"AAAAAEv+71s=")</f>
        <v>#VALUE!</v>
      </c>
      <c r="CO22" t="e">
        <f>AND('Triple Unders'!H32,"AAAAAEv+71w=")</f>
        <v>#VALUE!</v>
      </c>
      <c r="CP22" t="e">
        <f>AND('Triple Unders'!I32,"AAAAAEv+710=")</f>
        <v>#VALUE!</v>
      </c>
      <c r="CQ22" t="e">
        <f>AND('Triple Unders'!J32,"AAAAAEv+714=")</f>
        <v>#VALUE!</v>
      </c>
      <c r="CR22" t="e">
        <f>AND('Triple Unders'!K32,"AAAAAEv+718=")</f>
        <v>#VALUE!</v>
      </c>
      <c r="CS22" t="e">
        <f>AND('Triple Unders'!L32,"AAAAAEv+72A=")</f>
        <v>#VALUE!</v>
      </c>
      <c r="CT22" t="e">
        <f>AND('Triple Unders'!M32,"AAAAAEv+72E=")</f>
        <v>#VALUE!</v>
      </c>
      <c r="CU22">
        <f>IF('Triple Unders'!33:33,"AAAAAEv+72I=",0)</f>
        <v>0</v>
      </c>
      <c r="CV22" t="e">
        <f>AND('Triple Unders'!A33,"AAAAAEv+72M=")</f>
        <v>#VALUE!</v>
      </c>
      <c r="CW22" t="e">
        <f>AND('Triple Unders'!B33,"AAAAAEv+72Q=")</f>
        <v>#VALUE!</v>
      </c>
      <c r="CX22" t="e">
        <f>AND('Triple Unders'!C33,"AAAAAEv+72U=")</f>
        <v>#VALUE!</v>
      </c>
      <c r="CY22" t="e">
        <f>AND('Triple Unders'!D33,"AAAAAEv+72Y=")</f>
        <v>#VALUE!</v>
      </c>
      <c r="CZ22" t="e">
        <f>AND('Triple Unders'!E33,"AAAAAEv+72c=")</f>
        <v>#VALUE!</v>
      </c>
      <c r="DA22" t="e">
        <f>AND('Triple Unders'!F33,"AAAAAEv+72g=")</f>
        <v>#VALUE!</v>
      </c>
      <c r="DB22" t="e">
        <f>AND('Triple Unders'!G33,"AAAAAEv+72k=")</f>
        <v>#VALUE!</v>
      </c>
      <c r="DC22" t="e">
        <f>AND('Triple Unders'!H33,"AAAAAEv+72o=")</f>
        <v>#VALUE!</v>
      </c>
      <c r="DD22" t="e">
        <f>AND('Triple Unders'!I33,"AAAAAEv+72s=")</f>
        <v>#VALUE!</v>
      </c>
      <c r="DE22" t="e">
        <f>AND('Triple Unders'!J33,"AAAAAEv+72w=")</f>
        <v>#VALUE!</v>
      </c>
      <c r="DF22" t="e">
        <f>AND('Triple Unders'!K33,"AAAAAEv+720=")</f>
        <v>#VALUE!</v>
      </c>
      <c r="DG22" t="e">
        <f>AND('Triple Unders'!L33,"AAAAAEv+724=")</f>
        <v>#VALUE!</v>
      </c>
      <c r="DH22" t="e">
        <f>AND('Triple Unders'!M33,"AAAAAEv+728=")</f>
        <v>#VALUE!</v>
      </c>
      <c r="DI22">
        <f>IF('Triple Unders'!34:34,"AAAAAEv+73A=",0)</f>
        <v>0</v>
      </c>
      <c r="DJ22" t="e">
        <f>AND('Triple Unders'!A34,"AAAAAEv+73E=")</f>
        <v>#VALUE!</v>
      </c>
      <c r="DK22" t="e">
        <f>AND('Triple Unders'!B34,"AAAAAEv+73I=")</f>
        <v>#VALUE!</v>
      </c>
      <c r="DL22" t="e">
        <f>AND('Triple Unders'!C34,"AAAAAEv+73M=")</f>
        <v>#VALUE!</v>
      </c>
      <c r="DM22" t="e">
        <f>AND('Triple Unders'!D34,"AAAAAEv+73Q=")</f>
        <v>#VALUE!</v>
      </c>
      <c r="DN22" t="e">
        <f>AND('Triple Unders'!E34,"AAAAAEv+73U=")</f>
        <v>#VALUE!</v>
      </c>
      <c r="DO22" t="e">
        <f>AND('Triple Unders'!F34,"AAAAAEv+73Y=")</f>
        <v>#VALUE!</v>
      </c>
      <c r="DP22" t="e">
        <f>AND('Triple Unders'!G34,"AAAAAEv+73c=")</f>
        <v>#VALUE!</v>
      </c>
      <c r="DQ22" t="e">
        <f>AND('Triple Unders'!H34,"AAAAAEv+73g=")</f>
        <v>#VALUE!</v>
      </c>
      <c r="DR22" t="e">
        <f>AND('Triple Unders'!I34,"AAAAAEv+73k=")</f>
        <v>#VALUE!</v>
      </c>
      <c r="DS22" t="e">
        <f>AND('Triple Unders'!J34,"AAAAAEv+73o=")</f>
        <v>#VALUE!</v>
      </c>
      <c r="DT22" t="e">
        <f>AND('Triple Unders'!K34,"AAAAAEv+73s=")</f>
        <v>#VALUE!</v>
      </c>
      <c r="DU22" t="e">
        <f>AND('Triple Unders'!L34,"AAAAAEv+73w=")</f>
        <v>#VALUE!</v>
      </c>
      <c r="DV22" t="e">
        <f>AND('Triple Unders'!M34,"AAAAAEv+730=")</f>
        <v>#VALUE!</v>
      </c>
      <c r="DW22">
        <f>IF('Triple Unders'!35:35,"AAAAAEv+734=",0)</f>
        <v>0</v>
      </c>
      <c r="DX22" t="e">
        <f>AND('Triple Unders'!A35,"AAAAAEv+738=")</f>
        <v>#VALUE!</v>
      </c>
      <c r="DY22" t="e">
        <f>AND('Triple Unders'!B35,"AAAAAEv+74A=")</f>
        <v>#VALUE!</v>
      </c>
      <c r="DZ22" t="e">
        <f>AND('Triple Unders'!C35,"AAAAAEv+74E=")</f>
        <v>#VALUE!</v>
      </c>
      <c r="EA22" t="e">
        <f>AND('Triple Unders'!D35,"AAAAAEv+74I=")</f>
        <v>#VALUE!</v>
      </c>
      <c r="EB22" t="e">
        <f>AND('Triple Unders'!E35,"AAAAAEv+74M=")</f>
        <v>#VALUE!</v>
      </c>
      <c r="EC22" t="e">
        <f>AND('Triple Unders'!F35,"AAAAAEv+74Q=")</f>
        <v>#VALUE!</v>
      </c>
      <c r="ED22" t="e">
        <f>AND('Triple Unders'!G35,"AAAAAEv+74U=")</f>
        <v>#VALUE!</v>
      </c>
      <c r="EE22" t="e">
        <f>AND('Triple Unders'!H35,"AAAAAEv+74Y=")</f>
        <v>#VALUE!</v>
      </c>
      <c r="EF22" t="e">
        <f>AND('Triple Unders'!I35,"AAAAAEv+74c=")</f>
        <v>#VALUE!</v>
      </c>
      <c r="EG22" t="e">
        <f>AND('Triple Unders'!J35,"AAAAAEv+74g=")</f>
        <v>#VALUE!</v>
      </c>
      <c r="EH22" t="e">
        <f>AND('Triple Unders'!K35,"AAAAAEv+74k=")</f>
        <v>#VALUE!</v>
      </c>
      <c r="EI22" t="e">
        <f>AND('Triple Unders'!L35,"AAAAAEv+74o=")</f>
        <v>#VALUE!</v>
      </c>
      <c r="EJ22" t="e">
        <f>AND('Triple Unders'!M35,"AAAAAEv+74s=")</f>
        <v>#VALUE!</v>
      </c>
      <c r="EK22">
        <f>IF('Triple Unders'!36:36,"AAAAAEv+74w=",0)</f>
        <v>0</v>
      </c>
      <c r="EL22" t="e">
        <f>AND('Triple Unders'!A36,"AAAAAEv+740=")</f>
        <v>#VALUE!</v>
      </c>
      <c r="EM22" t="e">
        <f>AND('Triple Unders'!B36,"AAAAAEv+744=")</f>
        <v>#VALUE!</v>
      </c>
      <c r="EN22" t="e">
        <f>AND('Triple Unders'!C36,"AAAAAEv+748=")</f>
        <v>#VALUE!</v>
      </c>
      <c r="EO22" t="e">
        <f>AND('Triple Unders'!D36,"AAAAAEv+75A=")</f>
        <v>#VALUE!</v>
      </c>
      <c r="EP22" t="e">
        <f>AND('Triple Unders'!E36,"AAAAAEv+75E=")</f>
        <v>#VALUE!</v>
      </c>
      <c r="EQ22" t="e">
        <f>AND('Triple Unders'!F36,"AAAAAEv+75I=")</f>
        <v>#VALUE!</v>
      </c>
      <c r="ER22" t="e">
        <f>AND('Triple Unders'!G36,"AAAAAEv+75M=")</f>
        <v>#VALUE!</v>
      </c>
      <c r="ES22" t="e">
        <f>AND('Triple Unders'!H36,"AAAAAEv+75Q=")</f>
        <v>#VALUE!</v>
      </c>
      <c r="ET22" t="e">
        <f>AND('Triple Unders'!I36,"AAAAAEv+75U=")</f>
        <v>#VALUE!</v>
      </c>
      <c r="EU22" t="e">
        <f>AND('Triple Unders'!J36,"AAAAAEv+75Y=")</f>
        <v>#VALUE!</v>
      </c>
      <c r="EV22" t="e">
        <f>AND('Triple Unders'!K36,"AAAAAEv+75c=")</f>
        <v>#VALUE!</v>
      </c>
      <c r="EW22" t="e">
        <f>AND('Triple Unders'!L36,"AAAAAEv+75g=")</f>
        <v>#VALUE!</v>
      </c>
      <c r="EX22" t="e">
        <f>AND('Triple Unders'!M36,"AAAAAEv+75k=")</f>
        <v>#VALUE!</v>
      </c>
      <c r="EY22">
        <f>IF('Triple Unders'!37:37,"AAAAAEv+75o=",0)</f>
        <v>0</v>
      </c>
      <c r="EZ22" t="e">
        <f>AND('Triple Unders'!A37,"AAAAAEv+75s=")</f>
        <v>#VALUE!</v>
      </c>
      <c r="FA22" t="e">
        <f>AND('Triple Unders'!B37,"AAAAAEv+75w=")</f>
        <v>#VALUE!</v>
      </c>
      <c r="FB22" t="e">
        <f>AND('Triple Unders'!C37,"AAAAAEv+750=")</f>
        <v>#VALUE!</v>
      </c>
      <c r="FC22" t="e">
        <f>AND('Triple Unders'!D37,"AAAAAEv+754=")</f>
        <v>#VALUE!</v>
      </c>
      <c r="FD22" t="e">
        <f>AND('Triple Unders'!E37,"AAAAAEv+758=")</f>
        <v>#VALUE!</v>
      </c>
      <c r="FE22" t="e">
        <f>AND('Triple Unders'!F37,"AAAAAEv+76A=")</f>
        <v>#VALUE!</v>
      </c>
      <c r="FF22" t="e">
        <f>AND('Triple Unders'!G37,"AAAAAEv+76E=")</f>
        <v>#VALUE!</v>
      </c>
      <c r="FG22" t="e">
        <f>AND('Triple Unders'!H37,"AAAAAEv+76I=")</f>
        <v>#VALUE!</v>
      </c>
      <c r="FH22" t="e">
        <f>AND('Triple Unders'!I37,"AAAAAEv+76M=")</f>
        <v>#VALUE!</v>
      </c>
      <c r="FI22" t="e">
        <f>AND('Triple Unders'!J37,"AAAAAEv+76Q=")</f>
        <v>#VALUE!</v>
      </c>
      <c r="FJ22" t="e">
        <f>AND('Triple Unders'!K37,"AAAAAEv+76U=")</f>
        <v>#VALUE!</v>
      </c>
      <c r="FK22" t="e">
        <f>AND('Triple Unders'!L37,"AAAAAEv+76Y=")</f>
        <v>#VALUE!</v>
      </c>
      <c r="FL22" t="e">
        <f>AND('Triple Unders'!M37,"AAAAAEv+76c=")</f>
        <v>#VALUE!</v>
      </c>
      <c r="FM22">
        <f>IF('Triple Unders'!38:38,"AAAAAEv+76g=",0)</f>
        <v>0</v>
      </c>
      <c r="FN22" t="e">
        <f>AND('Triple Unders'!A38,"AAAAAEv+76k=")</f>
        <v>#VALUE!</v>
      </c>
      <c r="FO22" t="e">
        <f>AND('Triple Unders'!B38,"AAAAAEv+76o=")</f>
        <v>#VALUE!</v>
      </c>
      <c r="FP22" t="e">
        <f>AND('Triple Unders'!C38,"AAAAAEv+76s=")</f>
        <v>#VALUE!</v>
      </c>
      <c r="FQ22" t="e">
        <f>AND('Triple Unders'!D38,"AAAAAEv+76w=")</f>
        <v>#VALUE!</v>
      </c>
      <c r="FR22" t="e">
        <f>AND('Triple Unders'!E38,"AAAAAEv+760=")</f>
        <v>#VALUE!</v>
      </c>
      <c r="FS22" t="e">
        <f>AND('Triple Unders'!F38,"AAAAAEv+764=")</f>
        <v>#VALUE!</v>
      </c>
      <c r="FT22" t="e">
        <f>AND('Triple Unders'!G38,"AAAAAEv+768=")</f>
        <v>#VALUE!</v>
      </c>
      <c r="FU22" t="e">
        <f>AND('Triple Unders'!H38,"AAAAAEv+77A=")</f>
        <v>#VALUE!</v>
      </c>
      <c r="FV22" t="e">
        <f>AND('Triple Unders'!I38,"AAAAAEv+77E=")</f>
        <v>#VALUE!</v>
      </c>
      <c r="FW22" t="e">
        <f>AND('Triple Unders'!J38,"AAAAAEv+77I=")</f>
        <v>#VALUE!</v>
      </c>
      <c r="FX22" t="e">
        <f>AND('Triple Unders'!K38,"AAAAAEv+77M=")</f>
        <v>#VALUE!</v>
      </c>
      <c r="FY22" t="e">
        <f>AND('Triple Unders'!L38,"AAAAAEv+77Q=")</f>
        <v>#VALUE!</v>
      </c>
      <c r="FZ22" t="e">
        <f>AND('Triple Unders'!M38,"AAAAAEv+77U=")</f>
        <v>#VALUE!</v>
      </c>
      <c r="GA22">
        <f>IF('Triple Unders'!39:39,"AAAAAEv+77Y=",0)</f>
        <v>0</v>
      </c>
      <c r="GB22" t="e">
        <f>AND('Triple Unders'!A39,"AAAAAEv+77c=")</f>
        <v>#VALUE!</v>
      </c>
      <c r="GC22" t="e">
        <f>AND('Triple Unders'!B39,"AAAAAEv+77g=")</f>
        <v>#VALUE!</v>
      </c>
      <c r="GD22" t="e">
        <f>AND('Triple Unders'!C39,"AAAAAEv+77k=")</f>
        <v>#VALUE!</v>
      </c>
      <c r="GE22" t="e">
        <f>AND('Triple Unders'!D39,"AAAAAEv+77o=")</f>
        <v>#VALUE!</v>
      </c>
      <c r="GF22" t="e">
        <f>AND('Triple Unders'!E39,"AAAAAEv+77s=")</f>
        <v>#VALUE!</v>
      </c>
      <c r="GG22" t="e">
        <f>AND('Triple Unders'!F39,"AAAAAEv+77w=")</f>
        <v>#VALUE!</v>
      </c>
      <c r="GH22" t="e">
        <f>AND('Triple Unders'!G39,"AAAAAEv+770=")</f>
        <v>#VALUE!</v>
      </c>
      <c r="GI22" t="e">
        <f>AND('Triple Unders'!H39,"AAAAAEv+774=")</f>
        <v>#VALUE!</v>
      </c>
      <c r="GJ22" t="e">
        <f>AND('Triple Unders'!I39,"AAAAAEv+778=")</f>
        <v>#VALUE!</v>
      </c>
      <c r="GK22" t="e">
        <f>AND('Triple Unders'!J39,"AAAAAEv+78A=")</f>
        <v>#VALUE!</v>
      </c>
      <c r="GL22" t="e">
        <f>AND('Triple Unders'!K39,"AAAAAEv+78E=")</f>
        <v>#VALUE!</v>
      </c>
      <c r="GM22" t="e">
        <f>AND('Triple Unders'!L39,"AAAAAEv+78I=")</f>
        <v>#VALUE!</v>
      </c>
      <c r="GN22" t="e">
        <f>AND('Triple Unders'!M39,"AAAAAEv+78M=")</f>
        <v>#VALUE!</v>
      </c>
      <c r="GO22">
        <f>IF('Triple Unders'!40:40,"AAAAAEv+78Q=",0)</f>
        <v>0</v>
      </c>
      <c r="GP22" t="e">
        <f>AND('Triple Unders'!A40,"AAAAAEv+78U=")</f>
        <v>#VALUE!</v>
      </c>
      <c r="GQ22" t="e">
        <f>AND('Triple Unders'!B40,"AAAAAEv+78Y=")</f>
        <v>#VALUE!</v>
      </c>
      <c r="GR22" t="e">
        <f>AND('Triple Unders'!C40,"AAAAAEv+78c=")</f>
        <v>#VALUE!</v>
      </c>
      <c r="GS22" t="e">
        <f>AND('Triple Unders'!D40,"AAAAAEv+78g=")</f>
        <v>#VALUE!</v>
      </c>
      <c r="GT22" t="e">
        <f>AND('Triple Unders'!E40,"AAAAAEv+78k=")</f>
        <v>#VALUE!</v>
      </c>
      <c r="GU22" t="e">
        <f>AND('Triple Unders'!F40,"AAAAAEv+78o=")</f>
        <v>#VALUE!</v>
      </c>
      <c r="GV22" t="e">
        <f>AND('Triple Unders'!G40,"AAAAAEv+78s=")</f>
        <v>#VALUE!</v>
      </c>
      <c r="GW22" t="e">
        <f>AND('Triple Unders'!H40,"AAAAAEv+78w=")</f>
        <v>#VALUE!</v>
      </c>
      <c r="GX22" t="e">
        <f>AND('Triple Unders'!I40,"AAAAAEv+780=")</f>
        <v>#VALUE!</v>
      </c>
      <c r="GY22" t="e">
        <f>AND('Triple Unders'!J40,"AAAAAEv+784=")</f>
        <v>#VALUE!</v>
      </c>
      <c r="GZ22" t="e">
        <f>AND('Triple Unders'!K40,"AAAAAEv+788=")</f>
        <v>#VALUE!</v>
      </c>
      <c r="HA22" t="e">
        <f>AND('Triple Unders'!L40,"AAAAAEv+79A=")</f>
        <v>#VALUE!</v>
      </c>
      <c r="HB22" t="e">
        <f>AND('Triple Unders'!M40,"AAAAAEv+79E=")</f>
        <v>#VALUE!</v>
      </c>
      <c r="HC22">
        <f>IF('Triple Unders'!41:41,"AAAAAEv+79I=",0)</f>
        <v>0</v>
      </c>
      <c r="HD22" t="e">
        <f>AND('Triple Unders'!A41,"AAAAAEv+79M=")</f>
        <v>#VALUE!</v>
      </c>
      <c r="HE22" t="e">
        <f>AND('Triple Unders'!B41,"AAAAAEv+79Q=")</f>
        <v>#VALUE!</v>
      </c>
      <c r="HF22" t="e">
        <f>AND('Triple Unders'!C41,"AAAAAEv+79U=")</f>
        <v>#VALUE!</v>
      </c>
      <c r="HG22" t="e">
        <f>AND('Triple Unders'!D41,"AAAAAEv+79Y=")</f>
        <v>#VALUE!</v>
      </c>
      <c r="HH22" t="e">
        <f>AND('Triple Unders'!E41,"AAAAAEv+79c=")</f>
        <v>#VALUE!</v>
      </c>
      <c r="HI22" t="e">
        <f>AND('Triple Unders'!F41,"AAAAAEv+79g=")</f>
        <v>#VALUE!</v>
      </c>
      <c r="HJ22" t="e">
        <f>AND('Triple Unders'!G41,"AAAAAEv+79k=")</f>
        <v>#VALUE!</v>
      </c>
      <c r="HK22" t="e">
        <f>AND('Triple Unders'!H41,"AAAAAEv+79o=")</f>
        <v>#VALUE!</v>
      </c>
      <c r="HL22" t="e">
        <f>AND('Triple Unders'!I41,"AAAAAEv+79s=")</f>
        <v>#VALUE!</v>
      </c>
      <c r="HM22" t="e">
        <f>AND('Triple Unders'!J41,"AAAAAEv+79w=")</f>
        <v>#VALUE!</v>
      </c>
      <c r="HN22" t="e">
        <f>AND('Triple Unders'!K41,"AAAAAEv+790=")</f>
        <v>#VALUE!</v>
      </c>
      <c r="HO22" t="e">
        <f>AND('Triple Unders'!L41,"AAAAAEv+794=")</f>
        <v>#VALUE!</v>
      </c>
      <c r="HP22" t="e">
        <f>AND('Triple Unders'!M41,"AAAAAEv+798=")</f>
        <v>#VALUE!</v>
      </c>
      <c r="HQ22">
        <f>IF('Triple Unders'!42:42,"AAAAAEv+7+A=",0)</f>
        <v>0</v>
      </c>
      <c r="HR22" t="e">
        <f>AND('Triple Unders'!A42,"AAAAAEv+7+E=")</f>
        <v>#VALUE!</v>
      </c>
      <c r="HS22" t="e">
        <f>AND('Triple Unders'!B42,"AAAAAEv+7+I=")</f>
        <v>#VALUE!</v>
      </c>
      <c r="HT22" t="e">
        <f>AND('Triple Unders'!C42,"AAAAAEv+7+M=")</f>
        <v>#VALUE!</v>
      </c>
      <c r="HU22" t="e">
        <f>AND('Triple Unders'!D42,"AAAAAEv+7+Q=")</f>
        <v>#VALUE!</v>
      </c>
      <c r="HV22" t="e">
        <f>AND('Triple Unders'!E42,"AAAAAEv+7+U=")</f>
        <v>#VALUE!</v>
      </c>
      <c r="HW22" t="e">
        <f>AND('Triple Unders'!F42,"AAAAAEv+7+Y=")</f>
        <v>#VALUE!</v>
      </c>
      <c r="HX22" t="e">
        <f>AND('Triple Unders'!G42,"AAAAAEv+7+c=")</f>
        <v>#VALUE!</v>
      </c>
      <c r="HY22" t="e">
        <f>AND('Triple Unders'!H42,"AAAAAEv+7+g=")</f>
        <v>#VALUE!</v>
      </c>
      <c r="HZ22" t="e">
        <f>AND('Triple Unders'!I42,"AAAAAEv+7+k=")</f>
        <v>#VALUE!</v>
      </c>
      <c r="IA22" t="e">
        <f>AND('Triple Unders'!J42,"AAAAAEv+7+o=")</f>
        <v>#VALUE!</v>
      </c>
      <c r="IB22" t="e">
        <f>AND('Triple Unders'!K42,"AAAAAEv+7+s=")</f>
        <v>#VALUE!</v>
      </c>
      <c r="IC22" t="e">
        <f>AND('Triple Unders'!L42,"AAAAAEv+7+w=")</f>
        <v>#VALUE!</v>
      </c>
      <c r="ID22" t="e">
        <f>AND('Triple Unders'!M42,"AAAAAEv+7+0=")</f>
        <v>#VALUE!</v>
      </c>
      <c r="IE22">
        <f>IF('Triple Unders'!43:43,"AAAAAEv+7+4=",0)</f>
        <v>0</v>
      </c>
      <c r="IF22" t="e">
        <f>AND('Triple Unders'!A43,"AAAAAEv+7+8=")</f>
        <v>#VALUE!</v>
      </c>
      <c r="IG22" t="e">
        <f>AND('Triple Unders'!B43,"AAAAAEv+7/A=")</f>
        <v>#VALUE!</v>
      </c>
      <c r="IH22" t="e">
        <f>AND('Triple Unders'!C43,"AAAAAEv+7/E=")</f>
        <v>#VALUE!</v>
      </c>
      <c r="II22" t="e">
        <f>AND('Triple Unders'!D43,"AAAAAEv+7/I=")</f>
        <v>#VALUE!</v>
      </c>
      <c r="IJ22" t="e">
        <f>AND('Triple Unders'!E43,"AAAAAEv+7/M=")</f>
        <v>#VALUE!</v>
      </c>
      <c r="IK22" t="e">
        <f>AND('Triple Unders'!F43,"AAAAAEv+7/Q=")</f>
        <v>#VALUE!</v>
      </c>
      <c r="IL22" t="e">
        <f>AND('Triple Unders'!G43,"AAAAAEv+7/U=")</f>
        <v>#VALUE!</v>
      </c>
      <c r="IM22" t="e">
        <f>AND('Triple Unders'!H43,"AAAAAEv+7/Y=")</f>
        <v>#VALUE!</v>
      </c>
      <c r="IN22" t="e">
        <f>AND('Triple Unders'!I43,"AAAAAEv+7/c=")</f>
        <v>#VALUE!</v>
      </c>
      <c r="IO22" t="e">
        <f>AND('Triple Unders'!J43,"AAAAAEv+7/g=")</f>
        <v>#VALUE!</v>
      </c>
      <c r="IP22" t="e">
        <f>AND('Triple Unders'!K43,"AAAAAEv+7/k=")</f>
        <v>#VALUE!</v>
      </c>
      <c r="IQ22" t="e">
        <f>AND('Triple Unders'!L43,"AAAAAEv+7/o=")</f>
        <v>#VALUE!</v>
      </c>
      <c r="IR22" t="e">
        <f>AND('Triple Unders'!M43,"AAAAAEv+7/s=")</f>
        <v>#VALUE!</v>
      </c>
      <c r="IS22">
        <f>IF('Triple Unders'!44:44,"AAAAAEv+7/w=",0)</f>
        <v>0</v>
      </c>
      <c r="IT22" t="e">
        <f>AND('Triple Unders'!A44,"AAAAAEv+7/0=")</f>
        <v>#VALUE!</v>
      </c>
      <c r="IU22" t="e">
        <f>AND('Triple Unders'!B44,"AAAAAEv+7/4=")</f>
        <v>#VALUE!</v>
      </c>
      <c r="IV22" t="e">
        <f>AND('Triple Unders'!C44,"AAAAAEv+7/8=")</f>
        <v>#VALUE!</v>
      </c>
    </row>
    <row r="23" spans="1:256" x14ac:dyDescent="0.25">
      <c r="A23" t="e">
        <f>AND('Triple Unders'!D44,"AAAAAGc/9wA=")</f>
        <v>#VALUE!</v>
      </c>
      <c r="B23" t="e">
        <f>AND('Triple Unders'!E44,"AAAAAGc/9wE=")</f>
        <v>#VALUE!</v>
      </c>
      <c r="C23" t="e">
        <f>AND('Triple Unders'!F44,"AAAAAGc/9wI=")</f>
        <v>#VALUE!</v>
      </c>
      <c r="D23" t="e">
        <f>AND('Triple Unders'!G44,"AAAAAGc/9wM=")</f>
        <v>#VALUE!</v>
      </c>
      <c r="E23" t="e">
        <f>AND('Triple Unders'!H44,"AAAAAGc/9wQ=")</f>
        <v>#VALUE!</v>
      </c>
      <c r="F23" t="e">
        <f>AND('Triple Unders'!I44,"AAAAAGc/9wU=")</f>
        <v>#VALUE!</v>
      </c>
      <c r="G23" t="e">
        <f>AND('Triple Unders'!J44,"AAAAAGc/9wY=")</f>
        <v>#VALUE!</v>
      </c>
      <c r="H23" t="e">
        <f>AND('Triple Unders'!K44,"AAAAAGc/9wc=")</f>
        <v>#VALUE!</v>
      </c>
      <c r="I23" t="e">
        <f>AND('Triple Unders'!L44,"AAAAAGc/9wg=")</f>
        <v>#VALUE!</v>
      </c>
      <c r="J23" t="e">
        <f>AND('Triple Unders'!M44,"AAAAAGc/9wk=")</f>
        <v>#VALUE!</v>
      </c>
      <c r="K23">
        <f>IF('Triple Unders'!45:45,"AAAAAGc/9wo=",0)</f>
        <v>0</v>
      </c>
      <c r="L23" t="e">
        <f>AND('Triple Unders'!A45,"AAAAAGc/9ws=")</f>
        <v>#VALUE!</v>
      </c>
      <c r="M23" t="e">
        <f>AND('Triple Unders'!B45,"AAAAAGc/9ww=")</f>
        <v>#VALUE!</v>
      </c>
      <c r="N23" t="e">
        <f>AND('Triple Unders'!C45,"AAAAAGc/9w0=")</f>
        <v>#VALUE!</v>
      </c>
      <c r="O23" t="e">
        <f>AND('Triple Unders'!D45,"AAAAAGc/9w4=")</f>
        <v>#VALUE!</v>
      </c>
      <c r="P23" t="e">
        <f>AND('Triple Unders'!E45,"AAAAAGc/9w8=")</f>
        <v>#VALUE!</v>
      </c>
      <c r="Q23" t="e">
        <f>AND('Triple Unders'!F45,"AAAAAGc/9xA=")</f>
        <v>#VALUE!</v>
      </c>
      <c r="R23" t="e">
        <f>AND('Triple Unders'!G45,"AAAAAGc/9xE=")</f>
        <v>#VALUE!</v>
      </c>
      <c r="S23" t="e">
        <f>AND('Triple Unders'!H45,"AAAAAGc/9xI=")</f>
        <v>#VALUE!</v>
      </c>
      <c r="T23" t="e">
        <f>AND('Triple Unders'!I45,"AAAAAGc/9xM=")</f>
        <v>#VALUE!</v>
      </c>
      <c r="U23" t="e">
        <f>AND('Triple Unders'!J45,"AAAAAGc/9xQ=")</f>
        <v>#VALUE!</v>
      </c>
      <c r="V23" t="e">
        <f>AND('Triple Unders'!K45,"AAAAAGc/9xU=")</f>
        <v>#VALUE!</v>
      </c>
      <c r="W23" t="e">
        <f>AND('Triple Unders'!L45,"AAAAAGc/9xY=")</f>
        <v>#VALUE!</v>
      </c>
      <c r="X23" t="e">
        <f>AND('Triple Unders'!M45,"AAAAAGc/9xc=")</f>
        <v>#VALUE!</v>
      </c>
      <c r="Y23" t="str">
        <f>IF('Triple Unders'!A:A,"AAAAAGc/9xg=",0)</f>
        <v>AAAAAGc/9xg=</v>
      </c>
      <c r="Z23" t="e">
        <f>IF('Triple Unders'!B:B,"AAAAAGc/9xk=",0)</f>
        <v>#VALUE!</v>
      </c>
      <c r="AA23" t="e">
        <f>IF('Triple Unders'!C:C,"AAAAAGc/9xo=",0)</f>
        <v>#VALUE!</v>
      </c>
      <c r="AB23">
        <f>IF('Triple Unders'!D:D,"AAAAAGc/9xs=",0)</f>
        <v>0</v>
      </c>
      <c r="AC23" t="e">
        <f>IF('Triple Unders'!E:E,"AAAAAGc/9xw=",0)</f>
        <v>#VALUE!</v>
      </c>
      <c r="AD23" t="e">
        <f>IF('Triple Unders'!F:F,"AAAAAGc/9x0=",0)</f>
        <v>#VALUE!</v>
      </c>
      <c r="AE23">
        <f>IF('Triple Unders'!G:G,"AAAAAGc/9x4=",0)</f>
        <v>0</v>
      </c>
      <c r="AF23" t="str">
        <f>IF('Triple Unders'!H:H,"AAAAAGc/9x8=",0)</f>
        <v>AAAAAGc/9x8=</v>
      </c>
      <c r="AG23" t="e">
        <f>IF('Triple Unders'!I:I,"AAAAAGc/9yA=",0)</f>
        <v>#VALUE!</v>
      </c>
      <c r="AH23" t="e">
        <f>IF('Triple Unders'!J:J,"AAAAAGc/9yE=",0)</f>
        <v>#VALUE!</v>
      </c>
      <c r="AI23">
        <f>IF('Triple Unders'!K:K,"AAAAAGc/9yI=",0)</f>
        <v>0</v>
      </c>
      <c r="AJ23" t="e">
        <f>IF('Triple Unders'!L:L,"AAAAAGc/9yM=",0)</f>
        <v>#VALUE!</v>
      </c>
      <c r="AK23" t="e">
        <f>IF('Triple Unders'!M:M,"AAAAAGc/9yQ=",0)</f>
        <v>#VALUE!</v>
      </c>
      <c r="AL23">
        <f>IF('SR Speed Relay'!1:1,"AAAAAGc/9yU=",0)</f>
        <v>0</v>
      </c>
      <c r="AM23" t="e">
        <f>AND('SR Speed Relay'!A1,"AAAAAGc/9yY=")</f>
        <v>#VALUE!</v>
      </c>
      <c r="AN23" t="e">
        <f>AND('SR Speed Relay'!B1,"AAAAAGc/9yc=")</f>
        <v>#VALUE!</v>
      </c>
      <c r="AO23" t="e">
        <f>AND('SR Speed Relay'!C1,"AAAAAGc/9yg=")</f>
        <v>#VALUE!</v>
      </c>
      <c r="AP23" t="e">
        <f>AND('SR Speed Relay'!D1,"AAAAAGc/9yk=")</f>
        <v>#VALUE!</v>
      </c>
      <c r="AQ23" t="e">
        <f>AND('SR Speed Relay'!E1,"AAAAAGc/9yo=")</f>
        <v>#VALUE!</v>
      </c>
      <c r="AR23" t="e">
        <f>AND('SR Speed Relay'!F1,"AAAAAGc/9ys=")</f>
        <v>#VALUE!</v>
      </c>
      <c r="AS23" t="e">
        <f>AND('SR Speed Relay'!G1,"AAAAAGc/9yw=")</f>
        <v>#VALUE!</v>
      </c>
      <c r="AT23" t="e">
        <f>AND('SR Speed Relay'!H1,"AAAAAGc/9y0=")</f>
        <v>#VALUE!</v>
      </c>
      <c r="AU23" t="e">
        <f>AND('SR Speed Relay'!I1,"AAAAAGc/9y4=")</f>
        <v>#VALUE!</v>
      </c>
      <c r="AV23" t="e">
        <f>AND('SR Speed Relay'!J1,"AAAAAGc/9y8=")</f>
        <v>#VALUE!</v>
      </c>
      <c r="AW23" t="e">
        <f>AND('SR Speed Relay'!K1,"AAAAAGc/9zA=")</f>
        <v>#VALUE!</v>
      </c>
      <c r="AX23">
        <f>IF('SR Speed Relay'!2:2,"AAAAAGc/9zE=",0)</f>
        <v>0</v>
      </c>
      <c r="AY23" t="e">
        <f>AND('SR Speed Relay'!A2,"AAAAAGc/9zI=")</f>
        <v>#VALUE!</v>
      </c>
      <c r="AZ23" t="e">
        <f>AND('SR Speed Relay'!B2,"AAAAAGc/9zM=")</f>
        <v>#VALUE!</v>
      </c>
      <c r="BA23" t="e">
        <f>AND('SR Speed Relay'!C2,"AAAAAGc/9zQ=")</f>
        <v>#VALUE!</v>
      </c>
      <c r="BB23" t="e">
        <f>AND('SR Speed Relay'!D2,"AAAAAGc/9zU=")</f>
        <v>#VALUE!</v>
      </c>
      <c r="BC23" t="e">
        <f>AND('SR Speed Relay'!E2,"AAAAAGc/9zY=")</f>
        <v>#VALUE!</v>
      </c>
      <c r="BD23" t="e">
        <f>AND('SR Speed Relay'!F2,"AAAAAGc/9zc=")</f>
        <v>#VALUE!</v>
      </c>
      <c r="BE23" t="e">
        <f>AND('SR Speed Relay'!G2,"AAAAAGc/9zg=")</f>
        <v>#VALUE!</v>
      </c>
      <c r="BF23" t="e">
        <f>AND('SR Speed Relay'!H2,"AAAAAGc/9zk=")</f>
        <v>#VALUE!</v>
      </c>
      <c r="BG23" t="e">
        <f>AND('SR Speed Relay'!I2,"AAAAAGc/9zo=")</f>
        <v>#VALUE!</v>
      </c>
      <c r="BH23" t="e">
        <f>AND('SR Speed Relay'!J2,"AAAAAGc/9zs=")</f>
        <v>#VALUE!</v>
      </c>
      <c r="BI23" t="e">
        <f>AND('SR Speed Relay'!K2,"AAAAAGc/9zw=")</f>
        <v>#VALUE!</v>
      </c>
      <c r="BJ23">
        <f>IF('SR Speed Relay'!17:17,"AAAAAGc/9z0=",0)</f>
        <v>0</v>
      </c>
      <c r="BK23" t="e">
        <f>AND('SR Speed Relay'!A17,"AAAAAGc/9z4=")</f>
        <v>#VALUE!</v>
      </c>
      <c r="BL23" t="e">
        <f>AND('SR Speed Relay'!B17,"AAAAAGc/9z8=")</f>
        <v>#VALUE!</v>
      </c>
      <c r="BM23" t="e">
        <f>AND('SR Speed Relay'!C17,"AAAAAGc/90A=")</f>
        <v>#VALUE!</v>
      </c>
      <c r="BN23" t="e">
        <f>AND('SR Speed Relay'!D17,"AAAAAGc/90E=")</f>
        <v>#VALUE!</v>
      </c>
      <c r="BO23" t="e">
        <f>AND('SR Speed Relay'!E17,"AAAAAGc/90I=")</f>
        <v>#VALUE!</v>
      </c>
      <c r="BP23" t="e">
        <f>AND('SR Speed Relay'!F17,"AAAAAGc/90M=")</f>
        <v>#VALUE!</v>
      </c>
      <c r="BQ23" t="e">
        <f>AND('SR Speed Relay'!G17,"AAAAAGc/90Q=")</f>
        <v>#VALUE!</v>
      </c>
      <c r="BR23" t="e">
        <f>AND('SR Speed Relay'!H17,"AAAAAGc/90U=")</f>
        <v>#VALUE!</v>
      </c>
      <c r="BS23" t="e">
        <f>AND('SR Speed Relay'!I17,"AAAAAGc/90Y=")</f>
        <v>#VALUE!</v>
      </c>
      <c r="BT23" t="e">
        <f>AND('SR Speed Relay'!J17,"AAAAAGc/90c=")</f>
        <v>#VALUE!</v>
      </c>
      <c r="BU23" t="e">
        <f>AND('SR Speed Relay'!K17,"AAAAAGc/90g=")</f>
        <v>#VALUE!</v>
      </c>
      <c r="BV23">
        <f>IF('SR Speed Relay'!18:18,"AAAAAGc/90k=",0)</f>
        <v>0</v>
      </c>
      <c r="BW23" t="e">
        <f>AND('SR Speed Relay'!A18,"AAAAAGc/90o=")</f>
        <v>#VALUE!</v>
      </c>
      <c r="BX23" t="e">
        <f>AND('SR Speed Relay'!B18,"AAAAAGc/90s=")</f>
        <v>#VALUE!</v>
      </c>
      <c r="BY23" t="e">
        <f>AND('SR Speed Relay'!C18,"AAAAAGc/90w=")</f>
        <v>#VALUE!</v>
      </c>
      <c r="BZ23" t="e">
        <f>AND('SR Speed Relay'!D18,"AAAAAGc/900=")</f>
        <v>#VALUE!</v>
      </c>
      <c r="CA23" t="e">
        <f>AND('SR Speed Relay'!E18,"AAAAAGc/904=")</f>
        <v>#VALUE!</v>
      </c>
      <c r="CB23" t="e">
        <f>AND('SR Speed Relay'!F18,"AAAAAGc/908=")</f>
        <v>#VALUE!</v>
      </c>
      <c r="CC23" t="e">
        <f>AND('SR Speed Relay'!G18,"AAAAAGc/91A=")</f>
        <v>#VALUE!</v>
      </c>
      <c r="CD23" t="e">
        <f>AND('SR Speed Relay'!H18,"AAAAAGc/91E=")</f>
        <v>#VALUE!</v>
      </c>
      <c r="CE23" t="e">
        <f>AND('SR Speed Relay'!I18,"AAAAAGc/91I=")</f>
        <v>#VALUE!</v>
      </c>
      <c r="CF23" t="e">
        <f>AND('SR Speed Relay'!J18,"AAAAAGc/91M=")</f>
        <v>#VALUE!</v>
      </c>
      <c r="CG23" t="e">
        <f>AND('SR Speed Relay'!K18,"AAAAAGc/91Q=")</f>
        <v>#VALUE!</v>
      </c>
      <c r="CH23">
        <f>IF('SR Speed Relay'!19:19,"AAAAAGc/91U=",0)</f>
        <v>0</v>
      </c>
      <c r="CI23" t="e">
        <f>AND('SR Speed Relay'!A19,"AAAAAGc/91Y=")</f>
        <v>#VALUE!</v>
      </c>
      <c r="CJ23" t="e">
        <f>AND('SR Speed Relay'!B19,"AAAAAGc/91c=")</f>
        <v>#VALUE!</v>
      </c>
      <c r="CK23" t="e">
        <f>AND('SR Speed Relay'!C19,"AAAAAGc/91g=")</f>
        <v>#VALUE!</v>
      </c>
      <c r="CL23" t="e">
        <f>AND('SR Speed Relay'!D19,"AAAAAGc/91k=")</f>
        <v>#VALUE!</v>
      </c>
      <c r="CM23" t="e">
        <f>AND('SR Speed Relay'!E19,"AAAAAGc/91o=")</f>
        <v>#VALUE!</v>
      </c>
      <c r="CN23" t="e">
        <f>AND('SR Speed Relay'!F19,"AAAAAGc/91s=")</f>
        <v>#VALUE!</v>
      </c>
      <c r="CO23" t="e">
        <f>AND('SR Speed Relay'!G19,"AAAAAGc/91w=")</f>
        <v>#VALUE!</v>
      </c>
      <c r="CP23" t="e">
        <f>AND('SR Speed Relay'!H19,"AAAAAGc/910=")</f>
        <v>#VALUE!</v>
      </c>
      <c r="CQ23" t="e">
        <f>AND('SR Speed Relay'!I19,"AAAAAGc/914=")</f>
        <v>#VALUE!</v>
      </c>
      <c r="CR23" t="e">
        <f>AND('SR Speed Relay'!J19,"AAAAAGc/918=")</f>
        <v>#VALUE!</v>
      </c>
      <c r="CS23" t="e">
        <f>AND('SR Speed Relay'!K19,"AAAAAGc/92A=")</f>
        <v>#VALUE!</v>
      </c>
      <c r="CT23">
        <f>IF('SR Speed Relay'!20:20,"AAAAAGc/92E=",0)</f>
        <v>0</v>
      </c>
      <c r="CU23" t="e">
        <f>AND('SR Speed Relay'!A20,"AAAAAGc/92I=")</f>
        <v>#VALUE!</v>
      </c>
      <c r="CV23" t="e">
        <f>AND('SR Speed Relay'!B20,"AAAAAGc/92M=")</f>
        <v>#VALUE!</v>
      </c>
      <c r="CW23" t="e">
        <f>AND('SR Speed Relay'!C20,"AAAAAGc/92Q=")</f>
        <v>#VALUE!</v>
      </c>
      <c r="CX23" t="e">
        <f>AND('SR Speed Relay'!D20,"AAAAAGc/92U=")</f>
        <v>#VALUE!</v>
      </c>
      <c r="CY23" t="e">
        <f>AND('SR Speed Relay'!E20,"AAAAAGc/92Y=")</f>
        <v>#VALUE!</v>
      </c>
      <c r="CZ23" t="e">
        <f>AND('SR Speed Relay'!F20,"AAAAAGc/92c=")</f>
        <v>#VALUE!</v>
      </c>
      <c r="DA23" t="e">
        <f>AND('SR Speed Relay'!G20,"AAAAAGc/92g=")</f>
        <v>#VALUE!</v>
      </c>
      <c r="DB23" t="e">
        <f>AND('SR Speed Relay'!H20,"AAAAAGc/92k=")</f>
        <v>#VALUE!</v>
      </c>
      <c r="DC23" t="e">
        <f>AND('SR Speed Relay'!I20,"AAAAAGc/92o=")</f>
        <v>#VALUE!</v>
      </c>
      <c r="DD23" t="e">
        <f>AND('SR Speed Relay'!J20,"AAAAAGc/92s=")</f>
        <v>#VALUE!</v>
      </c>
      <c r="DE23" t="e">
        <f>AND('SR Speed Relay'!K20,"AAAAAGc/92w=")</f>
        <v>#VALUE!</v>
      </c>
      <c r="DF23">
        <f>IF('SR Speed Relay'!21:21,"AAAAAGc/920=",0)</f>
        <v>0</v>
      </c>
      <c r="DG23" t="e">
        <f>AND('SR Speed Relay'!A21,"AAAAAGc/924=")</f>
        <v>#VALUE!</v>
      </c>
      <c r="DH23" t="e">
        <f>AND('SR Speed Relay'!B21,"AAAAAGc/928=")</f>
        <v>#VALUE!</v>
      </c>
      <c r="DI23" t="e">
        <f>AND('SR Speed Relay'!C21,"AAAAAGc/93A=")</f>
        <v>#VALUE!</v>
      </c>
      <c r="DJ23" t="e">
        <f>AND('SR Speed Relay'!D21,"AAAAAGc/93E=")</f>
        <v>#VALUE!</v>
      </c>
      <c r="DK23" t="e">
        <f>AND('SR Speed Relay'!E21,"AAAAAGc/93I=")</f>
        <v>#VALUE!</v>
      </c>
      <c r="DL23" t="e">
        <f>AND('SR Speed Relay'!F21,"AAAAAGc/93M=")</f>
        <v>#VALUE!</v>
      </c>
      <c r="DM23" t="e">
        <f>AND('SR Speed Relay'!G21,"AAAAAGc/93Q=")</f>
        <v>#VALUE!</v>
      </c>
      <c r="DN23" t="e">
        <f>AND('SR Speed Relay'!H21,"AAAAAGc/93U=")</f>
        <v>#VALUE!</v>
      </c>
      <c r="DO23" t="e">
        <f>AND('SR Speed Relay'!I21,"AAAAAGc/93Y=")</f>
        <v>#VALUE!</v>
      </c>
      <c r="DP23" t="e">
        <f>AND('SR Speed Relay'!J21,"AAAAAGc/93c=")</f>
        <v>#VALUE!</v>
      </c>
      <c r="DQ23" t="e">
        <f>AND('SR Speed Relay'!K21,"AAAAAGc/93g=")</f>
        <v>#VALUE!</v>
      </c>
      <c r="DR23">
        <f>IF('SR Speed Relay'!22:22,"AAAAAGc/93k=",0)</f>
        <v>0</v>
      </c>
      <c r="DS23" t="e">
        <f>AND('SR Speed Relay'!A22,"AAAAAGc/93o=")</f>
        <v>#VALUE!</v>
      </c>
      <c r="DT23" t="e">
        <f>AND('SR Speed Relay'!B22,"AAAAAGc/93s=")</f>
        <v>#VALUE!</v>
      </c>
      <c r="DU23" t="e">
        <f>AND('SR Speed Relay'!C22,"AAAAAGc/93w=")</f>
        <v>#VALUE!</v>
      </c>
      <c r="DV23" t="e">
        <f>AND('SR Speed Relay'!D22,"AAAAAGc/930=")</f>
        <v>#VALUE!</v>
      </c>
      <c r="DW23" t="e">
        <f>AND('SR Speed Relay'!E22,"AAAAAGc/934=")</f>
        <v>#VALUE!</v>
      </c>
      <c r="DX23" t="e">
        <f>AND('SR Speed Relay'!F22,"AAAAAGc/938=")</f>
        <v>#VALUE!</v>
      </c>
      <c r="DY23" t="e">
        <f>AND('SR Speed Relay'!G22,"AAAAAGc/94A=")</f>
        <v>#VALUE!</v>
      </c>
      <c r="DZ23" t="e">
        <f>AND('SR Speed Relay'!H22,"AAAAAGc/94E=")</f>
        <v>#VALUE!</v>
      </c>
      <c r="EA23" t="e">
        <f>AND('SR Speed Relay'!I22,"AAAAAGc/94I=")</f>
        <v>#VALUE!</v>
      </c>
      <c r="EB23" t="e">
        <f>AND('SR Speed Relay'!J22,"AAAAAGc/94M=")</f>
        <v>#VALUE!</v>
      </c>
      <c r="EC23" t="e">
        <f>AND('SR Speed Relay'!K22,"AAAAAGc/94Q=")</f>
        <v>#VALUE!</v>
      </c>
      <c r="ED23">
        <f>IF('SR Speed Relay'!23:23,"AAAAAGc/94U=",0)</f>
        <v>0</v>
      </c>
      <c r="EE23" t="e">
        <f>AND('SR Speed Relay'!A23,"AAAAAGc/94Y=")</f>
        <v>#VALUE!</v>
      </c>
      <c r="EF23" t="e">
        <f>AND('SR Speed Relay'!B23,"AAAAAGc/94c=")</f>
        <v>#VALUE!</v>
      </c>
      <c r="EG23" t="e">
        <f>AND('SR Speed Relay'!C23,"AAAAAGc/94g=")</f>
        <v>#VALUE!</v>
      </c>
      <c r="EH23" t="e">
        <f>AND('SR Speed Relay'!D23,"AAAAAGc/94k=")</f>
        <v>#VALUE!</v>
      </c>
      <c r="EI23" t="e">
        <f>AND('SR Speed Relay'!E23,"AAAAAGc/94o=")</f>
        <v>#VALUE!</v>
      </c>
      <c r="EJ23" t="e">
        <f>AND('SR Speed Relay'!F23,"AAAAAGc/94s=")</f>
        <v>#VALUE!</v>
      </c>
      <c r="EK23" t="e">
        <f>AND('SR Speed Relay'!G23,"AAAAAGc/94w=")</f>
        <v>#VALUE!</v>
      </c>
      <c r="EL23" t="e">
        <f>AND('SR Speed Relay'!H23,"AAAAAGc/940=")</f>
        <v>#VALUE!</v>
      </c>
      <c r="EM23" t="e">
        <f>AND('SR Speed Relay'!I23,"AAAAAGc/944=")</f>
        <v>#VALUE!</v>
      </c>
      <c r="EN23" t="e">
        <f>AND('SR Speed Relay'!J23,"AAAAAGc/948=")</f>
        <v>#VALUE!</v>
      </c>
      <c r="EO23" t="e">
        <f>AND('SR Speed Relay'!K23,"AAAAAGc/95A=")</f>
        <v>#VALUE!</v>
      </c>
      <c r="EP23">
        <f>IF('SR Speed Relay'!24:24,"AAAAAGc/95E=",0)</f>
        <v>0</v>
      </c>
      <c r="EQ23" t="e">
        <f>AND('SR Speed Relay'!A24,"AAAAAGc/95I=")</f>
        <v>#VALUE!</v>
      </c>
      <c r="ER23" t="e">
        <f>AND('SR Speed Relay'!B24,"AAAAAGc/95M=")</f>
        <v>#VALUE!</v>
      </c>
      <c r="ES23" t="e">
        <f>AND('SR Speed Relay'!C24,"AAAAAGc/95Q=")</f>
        <v>#VALUE!</v>
      </c>
      <c r="ET23" t="e">
        <f>AND('SR Speed Relay'!D24,"AAAAAGc/95U=")</f>
        <v>#VALUE!</v>
      </c>
      <c r="EU23" t="e">
        <f>AND('SR Speed Relay'!E24,"AAAAAGc/95Y=")</f>
        <v>#VALUE!</v>
      </c>
      <c r="EV23" t="e">
        <f>AND('SR Speed Relay'!F24,"AAAAAGc/95c=")</f>
        <v>#VALUE!</v>
      </c>
      <c r="EW23" t="e">
        <f>AND('SR Speed Relay'!G24,"AAAAAGc/95g=")</f>
        <v>#VALUE!</v>
      </c>
      <c r="EX23" t="e">
        <f>AND('SR Speed Relay'!H24,"AAAAAGc/95k=")</f>
        <v>#VALUE!</v>
      </c>
      <c r="EY23" t="e">
        <f>AND('SR Speed Relay'!I24,"AAAAAGc/95o=")</f>
        <v>#VALUE!</v>
      </c>
      <c r="EZ23" t="e">
        <f>AND('SR Speed Relay'!J24,"AAAAAGc/95s=")</f>
        <v>#VALUE!</v>
      </c>
      <c r="FA23" t="e">
        <f>AND('SR Speed Relay'!K24,"AAAAAGc/95w=")</f>
        <v>#VALUE!</v>
      </c>
      <c r="FB23">
        <f>IF('SR Speed Relay'!25:25,"AAAAAGc/950=",0)</f>
        <v>0</v>
      </c>
      <c r="FC23" t="e">
        <f>AND('SR Speed Relay'!A25,"AAAAAGc/954=")</f>
        <v>#VALUE!</v>
      </c>
      <c r="FD23" t="e">
        <f>AND('SR Speed Relay'!B25,"AAAAAGc/958=")</f>
        <v>#VALUE!</v>
      </c>
      <c r="FE23" t="e">
        <f>AND('SR Speed Relay'!C25,"AAAAAGc/96A=")</f>
        <v>#VALUE!</v>
      </c>
      <c r="FF23" t="e">
        <f>AND('SR Speed Relay'!D25,"AAAAAGc/96E=")</f>
        <v>#VALUE!</v>
      </c>
      <c r="FG23" t="e">
        <f>AND('SR Speed Relay'!E25,"AAAAAGc/96I=")</f>
        <v>#VALUE!</v>
      </c>
      <c r="FH23" t="e">
        <f>AND('SR Speed Relay'!F25,"AAAAAGc/96M=")</f>
        <v>#VALUE!</v>
      </c>
      <c r="FI23" t="e">
        <f>AND('SR Speed Relay'!G25,"AAAAAGc/96Q=")</f>
        <v>#VALUE!</v>
      </c>
      <c r="FJ23" t="e">
        <f>AND('SR Speed Relay'!H25,"AAAAAGc/96U=")</f>
        <v>#VALUE!</v>
      </c>
      <c r="FK23" t="e">
        <f>AND('SR Speed Relay'!I25,"AAAAAGc/96Y=")</f>
        <v>#VALUE!</v>
      </c>
      <c r="FL23" t="e">
        <f>AND('SR Speed Relay'!J25,"AAAAAGc/96c=")</f>
        <v>#VALUE!</v>
      </c>
      <c r="FM23" t="e">
        <f>AND('SR Speed Relay'!K25,"AAAAAGc/96g=")</f>
        <v>#VALUE!</v>
      </c>
      <c r="FN23">
        <f>IF('SR Speed Relay'!26:26,"AAAAAGc/96k=",0)</f>
        <v>0</v>
      </c>
      <c r="FO23" t="e">
        <f>AND('SR Speed Relay'!A26,"AAAAAGc/96o=")</f>
        <v>#VALUE!</v>
      </c>
      <c r="FP23" t="e">
        <f>AND('SR Speed Relay'!B26,"AAAAAGc/96s=")</f>
        <v>#VALUE!</v>
      </c>
      <c r="FQ23" t="e">
        <f>AND('SR Speed Relay'!C26,"AAAAAGc/96w=")</f>
        <v>#VALUE!</v>
      </c>
      <c r="FR23" t="e">
        <f>AND('SR Speed Relay'!D26,"AAAAAGc/960=")</f>
        <v>#VALUE!</v>
      </c>
      <c r="FS23" t="e">
        <f>AND('SR Speed Relay'!E26,"AAAAAGc/964=")</f>
        <v>#VALUE!</v>
      </c>
      <c r="FT23" t="e">
        <f>AND('SR Speed Relay'!F26,"AAAAAGc/968=")</f>
        <v>#VALUE!</v>
      </c>
      <c r="FU23" t="e">
        <f>AND('SR Speed Relay'!G26,"AAAAAGc/97A=")</f>
        <v>#VALUE!</v>
      </c>
      <c r="FV23" t="e">
        <f>AND('SR Speed Relay'!H26,"AAAAAGc/97E=")</f>
        <v>#VALUE!</v>
      </c>
      <c r="FW23" t="e">
        <f>AND('SR Speed Relay'!I26,"AAAAAGc/97I=")</f>
        <v>#VALUE!</v>
      </c>
      <c r="FX23" t="e">
        <f>AND('SR Speed Relay'!J26,"AAAAAGc/97M=")</f>
        <v>#VALUE!</v>
      </c>
      <c r="FY23" t="e">
        <f>AND('SR Speed Relay'!K26,"AAAAAGc/97Q=")</f>
        <v>#VALUE!</v>
      </c>
      <c r="FZ23">
        <f>IF('SR Speed Relay'!31:31,"AAAAAGc/97U=",0)</f>
        <v>0</v>
      </c>
      <c r="GA23" t="e">
        <f>AND('SR Speed Relay'!A31,"AAAAAGc/97Y=")</f>
        <v>#VALUE!</v>
      </c>
      <c r="GB23" t="e">
        <f>AND('SR Speed Relay'!B31,"AAAAAGc/97c=")</f>
        <v>#VALUE!</v>
      </c>
      <c r="GC23" t="e">
        <f>AND('SR Speed Relay'!C31,"AAAAAGc/97g=")</f>
        <v>#VALUE!</v>
      </c>
      <c r="GD23" t="e">
        <f>AND('SR Speed Relay'!D31,"AAAAAGc/97k=")</f>
        <v>#VALUE!</v>
      </c>
      <c r="GE23" t="e">
        <f>AND('SR Speed Relay'!E31,"AAAAAGc/97o=")</f>
        <v>#VALUE!</v>
      </c>
      <c r="GF23" t="e">
        <f>AND('SR Speed Relay'!F31,"AAAAAGc/97s=")</f>
        <v>#VALUE!</v>
      </c>
      <c r="GG23" t="e">
        <f>AND('SR Speed Relay'!G31,"AAAAAGc/97w=")</f>
        <v>#VALUE!</v>
      </c>
      <c r="GH23" t="e">
        <f>AND('SR Speed Relay'!H31,"AAAAAGc/970=")</f>
        <v>#VALUE!</v>
      </c>
      <c r="GI23" t="e">
        <f>AND('SR Speed Relay'!I31,"AAAAAGc/974=")</f>
        <v>#VALUE!</v>
      </c>
      <c r="GJ23" t="e">
        <f>AND('SR Speed Relay'!J31,"AAAAAGc/978=")</f>
        <v>#VALUE!</v>
      </c>
      <c r="GK23" t="e">
        <f>AND('SR Speed Relay'!K31,"AAAAAGc/98A=")</f>
        <v>#VALUE!</v>
      </c>
      <c r="GL23">
        <f>IF('SR Speed Relay'!32:32,"AAAAAGc/98E=",0)</f>
        <v>0</v>
      </c>
      <c r="GM23" t="e">
        <f>AND('SR Speed Relay'!A32,"AAAAAGc/98I=")</f>
        <v>#VALUE!</v>
      </c>
      <c r="GN23" t="e">
        <f>AND('SR Speed Relay'!B32,"AAAAAGc/98M=")</f>
        <v>#VALUE!</v>
      </c>
      <c r="GO23" t="e">
        <f>AND('SR Speed Relay'!C32,"AAAAAGc/98Q=")</f>
        <v>#VALUE!</v>
      </c>
      <c r="GP23" t="e">
        <f>AND('SR Speed Relay'!D32,"AAAAAGc/98U=")</f>
        <v>#VALUE!</v>
      </c>
      <c r="GQ23" t="e">
        <f>AND('SR Speed Relay'!E32,"AAAAAGc/98Y=")</f>
        <v>#VALUE!</v>
      </c>
      <c r="GR23" t="e">
        <f>AND('SR Speed Relay'!F32,"AAAAAGc/98c=")</f>
        <v>#VALUE!</v>
      </c>
      <c r="GS23" t="e">
        <f>AND('SR Speed Relay'!G32,"AAAAAGc/98g=")</f>
        <v>#VALUE!</v>
      </c>
      <c r="GT23" t="e">
        <f>AND('SR Speed Relay'!H32,"AAAAAGc/98k=")</f>
        <v>#VALUE!</v>
      </c>
      <c r="GU23" t="e">
        <f>AND('SR Speed Relay'!I32,"AAAAAGc/98o=")</f>
        <v>#VALUE!</v>
      </c>
      <c r="GV23" t="e">
        <f>AND('SR Speed Relay'!J32,"AAAAAGc/98s=")</f>
        <v>#VALUE!</v>
      </c>
      <c r="GW23" t="e">
        <f>AND('SR Speed Relay'!K32,"AAAAAGc/98w=")</f>
        <v>#VALUE!</v>
      </c>
      <c r="GX23">
        <f>IF('SR Speed Relay'!33:33,"AAAAAGc/980=",0)</f>
        <v>0</v>
      </c>
      <c r="GY23" t="e">
        <f>AND('SR Speed Relay'!A33,"AAAAAGc/984=")</f>
        <v>#VALUE!</v>
      </c>
      <c r="GZ23" t="e">
        <f>AND('SR Speed Relay'!B33,"AAAAAGc/988=")</f>
        <v>#VALUE!</v>
      </c>
      <c r="HA23" t="e">
        <f>AND('SR Speed Relay'!C33,"AAAAAGc/99A=")</f>
        <v>#VALUE!</v>
      </c>
      <c r="HB23" t="e">
        <f>AND('SR Speed Relay'!D33,"AAAAAGc/99E=")</f>
        <v>#VALUE!</v>
      </c>
      <c r="HC23" t="e">
        <f>AND('SR Speed Relay'!E33,"AAAAAGc/99I=")</f>
        <v>#VALUE!</v>
      </c>
      <c r="HD23" t="e">
        <f>AND('SR Speed Relay'!F33,"AAAAAGc/99M=")</f>
        <v>#VALUE!</v>
      </c>
      <c r="HE23" t="e">
        <f>AND('SR Speed Relay'!G33,"AAAAAGc/99Q=")</f>
        <v>#VALUE!</v>
      </c>
      <c r="HF23" t="e">
        <f>AND('SR Speed Relay'!H33,"AAAAAGc/99U=")</f>
        <v>#VALUE!</v>
      </c>
      <c r="HG23" t="e">
        <f>AND('SR Speed Relay'!I33,"AAAAAGc/99Y=")</f>
        <v>#VALUE!</v>
      </c>
      <c r="HH23" t="e">
        <f>AND('SR Speed Relay'!J33,"AAAAAGc/99c=")</f>
        <v>#VALUE!</v>
      </c>
      <c r="HI23" t="e">
        <f>AND('SR Speed Relay'!K33,"AAAAAGc/99g=")</f>
        <v>#VALUE!</v>
      </c>
      <c r="HJ23">
        <f>IF('SR Speed Relay'!34:34,"AAAAAGc/99k=",0)</f>
        <v>0</v>
      </c>
      <c r="HK23" t="e">
        <f>AND('SR Speed Relay'!A34,"AAAAAGc/99o=")</f>
        <v>#VALUE!</v>
      </c>
      <c r="HL23" t="e">
        <f>AND('SR Speed Relay'!B34,"AAAAAGc/99s=")</f>
        <v>#VALUE!</v>
      </c>
      <c r="HM23" t="e">
        <f>AND('SR Speed Relay'!C34,"AAAAAGc/99w=")</f>
        <v>#VALUE!</v>
      </c>
      <c r="HN23" t="e">
        <f>AND('SR Speed Relay'!D34,"AAAAAGc/990=")</f>
        <v>#VALUE!</v>
      </c>
      <c r="HO23" t="e">
        <f>AND('SR Speed Relay'!E34,"AAAAAGc/994=")</f>
        <v>#VALUE!</v>
      </c>
      <c r="HP23" t="e">
        <f>AND('SR Speed Relay'!F34,"AAAAAGc/998=")</f>
        <v>#VALUE!</v>
      </c>
      <c r="HQ23" t="e">
        <f>AND('SR Speed Relay'!G34,"AAAAAGc/9+A=")</f>
        <v>#VALUE!</v>
      </c>
      <c r="HR23" t="e">
        <f>AND('SR Speed Relay'!H34,"AAAAAGc/9+E=")</f>
        <v>#VALUE!</v>
      </c>
      <c r="HS23" t="e">
        <f>AND('SR Speed Relay'!I34,"AAAAAGc/9+I=")</f>
        <v>#VALUE!</v>
      </c>
      <c r="HT23" t="e">
        <f>AND('SR Speed Relay'!J34,"AAAAAGc/9+M=")</f>
        <v>#VALUE!</v>
      </c>
      <c r="HU23" t="e">
        <f>AND('SR Speed Relay'!K34,"AAAAAGc/9+Q=")</f>
        <v>#VALUE!</v>
      </c>
      <c r="HV23">
        <f>IF('SR Speed Relay'!35:35,"AAAAAGc/9+U=",0)</f>
        <v>0</v>
      </c>
      <c r="HW23" t="e">
        <f>AND('SR Speed Relay'!A35,"AAAAAGc/9+Y=")</f>
        <v>#VALUE!</v>
      </c>
      <c r="HX23" t="e">
        <f>AND('SR Speed Relay'!B35,"AAAAAGc/9+c=")</f>
        <v>#VALUE!</v>
      </c>
      <c r="HY23" t="e">
        <f>AND('SR Speed Relay'!C35,"AAAAAGc/9+g=")</f>
        <v>#VALUE!</v>
      </c>
      <c r="HZ23" t="e">
        <f>AND('SR Speed Relay'!D35,"AAAAAGc/9+k=")</f>
        <v>#VALUE!</v>
      </c>
      <c r="IA23" t="e">
        <f>AND('SR Speed Relay'!E35,"AAAAAGc/9+o=")</f>
        <v>#VALUE!</v>
      </c>
      <c r="IB23" t="e">
        <f>AND('SR Speed Relay'!F35,"AAAAAGc/9+s=")</f>
        <v>#VALUE!</v>
      </c>
      <c r="IC23" t="e">
        <f>AND('SR Speed Relay'!G35,"AAAAAGc/9+w=")</f>
        <v>#VALUE!</v>
      </c>
      <c r="ID23" t="e">
        <f>AND('SR Speed Relay'!H35,"AAAAAGc/9+0=")</f>
        <v>#VALUE!</v>
      </c>
      <c r="IE23" t="e">
        <f>AND('SR Speed Relay'!I35,"AAAAAGc/9+4=")</f>
        <v>#VALUE!</v>
      </c>
      <c r="IF23" t="e">
        <f>AND('SR Speed Relay'!J35,"AAAAAGc/9+8=")</f>
        <v>#VALUE!</v>
      </c>
      <c r="IG23" t="e">
        <f>AND('SR Speed Relay'!K35,"AAAAAGc/9/A=")</f>
        <v>#VALUE!</v>
      </c>
      <c r="IH23">
        <f>IF('SR Speed Relay'!36:36,"AAAAAGc/9/E=",0)</f>
        <v>0</v>
      </c>
      <c r="II23" t="e">
        <f>AND('SR Speed Relay'!A36,"AAAAAGc/9/I=")</f>
        <v>#VALUE!</v>
      </c>
      <c r="IJ23" t="e">
        <f>AND('SR Speed Relay'!B36,"AAAAAGc/9/M=")</f>
        <v>#VALUE!</v>
      </c>
      <c r="IK23" t="e">
        <f>AND('SR Speed Relay'!C36,"AAAAAGc/9/Q=")</f>
        <v>#VALUE!</v>
      </c>
      <c r="IL23" t="e">
        <f>AND('SR Speed Relay'!D36,"AAAAAGc/9/U=")</f>
        <v>#VALUE!</v>
      </c>
      <c r="IM23" t="e">
        <f>AND('SR Speed Relay'!E36,"AAAAAGc/9/Y=")</f>
        <v>#VALUE!</v>
      </c>
      <c r="IN23" t="e">
        <f>AND('SR Speed Relay'!F36,"AAAAAGc/9/c=")</f>
        <v>#VALUE!</v>
      </c>
      <c r="IO23" t="e">
        <f>AND('SR Speed Relay'!G36,"AAAAAGc/9/g=")</f>
        <v>#VALUE!</v>
      </c>
      <c r="IP23" t="e">
        <f>AND('SR Speed Relay'!H36,"AAAAAGc/9/k=")</f>
        <v>#VALUE!</v>
      </c>
      <c r="IQ23" t="e">
        <f>AND('SR Speed Relay'!I36,"AAAAAGc/9/o=")</f>
        <v>#VALUE!</v>
      </c>
      <c r="IR23" t="e">
        <f>AND('SR Speed Relay'!J36,"AAAAAGc/9/s=")</f>
        <v>#VALUE!</v>
      </c>
      <c r="IS23" t="e">
        <f>AND('SR Speed Relay'!K36,"AAAAAGc/9/w=")</f>
        <v>#VALUE!</v>
      </c>
      <c r="IT23">
        <f>IF('SR Speed Relay'!37:37,"AAAAAGc/9/0=",0)</f>
        <v>0</v>
      </c>
      <c r="IU23" t="e">
        <f>AND('SR Speed Relay'!A37,"AAAAAGc/9/4=")</f>
        <v>#VALUE!</v>
      </c>
      <c r="IV23" t="e">
        <f>AND('SR Speed Relay'!B37,"AAAAAGc/9/8=")</f>
        <v>#VALUE!</v>
      </c>
    </row>
    <row r="24" spans="1:256" x14ac:dyDescent="0.25">
      <c r="A24" t="e">
        <f>AND('SR Speed Relay'!C37,"AAAAADPt3wA=")</f>
        <v>#VALUE!</v>
      </c>
      <c r="B24" t="e">
        <f>AND('SR Speed Relay'!D37,"AAAAADPt3wE=")</f>
        <v>#VALUE!</v>
      </c>
      <c r="C24" t="e">
        <f>AND('SR Speed Relay'!E37,"AAAAADPt3wI=")</f>
        <v>#VALUE!</v>
      </c>
      <c r="D24" t="e">
        <f>AND('SR Speed Relay'!F37,"AAAAADPt3wM=")</f>
        <v>#VALUE!</v>
      </c>
      <c r="E24" t="e">
        <f>AND('SR Speed Relay'!G37,"AAAAADPt3wQ=")</f>
        <v>#VALUE!</v>
      </c>
      <c r="F24" t="e">
        <f>AND('SR Speed Relay'!H37,"AAAAADPt3wU=")</f>
        <v>#VALUE!</v>
      </c>
      <c r="G24" t="e">
        <f>AND('SR Speed Relay'!I37,"AAAAADPt3wY=")</f>
        <v>#VALUE!</v>
      </c>
      <c r="H24" t="e">
        <f>AND('SR Speed Relay'!J37,"AAAAADPt3wc=")</f>
        <v>#VALUE!</v>
      </c>
      <c r="I24" t="e">
        <f>AND('SR Speed Relay'!K37,"AAAAADPt3wg=")</f>
        <v>#VALUE!</v>
      </c>
      <c r="J24">
        <f>IF('SR Speed Relay'!38:38,"AAAAADPt3wk=",0)</f>
        <v>0</v>
      </c>
      <c r="K24" t="e">
        <f>AND('SR Speed Relay'!A38,"AAAAADPt3wo=")</f>
        <v>#VALUE!</v>
      </c>
      <c r="L24" t="e">
        <f>AND('SR Speed Relay'!B38,"AAAAADPt3ws=")</f>
        <v>#VALUE!</v>
      </c>
      <c r="M24" t="e">
        <f>AND('SR Speed Relay'!C38,"AAAAADPt3ww=")</f>
        <v>#VALUE!</v>
      </c>
      <c r="N24" t="e">
        <f>AND('SR Speed Relay'!D38,"AAAAADPt3w0=")</f>
        <v>#VALUE!</v>
      </c>
      <c r="O24" t="e">
        <f>AND('SR Speed Relay'!E38,"AAAAADPt3w4=")</f>
        <v>#VALUE!</v>
      </c>
      <c r="P24" t="e">
        <f>AND('SR Speed Relay'!F38,"AAAAADPt3w8=")</f>
        <v>#VALUE!</v>
      </c>
      <c r="Q24" t="e">
        <f>AND('SR Speed Relay'!G38,"AAAAADPt3xA=")</f>
        <v>#VALUE!</v>
      </c>
      <c r="R24" t="e">
        <f>AND('SR Speed Relay'!H38,"AAAAADPt3xE=")</f>
        <v>#VALUE!</v>
      </c>
      <c r="S24" t="e">
        <f>AND('SR Speed Relay'!I38,"AAAAADPt3xI=")</f>
        <v>#VALUE!</v>
      </c>
      <c r="T24" t="e">
        <f>AND('SR Speed Relay'!J38,"AAAAADPt3xM=")</f>
        <v>#VALUE!</v>
      </c>
      <c r="U24" t="e">
        <f>AND('SR Speed Relay'!K38,"AAAAADPt3xQ=")</f>
        <v>#VALUE!</v>
      </c>
      <c r="V24">
        <f>IF('SR Speed Relay'!39:39,"AAAAADPt3xU=",0)</f>
        <v>0</v>
      </c>
      <c r="W24" t="e">
        <f>AND('SR Speed Relay'!A39,"AAAAADPt3xY=")</f>
        <v>#VALUE!</v>
      </c>
      <c r="X24" t="e">
        <f>AND('SR Speed Relay'!B39,"AAAAADPt3xc=")</f>
        <v>#VALUE!</v>
      </c>
      <c r="Y24" t="e">
        <f>AND('SR Speed Relay'!C39,"AAAAADPt3xg=")</f>
        <v>#VALUE!</v>
      </c>
      <c r="Z24" t="e">
        <f>AND('SR Speed Relay'!D39,"AAAAADPt3xk=")</f>
        <v>#VALUE!</v>
      </c>
      <c r="AA24" t="e">
        <f>AND('SR Speed Relay'!E39,"AAAAADPt3xo=")</f>
        <v>#VALUE!</v>
      </c>
      <c r="AB24" t="e">
        <f>AND('SR Speed Relay'!F39,"AAAAADPt3xs=")</f>
        <v>#VALUE!</v>
      </c>
      <c r="AC24" t="e">
        <f>AND('SR Speed Relay'!G39,"AAAAADPt3xw=")</f>
        <v>#VALUE!</v>
      </c>
      <c r="AD24" t="e">
        <f>AND('SR Speed Relay'!H39,"AAAAADPt3x0=")</f>
        <v>#VALUE!</v>
      </c>
      <c r="AE24" t="e">
        <f>AND('SR Speed Relay'!I39,"AAAAADPt3x4=")</f>
        <v>#VALUE!</v>
      </c>
      <c r="AF24" t="e">
        <f>AND('SR Speed Relay'!J39,"AAAAADPt3x8=")</f>
        <v>#VALUE!</v>
      </c>
      <c r="AG24" t="e">
        <f>AND('SR Speed Relay'!K39,"AAAAADPt3yA=")</f>
        <v>#VALUE!</v>
      </c>
      <c r="AH24">
        <f>IF('SR Speed Relay'!40:40,"AAAAADPt3yE=",0)</f>
        <v>0</v>
      </c>
      <c r="AI24" t="e">
        <f>AND('SR Speed Relay'!A40,"AAAAADPt3yI=")</f>
        <v>#VALUE!</v>
      </c>
      <c r="AJ24" t="e">
        <f>AND('SR Speed Relay'!B40,"AAAAADPt3yM=")</f>
        <v>#VALUE!</v>
      </c>
      <c r="AK24" t="e">
        <f>AND('SR Speed Relay'!C40,"AAAAADPt3yQ=")</f>
        <v>#VALUE!</v>
      </c>
      <c r="AL24" t="e">
        <f>AND('SR Speed Relay'!D40,"AAAAADPt3yU=")</f>
        <v>#VALUE!</v>
      </c>
      <c r="AM24" t="e">
        <f>AND('SR Speed Relay'!E40,"AAAAADPt3yY=")</f>
        <v>#VALUE!</v>
      </c>
      <c r="AN24" t="e">
        <f>AND('SR Speed Relay'!F40,"AAAAADPt3yc=")</f>
        <v>#VALUE!</v>
      </c>
      <c r="AO24" t="e">
        <f>AND('SR Speed Relay'!G40,"AAAAADPt3yg=")</f>
        <v>#VALUE!</v>
      </c>
      <c r="AP24" t="e">
        <f>AND('SR Speed Relay'!H40,"AAAAADPt3yk=")</f>
        <v>#VALUE!</v>
      </c>
      <c r="AQ24" t="e">
        <f>AND('SR Speed Relay'!I40,"AAAAADPt3yo=")</f>
        <v>#VALUE!</v>
      </c>
      <c r="AR24" t="e">
        <f>AND('SR Speed Relay'!J40,"AAAAADPt3ys=")</f>
        <v>#VALUE!</v>
      </c>
      <c r="AS24" t="e">
        <f>AND('SR Speed Relay'!K40,"AAAAADPt3yw=")</f>
        <v>#VALUE!</v>
      </c>
      <c r="AT24">
        <f>IF('SR Speed Relay'!43:43,"AAAAADPt3y0=",0)</f>
        <v>0</v>
      </c>
      <c r="AU24" t="e">
        <f>AND('SR Speed Relay'!A43,"AAAAADPt3y4=")</f>
        <v>#VALUE!</v>
      </c>
      <c r="AV24" t="e">
        <f>AND('SR Speed Relay'!B43,"AAAAADPt3y8=")</f>
        <v>#VALUE!</v>
      </c>
      <c r="AW24" t="e">
        <f>AND('SR Speed Relay'!C43,"AAAAADPt3zA=")</f>
        <v>#VALUE!</v>
      </c>
      <c r="AX24" t="e">
        <f>AND('SR Speed Relay'!D43,"AAAAADPt3zE=")</f>
        <v>#VALUE!</v>
      </c>
      <c r="AY24" t="e">
        <f>AND('SR Speed Relay'!E43,"AAAAADPt3zI=")</f>
        <v>#VALUE!</v>
      </c>
      <c r="AZ24" t="e">
        <f>AND('SR Speed Relay'!F43,"AAAAADPt3zM=")</f>
        <v>#VALUE!</v>
      </c>
      <c r="BA24" t="e">
        <f>AND('SR Speed Relay'!G43,"AAAAADPt3zQ=")</f>
        <v>#VALUE!</v>
      </c>
      <c r="BB24" t="e">
        <f>AND('SR Speed Relay'!H43,"AAAAADPt3zU=")</f>
        <v>#VALUE!</v>
      </c>
      <c r="BC24" t="e">
        <f>AND('SR Speed Relay'!I43,"AAAAADPt3zY=")</f>
        <v>#VALUE!</v>
      </c>
      <c r="BD24" t="e">
        <f>AND('SR Speed Relay'!J43,"AAAAADPt3zc=")</f>
        <v>#VALUE!</v>
      </c>
      <c r="BE24" t="e">
        <f>AND('SR Speed Relay'!K43,"AAAAADPt3zg=")</f>
        <v>#VALUE!</v>
      </c>
      <c r="BF24">
        <f>IF('SR Speed Relay'!44:44,"AAAAADPt3zk=",0)</f>
        <v>0</v>
      </c>
      <c r="BG24" t="e">
        <f>AND('SR Speed Relay'!A44,"AAAAADPt3zo=")</f>
        <v>#VALUE!</v>
      </c>
      <c r="BH24" t="e">
        <f>AND('SR Speed Relay'!B44,"AAAAADPt3zs=")</f>
        <v>#VALUE!</v>
      </c>
      <c r="BI24" t="e">
        <f>AND('SR Speed Relay'!C44,"AAAAADPt3zw=")</f>
        <v>#VALUE!</v>
      </c>
      <c r="BJ24" t="e">
        <f>AND('SR Speed Relay'!D44,"AAAAADPt3z0=")</f>
        <v>#VALUE!</v>
      </c>
      <c r="BK24" t="e">
        <f>AND('SR Speed Relay'!E44,"AAAAADPt3z4=")</f>
        <v>#VALUE!</v>
      </c>
      <c r="BL24" t="e">
        <f>AND('SR Speed Relay'!F44,"AAAAADPt3z8=")</f>
        <v>#VALUE!</v>
      </c>
      <c r="BM24" t="e">
        <f>AND('SR Speed Relay'!G44,"AAAAADPt30A=")</f>
        <v>#VALUE!</v>
      </c>
      <c r="BN24" t="e">
        <f>AND('SR Speed Relay'!H44,"AAAAADPt30E=")</f>
        <v>#VALUE!</v>
      </c>
      <c r="BO24" t="e">
        <f>AND('SR Speed Relay'!I44,"AAAAADPt30I=")</f>
        <v>#VALUE!</v>
      </c>
      <c r="BP24" t="e">
        <f>AND('SR Speed Relay'!J44,"AAAAADPt30M=")</f>
        <v>#VALUE!</v>
      </c>
      <c r="BQ24" t="e">
        <f>AND('SR Speed Relay'!K44,"AAAAADPt30Q=")</f>
        <v>#VALUE!</v>
      </c>
      <c r="BR24">
        <f>IF('SR Speed Relay'!45:45,"AAAAADPt30U=",0)</f>
        <v>0</v>
      </c>
      <c r="BS24" t="e">
        <f>AND('SR Speed Relay'!A45,"AAAAADPt30Y=")</f>
        <v>#VALUE!</v>
      </c>
      <c r="BT24" t="e">
        <f>AND('SR Speed Relay'!B45,"AAAAADPt30c=")</f>
        <v>#VALUE!</v>
      </c>
      <c r="BU24" t="e">
        <f>AND('SR Speed Relay'!C45,"AAAAADPt30g=")</f>
        <v>#VALUE!</v>
      </c>
      <c r="BV24" t="e">
        <f>AND('SR Speed Relay'!D45,"AAAAADPt30k=")</f>
        <v>#VALUE!</v>
      </c>
      <c r="BW24" t="e">
        <f>AND('SR Speed Relay'!E45,"AAAAADPt30o=")</f>
        <v>#VALUE!</v>
      </c>
      <c r="BX24" t="e">
        <f>AND('SR Speed Relay'!F45,"AAAAADPt30s=")</f>
        <v>#VALUE!</v>
      </c>
      <c r="BY24" t="e">
        <f>AND('SR Speed Relay'!G45,"AAAAADPt30w=")</f>
        <v>#VALUE!</v>
      </c>
      <c r="BZ24" t="e">
        <f>AND('SR Speed Relay'!H45,"AAAAADPt300=")</f>
        <v>#VALUE!</v>
      </c>
      <c r="CA24" t="e">
        <f>AND('SR Speed Relay'!I45,"AAAAADPt304=")</f>
        <v>#VALUE!</v>
      </c>
      <c r="CB24" t="e">
        <f>AND('SR Speed Relay'!J45,"AAAAADPt308=")</f>
        <v>#VALUE!</v>
      </c>
      <c r="CC24" t="e">
        <f>AND('SR Speed Relay'!K45,"AAAAADPt31A=")</f>
        <v>#VALUE!</v>
      </c>
      <c r="CD24">
        <f>IF('SR Speed Relay'!46:46,"AAAAADPt31E=",0)</f>
        <v>0</v>
      </c>
      <c r="CE24" t="e">
        <f>AND('SR Speed Relay'!A46,"AAAAADPt31I=")</f>
        <v>#VALUE!</v>
      </c>
      <c r="CF24" t="e">
        <f>AND('SR Speed Relay'!B46,"AAAAADPt31M=")</f>
        <v>#VALUE!</v>
      </c>
      <c r="CG24" t="e">
        <f>AND('SR Speed Relay'!C46,"AAAAADPt31Q=")</f>
        <v>#VALUE!</v>
      </c>
      <c r="CH24" t="e">
        <f>AND('SR Speed Relay'!D46,"AAAAADPt31U=")</f>
        <v>#VALUE!</v>
      </c>
      <c r="CI24" t="e">
        <f>AND('SR Speed Relay'!E46,"AAAAADPt31Y=")</f>
        <v>#VALUE!</v>
      </c>
      <c r="CJ24" t="e">
        <f>AND('SR Speed Relay'!F46,"AAAAADPt31c=")</f>
        <v>#VALUE!</v>
      </c>
      <c r="CK24" t="e">
        <f>AND('SR Speed Relay'!G46,"AAAAADPt31g=")</f>
        <v>#VALUE!</v>
      </c>
      <c r="CL24" t="e">
        <f>AND('SR Speed Relay'!H46,"AAAAADPt31k=")</f>
        <v>#VALUE!</v>
      </c>
      <c r="CM24" t="e">
        <f>AND('SR Speed Relay'!I46,"AAAAADPt31o=")</f>
        <v>#VALUE!</v>
      </c>
      <c r="CN24" t="e">
        <f>AND('SR Speed Relay'!J46,"AAAAADPt31s=")</f>
        <v>#VALUE!</v>
      </c>
      <c r="CO24" t="e">
        <f>AND('SR Speed Relay'!K46,"AAAAADPt31w=")</f>
        <v>#VALUE!</v>
      </c>
      <c r="CP24">
        <f>IF('SR Speed Relay'!47:47,"AAAAADPt310=",0)</f>
        <v>0</v>
      </c>
      <c r="CQ24" t="e">
        <f>AND('SR Speed Relay'!A47,"AAAAADPt314=")</f>
        <v>#VALUE!</v>
      </c>
      <c r="CR24" t="e">
        <f>AND('SR Speed Relay'!B47,"AAAAADPt318=")</f>
        <v>#VALUE!</v>
      </c>
      <c r="CS24" t="e">
        <f>AND('SR Speed Relay'!C47,"AAAAADPt32A=")</f>
        <v>#VALUE!</v>
      </c>
      <c r="CT24" t="e">
        <f>AND('SR Speed Relay'!D47,"AAAAADPt32E=")</f>
        <v>#VALUE!</v>
      </c>
      <c r="CU24" t="e">
        <f>AND('SR Speed Relay'!E47,"AAAAADPt32I=")</f>
        <v>#VALUE!</v>
      </c>
      <c r="CV24" t="e">
        <f>AND('SR Speed Relay'!F47,"AAAAADPt32M=")</f>
        <v>#VALUE!</v>
      </c>
      <c r="CW24" t="e">
        <f>AND('SR Speed Relay'!G47,"AAAAADPt32Q=")</f>
        <v>#VALUE!</v>
      </c>
      <c r="CX24" t="e">
        <f>AND('SR Speed Relay'!H47,"AAAAADPt32U=")</f>
        <v>#VALUE!</v>
      </c>
      <c r="CY24" t="e">
        <f>AND('SR Speed Relay'!I47,"AAAAADPt32Y=")</f>
        <v>#VALUE!</v>
      </c>
      <c r="CZ24" t="e">
        <f>AND('SR Speed Relay'!J47,"AAAAADPt32c=")</f>
        <v>#VALUE!</v>
      </c>
      <c r="DA24" t="e">
        <f>AND('SR Speed Relay'!K47,"AAAAADPt32g=")</f>
        <v>#VALUE!</v>
      </c>
      <c r="DB24">
        <f>IF('SR Speed Relay'!48:48,"AAAAADPt32k=",0)</f>
        <v>0</v>
      </c>
      <c r="DC24" t="e">
        <f>AND('SR Speed Relay'!A48,"AAAAADPt32o=")</f>
        <v>#VALUE!</v>
      </c>
      <c r="DD24" t="e">
        <f>AND('SR Speed Relay'!B48,"AAAAADPt32s=")</f>
        <v>#VALUE!</v>
      </c>
      <c r="DE24" t="e">
        <f>AND('SR Speed Relay'!C48,"AAAAADPt32w=")</f>
        <v>#VALUE!</v>
      </c>
      <c r="DF24" t="e">
        <f>AND('SR Speed Relay'!D48,"AAAAADPt320=")</f>
        <v>#VALUE!</v>
      </c>
      <c r="DG24" t="e">
        <f>AND('SR Speed Relay'!E48,"AAAAADPt324=")</f>
        <v>#VALUE!</v>
      </c>
      <c r="DH24" t="e">
        <f>AND('SR Speed Relay'!F48,"AAAAADPt328=")</f>
        <v>#VALUE!</v>
      </c>
      <c r="DI24" t="e">
        <f>AND('SR Speed Relay'!G48,"AAAAADPt33A=")</f>
        <v>#VALUE!</v>
      </c>
      <c r="DJ24" t="e">
        <f>AND('SR Speed Relay'!H48,"AAAAADPt33E=")</f>
        <v>#VALUE!</v>
      </c>
      <c r="DK24" t="e">
        <f>AND('SR Speed Relay'!I48,"AAAAADPt33I=")</f>
        <v>#VALUE!</v>
      </c>
      <c r="DL24" t="e">
        <f>AND('SR Speed Relay'!J48,"AAAAADPt33M=")</f>
        <v>#VALUE!</v>
      </c>
      <c r="DM24" t="e">
        <f>AND('SR Speed Relay'!K48,"AAAAADPt33Q=")</f>
        <v>#VALUE!</v>
      </c>
      <c r="DN24">
        <f>IF('SR Speed Relay'!49:49,"AAAAADPt33U=",0)</f>
        <v>0</v>
      </c>
      <c r="DO24" t="e">
        <f>AND('SR Speed Relay'!A49,"AAAAADPt33Y=")</f>
        <v>#VALUE!</v>
      </c>
      <c r="DP24" t="e">
        <f>AND('SR Speed Relay'!B49,"AAAAADPt33c=")</f>
        <v>#VALUE!</v>
      </c>
      <c r="DQ24" t="e">
        <f>AND('SR Speed Relay'!C49,"AAAAADPt33g=")</f>
        <v>#VALUE!</v>
      </c>
      <c r="DR24" t="e">
        <f>AND('SR Speed Relay'!D49,"AAAAADPt33k=")</f>
        <v>#VALUE!</v>
      </c>
      <c r="DS24" t="e">
        <f>AND('SR Speed Relay'!E49,"AAAAADPt33o=")</f>
        <v>#VALUE!</v>
      </c>
      <c r="DT24" t="e">
        <f>AND('SR Speed Relay'!F49,"AAAAADPt33s=")</f>
        <v>#VALUE!</v>
      </c>
      <c r="DU24" t="e">
        <f>AND('SR Speed Relay'!G49,"AAAAADPt33w=")</f>
        <v>#VALUE!</v>
      </c>
      <c r="DV24" t="e">
        <f>AND('SR Speed Relay'!H49,"AAAAADPt330=")</f>
        <v>#VALUE!</v>
      </c>
      <c r="DW24" t="e">
        <f>AND('SR Speed Relay'!I49,"AAAAADPt334=")</f>
        <v>#VALUE!</v>
      </c>
      <c r="DX24" t="e">
        <f>AND('SR Speed Relay'!J49,"AAAAADPt338=")</f>
        <v>#VALUE!</v>
      </c>
      <c r="DY24" t="e">
        <f>AND('SR Speed Relay'!K49,"AAAAADPt34A=")</f>
        <v>#VALUE!</v>
      </c>
      <c r="DZ24">
        <f>IF('SR Speed Relay'!50:50,"AAAAADPt34E=",0)</f>
        <v>0</v>
      </c>
      <c r="EA24" t="e">
        <f>AND('SR Speed Relay'!A50,"AAAAADPt34I=")</f>
        <v>#VALUE!</v>
      </c>
      <c r="EB24" t="e">
        <f>AND('SR Speed Relay'!B50,"AAAAADPt34M=")</f>
        <v>#VALUE!</v>
      </c>
      <c r="EC24" t="e">
        <f>AND('SR Speed Relay'!C50,"AAAAADPt34Q=")</f>
        <v>#VALUE!</v>
      </c>
      <c r="ED24" t="e">
        <f>AND('SR Speed Relay'!D50,"AAAAADPt34U=")</f>
        <v>#VALUE!</v>
      </c>
      <c r="EE24" t="e">
        <f>AND('SR Speed Relay'!E50,"AAAAADPt34Y=")</f>
        <v>#VALUE!</v>
      </c>
      <c r="EF24" t="e">
        <f>AND('SR Speed Relay'!F50,"AAAAADPt34c=")</f>
        <v>#VALUE!</v>
      </c>
      <c r="EG24" t="e">
        <f>AND('SR Speed Relay'!G50,"AAAAADPt34g=")</f>
        <v>#VALUE!</v>
      </c>
      <c r="EH24" t="e">
        <f>AND('SR Speed Relay'!H50,"AAAAADPt34k=")</f>
        <v>#VALUE!</v>
      </c>
      <c r="EI24" t="e">
        <f>AND('SR Speed Relay'!I50,"AAAAADPt34o=")</f>
        <v>#VALUE!</v>
      </c>
      <c r="EJ24" t="e">
        <f>AND('SR Speed Relay'!J50,"AAAAADPt34s=")</f>
        <v>#VALUE!</v>
      </c>
      <c r="EK24" t="e">
        <f>AND('SR Speed Relay'!K50,"AAAAADPt34w=")</f>
        <v>#VALUE!</v>
      </c>
      <c r="EL24">
        <f>IF('SR Speed Relay'!51:51,"AAAAADPt340=",0)</f>
        <v>0</v>
      </c>
      <c r="EM24" t="e">
        <f>AND('SR Speed Relay'!A51,"AAAAADPt344=")</f>
        <v>#VALUE!</v>
      </c>
      <c r="EN24" t="e">
        <f>AND('SR Speed Relay'!B51,"AAAAADPt348=")</f>
        <v>#VALUE!</v>
      </c>
      <c r="EO24" t="e">
        <f>AND('SR Speed Relay'!C51,"AAAAADPt35A=")</f>
        <v>#VALUE!</v>
      </c>
      <c r="EP24" t="e">
        <f>AND('SR Speed Relay'!D51,"AAAAADPt35E=")</f>
        <v>#VALUE!</v>
      </c>
      <c r="EQ24" t="e">
        <f>AND('SR Speed Relay'!E51,"AAAAADPt35I=")</f>
        <v>#VALUE!</v>
      </c>
      <c r="ER24" t="e">
        <f>AND('SR Speed Relay'!F51,"AAAAADPt35M=")</f>
        <v>#VALUE!</v>
      </c>
      <c r="ES24" t="e">
        <f>AND('SR Speed Relay'!G51,"AAAAADPt35Q=")</f>
        <v>#VALUE!</v>
      </c>
      <c r="ET24" t="e">
        <f>AND('SR Speed Relay'!H51,"AAAAADPt35U=")</f>
        <v>#VALUE!</v>
      </c>
      <c r="EU24" t="e">
        <f>AND('SR Speed Relay'!I51,"AAAAADPt35Y=")</f>
        <v>#VALUE!</v>
      </c>
      <c r="EV24" t="e">
        <f>AND('SR Speed Relay'!J51,"AAAAADPt35c=")</f>
        <v>#VALUE!</v>
      </c>
      <c r="EW24" t="e">
        <f>AND('SR Speed Relay'!K51,"AAAAADPt35g=")</f>
        <v>#VALUE!</v>
      </c>
      <c r="EX24">
        <f>IF('SR Speed Relay'!52:52,"AAAAADPt35k=",0)</f>
        <v>0</v>
      </c>
      <c r="EY24" t="e">
        <f>AND('SR Speed Relay'!A52,"AAAAADPt35o=")</f>
        <v>#VALUE!</v>
      </c>
      <c r="EZ24" t="e">
        <f>AND('SR Speed Relay'!B52,"AAAAADPt35s=")</f>
        <v>#VALUE!</v>
      </c>
      <c r="FA24" t="e">
        <f>AND('SR Speed Relay'!C52,"AAAAADPt35w=")</f>
        <v>#VALUE!</v>
      </c>
      <c r="FB24" t="e">
        <f>AND('SR Speed Relay'!D52,"AAAAADPt350=")</f>
        <v>#VALUE!</v>
      </c>
      <c r="FC24" t="e">
        <f>AND('SR Speed Relay'!E52,"AAAAADPt354=")</f>
        <v>#VALUE!</v>
      </c>
      <c r="FD24" t="e">
        <f>AND('SR Speed Relay'!F52,"AAAAADPt358=")</f>
        <v>#VALUE!</v>
      </c>
      <c r="FE24" t="e">
        <f>AND('SR Speed Relay'!G52,"AAAAADPt36A=")</f>
        <v>#VALUE!</v>
      </c>
      <c r="FF24" t="e">
        <f>AND('SR Speed Relay'!H52,"AAAAADPt36E=")</f>
        <v>#VALUE!</v>
      </c>
      <c r="FG24" t="e">
        <f>AND('SR Speed Relay'!I52,"AAAAADPt36I=")</f>
        <v>#VALUE!</v>
      </c>
      <c r="FH24" t="e">
        <f>AND('SR Speed Relay'!J52,"AAAAADPt36M=")</f>
        <v>#VALUE!</v>
      </c>
      <c r="FI24" t="e">
        <f>AND('SR Speed Relay'!K52,"AAAAADPt36Q=")</f>
        <v>#VALUE!</v>
      </c>
      <c r="FJ24">
        <f>IF('SR Speed Relay'!53:53,"AAAAADPt36U=",0)</f>
        <v>0</v>
      </c>
      <c r="FK24" t="e">
        <f>AND('SR Speed Relay'!A53,"AAAAADPt36Y=")</f>
        <v>#VALUE!</v>
      </c>
      <c r="FL24" t="e">
        <f>AND('SR Speed Relay'!B53,"AAAAADPt36c=")</f>
        <v>#VALUE!</v>
      </c>
      <c r="FM24" t="e">
        <f>AND('SR Speed Relay'!C53,"AAAAADPt36g=")</f>
        <v>#VALUE!</v>
      </c>
      <c r="FN24" t="e">
        <f>AND('SR Speed Relay'!D53,"AAAAADPt36k=")</f>
        <v>#VALUE!</v>
      </c>
      <c r="FO24" t="e">
        <f>AND('SR Speed Relay'!E53,"AAAAADPt36o=")</f>
        <v>#VALUE!</v>
      </c>
      <c r="FP24" t="e">
        <f>AND('SR Speed Relay'!F53,"AAAAADPt36s=")</f>
        <v>#VALUE!</v>
      </c>
      <c r="FQ24" t="e">
        <f>AND('SR Speed Relay'!G53,"AAAAADPt36w=")</f>
        <v>#VALUE!</v>
      </c>
      <c r="FR24" t="e">
        <f>AND('SR Speed Relay'!H53,"AAAAADPt360=")</f>
        <v>#VALUE!</v>
      </c>
      <c r="FS24" t="e">
        <f>AND('SR Speed Relay'!I53,"AAAAADPt364=")</f>
        <v>#VALUE!</v>
      </c>
      <c r="FT24" t="e">
        <f>AND('SR Speed Relay'!J53,"AAAAADPt368=")</f>
        <v>#VALUE!</v>
      </c>
      <c r="FU24" t="e">
        <f>AND('SR Speed Relay'!K53,"AAAAADPt37A=")</f>
        <v>#VALUE!</v>
      </c>
      <c r="FV24">
        <f>IF('SR Speed Relay'!54:54,"AAAAADPt37E=",0)</f>
        <v>0</v>
      </c>
      <c r="FW24" t="e">
        <f>AND('SR Speed Relay'!A54,"AAAAADPt37I=")</f>
        <v>#VALUE!</v>
      </c>
      <c r="FX24" t="e">
        <f>AND('SR Speed Relay'!B54,"AAAAADPt37M=")</f>
        <v>#VALUE!</v>
      </c>
      <c r="FY24" t="e">
        <f>AND('SR Speed Relay'!C54,"AAAAADPt37Q=")</f>
        <v>#VALUE!</v>
      </c>
      <c r="FZ24" t="e">
        <f>AND('SR Speed Relay'!D54,"AAAAADPt37U=")</f>
        <v>#VALUE!</v>
      </c>
      <c r="GA24" t="e">
        <f>AND('SR Speed Relay'!E54,"AAAAADPt37Y=")</f>
        <v>#VALUE!</v>
      </c>
      <c r="GB24" t="e">
        <f>AND('SR Speed Relay'!F54,"AAAAADPt37c=")</f>
        <v>#VALUE!</v>
      </c>
      <c r="GC24" t="e">
        <f>AND('SR Speed Relay'!G54,"AAAAADPt37g=")</f>
        <v>#VALUE!</v>
      </c>
      <c r="GD24" t="e">
        <f>AND('SR Speed Relay'!H54,"AAAAADPt37k=")</f>
        <v>#VALUE!</v>
      </c>
      <c r="GE24" t="e">
        <f>AND('SR Speed Relay'!I54,"AAAAADPt37o=")</f>
        <v>#VALUE!</v>
      </c>
      <c r="GF24" t="e">
        <f>AND('SR Speed Relay'!J54,"AAAAADPt37s=")</f>
        <v>#VALUE!</v>
      </c>
      <c r="GG24" t="e">
        <f>AND('SR Speed Relay'!K54,"AAAAADPt37w=")</f>
        <v>#VALUE!</v>
      </c>
      <c r="GH24">
        <f>IF('SR Speed Relay'!55:55,"AAAAADPt370=",0)</f>
        <v>0</v>
      </c>
      <c r="GI24" t="e">
        <f>AND('SR Speed Relay'!A55,"AAAAADPt374=")</f>
        <v>#VALUE!</v>
      </c>
      <c r="GJ24" t="e">
        <f>AND('SR Speed Relay'!B55,"AAAAADPt378=")</f>
        <v>#VALUE!</v>
      </c>
      <c r="GK24" t="e">
        <f>AND('SR Speed Relay'!C55,"AAAAADPt38A=")</f>
        <v>#VALUE!</v>
      </c>
      <c r="GL24" t="e">
        <f>AND('SR Speed Relay'!D55,"AAAAADPt38E=")</f>
        <v>#VALUE!</v>
      </c>
      <c r="GM24" t="e">
        <f>AND('SR Speed Relay'!E55,"AAAAADPt38I=")</f>
        <v>#VALUE!</v>
      </c>
      <c r="GN24" t="e">
        <f>AND('SR Speed Relay'!F55,"AAAAADPt38M=")</f>
        <v>#VALUE!</v>
      </c>
      <c r="GO24" t="e">
        <f>AND('SR Speed Relay'!G55,"AAAAADPt38Q=")</f>
        <v>#VALUE!</v>
      </c>
      <c r="GP24" t="e">
        <f>AND('SR Speed Relay'!H55,"AAAAADPt38U=")</f>
        <v>#VALUE!</v>
      </c>
      <c r="GQ24" t="e">
        <f>AND('SR Speed Relay'!I55,"AAAAADPt38Y=")</f>
        <v>#VALUE!</v>
      </c>
      <c r="GR24" t="e">
        <f>AND('SR Speed Relay'!J55,"AAAAADPt38c=")</f>
        <v>#VALUE!</v>
      </c>
      <c r="GS24" t="e">
        <f>AND('SR Speed Relay'!K55,"AAAAADPt38g=")</f>
        <v>#VALUE!</v>
      </c>
      <c r="GT24">
        <f>IF('SR Speed Relay'!56:56,"AAAAADPt38k=",0)</f>
        <v>0</v>
      </c>
      <c r="GU24" t="e">
        <f>AND('SR Speed Relay'!A56,"AAAAADPt38o=")</f>
        <v>#VALUE!</v>
      </c>
      <c r="GV24" t="e">
        <f>AND('SR Speed Relay'!B56,"AAAAADPt38s=")</f>
        <v>#VALUE!</v>
      </c>
      <c r="GW24" t="e">
        <f>AND('SR Speed Relay'!C56,"AAAAADPt38w=")</f>
        <v>#VALUE!</v>
      </c>
      <c r="GX24" t="e">
        <f>AND('SR Speed Relay'!D56,"AAAAADPt380=")</f>
        <v>#VALUE!</v>
      </c>
      <c r="GY24" t="e">
        <f>AND('SR Speed Relay'!E56,"AAAAADPt384=")</f>
        <v>#VALUE!</v>
      </c>
      <c r="GZ24" t="e">
        <f>AND('SR Speed Relay'!F56,"AAAAADPt388=")</f>
        <v>#VALUE!</v>
      </c>
      <c r="HA24" t="e">
        <f>AND('SR Speed Relay'!G56,"AAAAADPt39A=")</f>
        <v>#VALUE!</v>
      </c>
      <c r="HB24" t="e">
        <f>AND('SR Speed Relay'!H56,"AAAAADPt39E=")</f>
        <v>#VALUE!</v>
      </c>
      <c r="HC24" t="e">
        <f>AND('SR Speed Relay'!I56,"AAAAADPt39I=")</f>
        <v>#VALUE!</v>
      </c>
      <c r="HD24" t="e">
        <f>AND('SR Speed Relay'!J56,"AAAAADPt39M=")</f>
        <v>#VALUE!</v>
      </c>
      <c r="HE24" t="e">
        <f>AND('SR Speed Relay'!K56,"AAAAADPt39Q=")</f>
        <v>#VALUE!</v>
      </c>
      <c r="HF24">
        <f>IF('SR Speed Relay'!57:57,"AAAAADPt39U=",0)</f>
        <v>0</v>
      </c>
      <c r="HG24" t="e">
        <f>AND('SR Speed Relay'!A57,"AAAAADPt39Y=")</f>
        <v>#VALUE!</v>
      </c>
      <c r="HH24" t="e">
        <f>AND('SR Speed Relay'!B57,"AAAAADPt39c=")</f>
        <v>#VALUE!</v>
      </c>
      <c r="HI24" t="e">
        <f>AND('SR Speed Relay'!C57,"AAAAADPt39g=")</f>
        <v>#VALUE!</v>
      </c>
      <c r="HJ24" t="e">
        <f>AND('SR Speed Relay'!D57,"AAAAADPt39k=")</f>
        <v>#VALUE!</v>
      </c>
      <c r="HK24" t="e">
        <f>AND('SR Speed Relay'!E57,"AAAAADPt39o=")</f>
        <v>#VALUE!</v>
      </c>
      <c r="HL24" t="e">
        <f>AND('SR Speed Relay'!F57,"AAAAADPt39s=")</f>
        <v>#VALUE!</v>
      </c>
      <c r="HM24" t="e">
        <f>AND('SR Speed Relay'!G57,"AAAAADPt39w=")</f>
        <v>#VALUE!</v>
      </c>
      <c r="HN24" t="e">
        <f>AND('SR Speed Relay'!H57,"AAAAADPt390=")</f>
        <v>#VALUE!</v>
      </c>
      <c r="HO24" t="e">
        <f>AND('SR Speed Relay'!I57,"AAAAADPt394=")</f>
        <v>#VALUE!</v>
      </c>
      <c r="HP24" t="e">
        <f>AND('SR Speed Relay'!J57,"AAAAADPt398=")</f>
        <v>#VALUE!</v>
      </c>
      <c r="HQ24" t="e">
        <f>AND('SR Speed Relay'!K57,"AAAAADPt3+A=")</f>
        <v>#VALUE!</v>
      </c>
      <c r="HR24">
        <f>IF('SR Speed Relay'!58:58,"AAAAADPt3+E=",0)</f>
        <v>0</v>
      </c>
      <c r="HS24" t="e">
        <f>AND('SR Speed Relay'!A58,"AAAAADPt3+I=")</f>
        <v>#VALUE!</v>
      </c>
      <c r="HT24" t="e">
        <f>AND('SR Speed Relay'!B58,"AAAAADPt3+M=")</f>
        <v>#VALUE!</v>
      </c>
      <c r="HU24" t="e">
        <f>AND('SR Speed Relay'!C58,"AAAAADPt3+Q=")</f>
        <v>#VALUE!</v>
      </c>
      <c r="HV24" t="e">
        <f>AND('SR Speed Relay'!D58,"AAAAADPt3+U=")</f>
        <v>#VALUE!</v>
      </c>
      <c r="HW24" t="e">
        <f>AND('SR Speed Relay'!E58,"AAAAADPt3+Y=")</f>
        <v>#VALUE!</v>
      </c>
      <c r="HX24" t="e">
        <f>AND('SR Speed Relay'!F58,"AAAAADPt3+c=")</f>
        <v>#VALUE!</v>
      </c>
      <c r="HY24" t="e">
        <f>AND('SR Speed Relay'!G58,"AAAAADPt3+g=")</f>
        <v>#VALUE!</v>
      </c>
      <c r="HZ24" t="e">
        <f>AND('SR Speed Relay'!H58,"AAAAADPt3+k=")</f>
        <v>#VALUE!</v>
      </c>
      <c r="IA24" t="e">
        <f>AND('SR Speed Relay'!I58,"AAAAADPt3+o=")</f>
        <v>#VALUE!</v>
      </c>
      <c r="IB24" t="e">
        <f>AND('SR Speed Relay'!J58,"AAAAADPt3+s=")</f>
        <v>#VALUE!</v>
      </c>
      <c r="IC24" t="e">
        <f>AND('SR Speed Relay'!K58,"AAAAADPt3+w=")</f>
        <v>#VALUE!</v>
      </c>
      <c r="ID24">
        <f>IF('SR Speed Relay'!59:59,"AAAAADPt3+0=",0)</f>
        <v>0</v>
      </c>
      <c r="IE24" t="e">
        <f>AND('SR Speed Relay'!A59,"AAAAADPt3+4=")</f>
        <v>#VALUE!</v>
      </c>
      <c r="IF24" t="e">
        <f>AND('SR Speed Relay'!B59,"AAAAADPt3+8=")</f>
        <v>#VALUE!</v>
      </c>
      <c r="IG24" t="e">
        <f>AND('SR Speed Relay'!C59,"AAAAADPt3/A=")</f>
        <v>#VALUE!</v>
      </c>
      <c r="IH24" t="e">
        <f>AND('SR Speed Relay'!D59,"AAAAADPt3/E=")</f>
        <v>#VALUE!</v>
      </c>
      <c r="II24" t="e">
        <f>AND('SR Speed Relay'!E59,"AAAAADPt3/I=")</f>
        <v>#VALUE!</v>
      </c>
      <c r="IJ24" t="e">
        <f>AND('SR Speed Relay'!F59,"AAAAADPt3/M=")</f>
        <v>#VALUE!</v>
      </c>
      <c r="IK24" t="e">
        <f>AND('SR Speed Relay'!G59,"AAAAADPt3/Q=")</f>
        <v>#VALUE!</v>
      </c>
      <c r="IL24" t="e">
        <f>AND('SR Speed Relay'!H59,"AAAAADPt3/U=")</f>
        <v>#VALUE!</v>
      </c>
      <c r="IM24" t="e">
        <f>AND('SR Speed Relay'!I59,"AAAAADPt3/Y=")</f>
        <v>#VALUE!</v>
      </c>
      <c r="IN24" t="e">
        <f>AND('SR Speed Relay'!J59,"AAAAADPt3/c=")</f>
        <v>#VALUE!</v>
      </c>
      <c r="IO24" t="e">
        <f>AND('SR Speed Relay'!K59,"AAAAADPt3/g=")</f>
        <v>#VALUE!</v>
      </c>
      <c r="IP24">
        <f>IF('SR Speed Relay'!60:60,"AAAAADPt3/k=",0)</f>
        <v>0</v>
      </c>
      <c r="IQ24" t="e">
        <f>AND('SR Speed Relay'!A60,"AAAAADPt3/o=")</f>
        <v>#VALUE!</v>
      </c>
      <c r="IR24" t="e">
        <f>AND('SR Speed Relay'!B60,"AAAAADPt3/s=")</f>
        <v>#VALUE!</v>
      </c>
      <c r="IS24" t="e">
        <f>AND('SR Speed Relay'!C60,"AAAAADPt3/w=")</f>
        <v>#VALUE!</v>
      </c>
      <c r="IT24" t="e">
        <f>AND('SR Speed Relay'!D60,"AAAAADPt3/0=")</f>
        <v>#VALUE!</v>
      </c>
      <c r="IU24" t="e">
        <f>AND('SR Speed Relay'!E60,"AAAAADPt3/4=")</f>
        <v>#VALUE!</v>
      </c>
      <c r="IV24" t="e">
        <f>AND('SR Speed Relay'!F60,"AAAAADPt3/8=")</f>
        <v>#VALUE!</v>
      </c>
    </row>
    <row r="25" spans="1:256" x14ac:dyDescent="0.25">
      <c r="A25" t="e">
        <f>AND('SR Speed Relay'!G60,"AAAAAHyvZwA=")</f>
        <v>#VALUE!</v>
      </c>
      <c r="B25" t="e">
        <f>AND('SR Speed Relay'!H60,"AAAAAHyvZwE=")</f>
        <v>#VALUE!</v>
      </c>
      <c r="C25" t="e">
        <f>AND('SR Speed Relay'!I60,"AAAAAHyvZwI=")</f>
        <v>#VALUE!</v>
      </c>
      <c r="D25" t="e">
        <f>AND('SR Speed Relay'!J60,"AAAAAHyvZwM=")</f>
        <v>#VALUE!</v>
      </c>
      <c r="E25" t="e">
        <f>AND('SR Speed Relay'!K60,"AAAAAHyvZwQ=")</f>
        <v>#VALUE!</v>
      </c>
      <c r="F25">
        <f>IF('SR Speed Relay'!61:61,"AAAAAHyvZwU=",0)</f>
        <v>0</v>
      </c>
      <c r="G25" t="e">
        <f>AND('SR Speed Relay'!A61,"AAAAAHyvZwY=")</f>
        <v>#VALUE!</v>
      </c>
      <c r="H25" t="e">
        <f>AND('SR Speed Relay'!B61,"AAAAAHyvZwc=")</f>
        <v>#VALUE!</v>
      </c>
      <c r="I25" t="e">
        <f>AND('SR Speed Relay'!C61,"AAAAAHyvZwg=")</f>
        <v>#VALUE!</v>
      </c>
      <c r="J25" t="e">
        <f>AND('SR Speed Relay'!D61,"AAAAAHyvZwk=")</f>
        <v>#VALUE!</v>
      </c>
      <c r="K25" t="e">
        <f>AND('SR Speed Relay'!E61,"AAAAAHyvZwo=")</f>
        <v>#VALUE!</v>
      </c>
      <c r="L25" t="e">
        <f>AND('SR Speed Relay'!F61,"AAAAAHyvZws=")</f>
        <v>#VALUE!</v>
      </c>
      <c r="M25" t="e">
        <f>AND('SR Speed Relay'!G61,"AAAAAHyvZww=")</f>
        <v>#VALUE!</v>
      </c>
      <c r="N25" t="e">
        <f>AND('SR Speed Relay'!H61,"AAAAAHyvZw0=")</f>
        <v>#VALUE!</v>
      </c>
      <c r="O25" t="e">
        <f>AND('SR Speed Relay'!I61,"AAAAAHyvZw4=")</f>
        <v>#VALUE!</v>
      </c>
      <c r="P25" t="e">
        <f>AND('SR Speed Relay'!J61,"AAAAAHyvZw8=")</f>
        <v>#VALUE!</v>
      </c>
      <c r="Q25" t="e">
        <f>AND('SR Speed Relay'!K61,"AAAAAHyvZxA=")</f>
        <v>#VALUE!</v>
      </c>
      <c r="R25">
        <f>IF('SR Speed Relay'!62:62,"AAAAAHyvZxE=",0)</f>
        <v>0</v>
      </c>
      <c r="S25" t="e">
        <f>AND('SR Speed Relay'!A62,"AAAAAHyvZxI=")</f>
        <v>#VALUE!</v>
      </c>
      <c r="T25" t="e">
        <f>AND('SR Speed Relay'!B62,"AAAAAHyvZxM=")</f>
        <v>#VALUE!</v>
      </c>
      <c r="U25" t="e">
        <f>AND('SR Speed Relay'!C62,"AAAAAHyvZxQ=")</f>
        <v>#VALUE!</v>
      </c>
      <c r="V25" t="e">
        <f>AND('SR Speed Relay'!D62,"AAAAAHyvZxU=")</f>
        <v>#VALUE!</v>
      </c>
      <c r="W25" t="e">
        <f>AND('SR Speed Relay'!E62,"AAAAAHyvZxY=")</f>
        <v>#VALUE!</v>
      </c>
      <c r="X25" t="e">
        <f>AND('SR Speed Relay'!F62,"AAAAAHyvZxc=")</f>
        <v>#VALUE!</v>
      </c>
      <c r="Y25" t="e">
        <f>AND('SR Speed Relay'!G62,"AAAAAHyvZxg=")</f>
        <v>#VALUE!</v>
      </c>
      <c r="Z25" t="e">
        <f>AND('SR Speed Relay'!H62,"AAAAAHyvZxk=")</f>
        <v>#VALUE!</v>
      </c>
      <c r="AA25" t="e">
        <f>AND('SR Speed Relay'!I62,"AAAAAHyvZxo=")</f>
        <v>#VALUE!</v>
      </c>
      <c r="AB25" t="e">
        <f>AND('SR Speed Relay'!J62,"AAAAAHyvZxs=")</f>
        <v>#VALUE!</v>
      </c>
      <c r="AC25" t="e">
        <f>AND('SR Speed Relay'!K62,"AAAAAHyvZxw=")</f>
        <v>#VALUE!</v>
      </c>
      <c r="AD25">
        <f>IF('SR Speed Relay'!63:63,"AAAAAHyvZx0=",0)</f>
        <v>0</v>
      </c>
      <c r="AE25" t="e">
        <f>AND('SR Speed Relay'!A63,"AAAAAHyvZx4=")</f>
        <v>#VALUE!</v>
      </c>
      <c r="AF25" t="e">
        <f>AND('SR Speed Relay'!B63,"AAAAAHyvZx8=")</f>
        <v>#VALUE!</v>
      </c>
      <c r="AG25" t="e">
        <f>AND('SR Speed Relay'!C63,"AAAAAHyvZyA=")</f>
        <v>#VALUE!</v>
      </c>
      <c r="AH25" t="e">
        <f>AND('SR Speed Relay'!D63,"AAAAAHyvZyE=")</f>
        <v>#VALUE!</v>
      </c>
      <c r="AI25" t="e">
        <f>AND('SR Speed Relay'!E63,"AAAAAHyvZyI=")</f>
        <v>#VALUE!</v>
      </c>
      <c r="AJ25" t="e">
        <f>AND('SR Speed Relay'!F63,"AAAAAHyvZyM=")</f>
        <v>#VALUE!</v>
      </c>
      <c r="AK25" t="e">
        <f>AND('SR Speed Relay'!G63,"AAAAAHyvZyQ=")</f>
        <v>#VALUE!</v>
      </c>
      <c r="AL25" t="e">
        <f>AND('SR Speed Relay'!H63,"AAAAAHyvZyU=")</f>
        <v>#VALUE!</v>
      </c>
      <c r="AM25" t="e">
        <f>AND('SR Speed Relay'!I63,"AAAAAHyvZyY=")</f>
        <v>#VALUE!</v>
      </c>
      <c r="AN25" t="e">
        <f>AND('SR Speed Relay'!J63,"AAAAAHyvZyc=")</f>
        <v>#VALUE!</v>
      </c>
      <c r="AO25" t="e">
        <f>AND('SR Speed Relay'!K63,"AAAAAHyvZyg=")</f>
        <v>#VALUE!</v>
      </c>
      <c r="AP25">
        <f>IF('SR Speed Relay'!64:64,"AAAAAHyvZyk=",0)</f>
        <v>0</v>
      </c>
      <c r="AQ25" t="e">
        <f>AND('SR Speed Relay'!A64,"AAAAAHyvZyo=")</f>
        <v>#VALUE!</v>
      </c>
      <c r="AR25" t="e">
        <f>AND('SR Speed Relay'!B64,"AAAAAHyvZys=")</f>
        <v>#VALUE!</v>
      </c>
      <c r="AS25" t="e">
        <f>AND('SR Speed Relay'!C64,"AAAAAHyvZyw=")</f>
        <v>#VALUE!</v>
      </c>
      <c r="AT25" t="e">
        <f>AND('SR Speed Relay'!D64,"AAAAAHyvZy0=")</f>
        <v>#VALUE!</v>
      </c>
      <c r="AU25" t="e">
        <f>AND('SR Speed Relay'!E64,"AAAAAHyvZy4=")</f>
        <v>#VALUE!</v>
      </c>
      <c r="AV25" t="e">
        <f>AND('SR Speed Relay'!F64,"AAAAAHyvZy8=")</f>
        <v>#VALUE!</v>
      </c>
      <c r="AW25" t="e">
        <f>AND('SR Speed Relay'!G64,"AAAAAHyvZzA=")</f>
        <v>#VALUE!</v>
      </c>
      <c r="AX25" t="e">
        <f>AND('SR Speed Relay'!H64,"AAAAAHyvZzE=")</f>
        <v>#VALUE!</v>
      </c>
      <c r="AY25" t="e">
        <f>AND('SR Speed Relay'!I64,"AAAAAHyvZzI=")</f>
        <v>#VALUE!</v>
      </c>
      <c r="AZ25" t="e">
        <f>AND('SR Speed Relay'!J64,"AAAAAHyvZzM=")</f>
        <v>#VALUE!</v>
      </c>
      <c r="BA25" t="e">
        <f>AND('SR Speed Relay'!K64,"AAAAAHyvZzQ=")</f>
        <v>#VALUE!</v>
      </c>
      <c r="BB25">
        <f>IF('SR Speed Relay'!65:65,"AAAAAHyvZzU=",0)</f>
        <v>0</v>
      </c>
      <c r="BC25" t="e">
        <f>AND('SR Speed Relay'!A65,"AAAAAHyvZzY=")</f>
        <v>#VALUE!</v>
      </c>
      <c r="BD25" t="e">
        <f>AND('SR Speed Relay'!B65,"AAAAAHyvZzc=")</f>
        <v>#VALUE!</v>
      </c>
      <c r="BE25" t="e">
        <f>AND('SR Speed Relay'!C65,"AAAAAHyvZzg=")</f>
        <v>#VALUE!</v>
      </c>
      <c r="BF25" t="e">
        <f>AND('SR Speed Relay'!D65,"AAAAAHyvZzk=")</f>
        <v>#VALUE!</v>
      </c>
      <c r="BG25" t="e">
        <f>AND('SR Speed Relay'!E65,"AAAAAHyvZzo=")</f>
        <v>#VALUE!</v>
      </c>
      <c r="BH25" t="e">
        <f>AND('SR Speed Relay'!F65,"AAAAAHyvZzs=")</f>
        <v>#VALUE!</v>
      </c>
      <c r="BI25" t="e">
        <f>AND('SR Speed Relay'!G65,"AAAAAHyvZzw=")</f>
        <v>#VALUE!</v>
      </c>
      <c r="BJ25" t="e">
        <f>AND('SR Speed Relay'!H65,"AAAAAHyvZz0=")</f>
        <v>#VALUE!</v>
      </c>
      <c r="BK25" t="e">
        <f>AND('SR Speed Relay'!I65,"AAAAAHyvZz4=")</f>
        <v>#VALUE!</v>
      </c>
      <c r="BL25" t="e">
        <f>AND('SR Speed Relay'!J65,"AAAAAHyvZz8=")</f>
        <v>#VALUE!</v>
      </c>
      <c r="BM25" t="e">
        <f>AND('SR Speed Relay'!K65,"AAAAAHyvZ0A=")</f>
        <v>#VALUE!</v>
      </c>
      <c r="BN25">
        <f>IF('SR Speed Relay'!66:66,"AAAAAHyvZ0E=",0)</f>
        <v>0</v>
      </c>
      <c r="BO25" t="e">
        <f>AND('SR Speed Relay'!A66,"AAAAAHyvZ0I=")</f>
        <v>#VALUE!</v>
      </c>
      <c r="BP25" t="e">
        <f>AND('SR Speed Relay'!B66,"AAAAAHyvZ0M=")</f>
        <v>#VALUE!</v>
      </c>
      <c r="BQ25" t="e">
        <f>AND('SR Speed Relay'!C66,"AAAAAHyvZ0Q=")</f>
        <v>#VALUE!</v>
      </c>
      <c r="BR25" t="e">
        <f>AND('SR Speed Relay'!D66,"AAAAAHyvZ0U=")</f>
        <v>#VALUE!</v>
      </c>
      <c r="BS25" t="e">
        <f>AND('SR Speed Relay'!E66,"AAAAAHyvZ0Y=")</f>
        <v>#VALUE!</v>
      </c>
      <c r="BT25" t="e">
        <f>AND('SR Speed Relay'!F66,"AAAAAHyvZ0c=")</f>
        <v>#VALUE!</v>
      </c>
      <c r="BU25" t="e">
        <f>AND('SR Speed Relay'!G66,"AAAAAHyvZ0g=")</f>
        <v>#VALUE!</v>
      </c>
      <c r="BV25" t="e">
        <f>AND('SR Speed Relay'!H66,"AAAAAHyvZ0k=")</f>
        <v>#VALUE!</v>
      </c>
      <c r="BW25" t="e">
        <f>AND('SR Speed Relay'!I66,"AAAAAHyvZ0o=")</f>
        <v>#VALUE!</v>
      </c>
      <c r="BX25" t="e">
        <f>AND('SR Speed Relay'!J66,"AAAAAHyvZ0s=")</f>
        <v>#VALUE!</v>
      </c>
      <c r="BY25" t="e">
        <f>AND('SR Speed Relay'!K66,"AAAAAHyvZ0w=")</f>
        <v>#VALUE!</v>
      </c>
      <c r="BZ25">
        <f>IF('SR Speed Relay'!67:67,"AAAAAHyvZ00=",0)</f>
        <v>0</v>
      </c>
      <c r="CA25" t="e">
        <f>AND('SR Speed Relay'!A67,"AAAAAHyvZ04=")</f>
        <v>#VALUE!</v>
      </c>
      <c r="CB25" t="e">
        <f>AND('SR Speed Relay'!B67,"AAAAAHyvZ08=")</f>
        <v>#VALUE!</v>
      </c>
      <c r="CC25" t="e">
        <f>AND('SR Speed Relay'!C67,"AAAAAHyvZ1A=")</f>
        <v>#VALUE!</v>
      </c>
      <c r="CD25" t="e">
        <f>AND('SR Speed Relay'!D67,"AAAAAHyvZ1E=")</f>
        <v>#VALUE!</v>
      </c>
      <c r="CE25" t="e">
        <f>AND('SR Speed Relay'!E67,"AAAAAHyvZ1I=")</f>
        <v>#VALUE!</v>
      </c>
      <c r="CF25" t="e">
        <f>AND('SR Speed Relay'!F67,"AAAAAHyvZ1M=")</f>
        <v>#VALUE!</v>
      </c>
      <c r="CG25" t="e">
        <f>AND('SR Speed Relay'!G67,"AAAAAHyvZ1Q=")</f>
        <v>#VALUE!</v>
      </c>
      <c r="CH25" t="e">
        <f>AND('SR Speed Relay'!H67,"AAAAAHyvZ1U=")</f>
        <v>#VALUE!</v>
      </c>
      <c r="CI25" t="e">
        <f>AND('SR Speed Relay'!I67,"AAAAAHyvZ1Y=")</f>
        <v>#VALUE!</v>
      </c>
      <c r="CJ25" t="e">
        <f>AND('SR Speed Relay'!J67,"AAAAAHyvZ1c=")</f>
        <v>#VALUE!</v>
      </c>
      <c r="CK25" t="e">
        <f>AND('SR Speed Relay'!K67,"AAAAAHyvZ1g=")</f>
        <v>#VALUE!</v>
      </c>
      <c r="CL25">
        <f>IF('SR Speed Relay'!68:68,"AAAAAHyvZ1k=",0)</f>
        <v>0</v>
      </c>
      <c r="CM25" t="e">
        <f>AND('SR Speed Relay'!A68,"AAAAAHyvZ1o=")</f>
        <v>#VALUE!</v>
      </c>
      <c r="CN25" t="e">
        <f>AND('SR Speed Relay'!B68,"AAAAAHyvZ1s=")</f>
        <v>#VALUE!</v>
      </c>
      <c r="CO25" t="e">
        <f>AND('SR Speed Relay'!C68,"AAAAAHyvZ1w=")</f>
        <v>#VALUE!</v>
      </c>
      <c r="CP25" t="e">
        <f>AND('SR Speed Relay'!D68,"AAAAAHyvZ10=")</f>
        <v>#VALUE!</v>
      </c>
      <c r="CQ25" t="e">
        <f>AND('SR Speed Relay'!E68,"AAAAAHyvZ14=")</f>
        <v>#VALUE!</v>
      </c>
      <c r="CR25" t="e">
        <f>AND('SR Speed Relay'!F68,"AAAAAHyvZ18=")</f>
        <v>#VALUE!</v>
      </c>
      <c r="CS25" t="e">
        <f>AND('SR Speed Relay'!G68,"AAAAAHyvZ2A=")</f>
        <v>#VALUE!</v>
      </c>
      <c r="CT25" t="e">
        <f>AND('SR Speed Relay'!H68,"AAAAAHyvZ2E=")</f>
        <v>#VALUE!</v>
      </c>
      <c r="CU25" t="e">
        <f>AND('SR Speed Relay'!I68,"AAAAAHyvZ2I=")</f>
        <v>#VALUE!</v>
      </c>
      <c r="CV25" t="e">
        <f>AND('SR Speed Relay'!J68,"AAAAAHyvZ2M=")</f>
        <v>#VALUE!</v>
      </c>
      <c r="CW25" t="e">
        <f>AND('SR Speed Relay'!K68,"AAAAAHyvZ2Q=")</f>
        <v>#VALUE!</v>
      </c>
      <c r="CX25">
        <f>IF('SR Speed Relay'!69:69,"AAAAAHyvZ2U=",0)</f>
        <v>0</v>
      </c>
      <c r="CY25" t="e">
        <f>AND('SR Speed Relay'!A69,"AAAAAHyvZ2Y=")</f>
        <v>#VALUE!</v>
      </c>
      <c r="CZ25" t="e">
        <f>AND('SR Speed Relay'!B69,"AAAAAHyvZ2c=")</f>
        <v>#VALUE!</v>
      </c>
      <c r="DA25" t="e">
        <f>AND('SR Speed Relay'!C69,"AAAAAHyvZ2g=")</f>
        <v>#VALUE!</v>
      </c>
      <c r="DB25" t="e">
        <f>AND('SR Speed Relay'!D69,"AAAAAHyvZ2k=")</f>
        <v>#VALUE!</v>
      </c>
      <c r="DC25" t="e">
        <f>AND('SR Speed Relay'!E69,"AAAAAHyvZ2o=")</f>
        <v>#VALUE!</v>
      </c>
      <c r="DD25" t="e">
        <f>AND('SR Speed Relay'!F69,"AAAAAHyvZ2s=")</f>
        <v>#VALUE!</v>
      </c>
      <c r="DE25" t="e">
        <f>AND('SR Speed Relay'!G69,"AAAAAHyvZ2w=")</f>
        <v>#VALUE!</v>
      </c>
      <c r="DF25" t="e">
        <f>AND('SR Speed Relay'!H69,"AAAAAHyvZ20=")</f>
        <v>#VALUE!</v>
      </c>
      <c r="DG25" t="e">
        <f>AND('SR Speed Relay'!I69,"AAAAAHyvZ24=")</f>
        <v>#VALUE!</v>
      </c>
      <c r="DH25" t="e">
        <f>AND('SR Speed Relay'!J69,"AAAAAHyvZ28=")</f>
        <v>#VALUE!</v>
      </c>
      <c r="DI25" t="e">
        <f>AND('SR Speed Relay'!K69,"AAAAAHyvZ3A=")</f>
        <v>#VALUE!</v>
      </c>
      <c r="DJ25">
        <f>IF('SR Speed Relay'!70:70,"AAAAAHyvZ3E=",0)</f>
        <v>0</v>
      </c>
      <c r="DK25" t="e">
        <f>AND('SR Speed Relay'!A70,"AAAAAHyvZ3I=")</f>
        <v>#VALUE!</v>
      </c>
      <c r="DL25" t="e">
        <f>AND('SR Speed Relay'!B70,"AAAAAHyvZ3M=")</f>
        <v>#VALUE!</v>
      </c>
      <c r="DM25" t="e">
        <f>AND('SR Speed Relay'!C70,"AAAAAHyvZ3Q=")</f>
        <v>#VALUE!</v>
      </c>
      <c r="DN25" t="e">
        <f>AND('SR Speed Relay'!D70,"AAAAAHyvZ3U=")</f>
        <v>#VALUE!</v>
      </c>
      <c r="DO25" t="e">
        <f>AND('SR Speed Relay'!E70,"AAAAAHyvZ3Y=")</f>
        <v>#VALUE!</v>
      </c>
      <c r="DP25" t="e">
        <f>AND('SR Speed Relay'!F70,"AAAAAHyvZ3c=")</f>
        <v>#VALUE!</v>
      </c>
      <c r="DQ25" t="e">
        <f>AND('SR Speed Relay'!G70,"AAAAAHyvZ3g=")</f>
        <v>#VALUE!</v>
      </c>
      <c r="DR25" t="e">
        <f>AND('SR Speed Relay'!H70,"AAAAAHyvZ3k=")</f>
        <v>#VALUE!</v>
      </c>
      <c r="DS25" t="e">
        <f>AND('SR Speed Relay'!I70,"AAAAAHyvZ3o=")</f>
        <v>#VALUE!</v>
      </c>
      <c r="DT25" t="e">
        <f>AND('SR Speed Relay'!J70,"AAAAAHyvZ3s=")</f>
        <v>#VALUE!</v>
      </c>
      <c r="DU25" t="e">
        <f>AND('SR Speed Relay'!K70,"AAAAAHyvZ3w=")</f>
        <v>#VALUE!</v>
      </c>
      <c r="DV25">
        <f>IF('SR Speed Relay'!71:71,"AAAAAHyvZ30=",0)</f>
        <v>0</v>
      </c>
      <c r="DW25" t="e">
        <f>AND('SR Speed Relay'!A71,"AAAAAHyvZ34=")</f>
        <v>#VALUE!</v>
      </c>
      <c r="DX25" t="e">
        <f>AND('SR Speed Relay'!B71,"AAAAAHyvZ38=")</f>
        <v>#VALUE!</v>
      </c>
      <c r="DY25" t="e">
        <f>AND('SR Speed Relay'!C71,"AAAAAHyvZ4A=")</f>
        <v>#VALUE!</v>
      </c>
      <c r="DZ25" t="e">
        <f>AND('SR Speed Relay'!D71,"AAAAAHyvZ4E=")</f>
        <v>#VALUE!</v>
      </c>
      <c r="EA25" t="e">
        <f>AND('SR Speed Relay'!E71,"AAAAAHyvZ4I=")</f>
        <v>#VALUE!</v>
      </c>
      <c r="EB25" t="e">
        <f>AND('SR Speed Relay'!F71,"AAAAAHyvZ4M=")</f>
        <v>#VALUE!</v>
      </c>
      <c r="EC25" t="e">
        <f>AND('SR Speed Relay'!G71,"AAAAAHyvZ4Q=")</f>
        <v>#VALUE!</v>
      </c>
      <c r="ED25" t="e">
        <f>AND('SR Speed Relay'!H71,"AAAAAHyvZ4U=")</f>
        <v>#VALUE!</v>
      </c>
      <c r="EE25" t="e">
        <f>AND('SR Speed Relay'!I71,"AAAAAHyvZ4Y=")</f>
        <v>#VALUE!</v>
      </c>
      <c r="EF25" t="e">
        <f>AND('SR Speed Relay'!J71,"AAAAAHyvZ4c=")</f>
        <v>#VALUE!</v>
      </c>
      <c r="EG25" t="e">
        <f>AND('SR Speed Relay'!K71,"AAAAAHyvZ4g=")</f>
        <v>#VALUE!</v>
      </c>
      <c r="EH25">
        <f>IF('SR Speed Relay'!72:72,"AAAAAHyvZ4k=",0)</f>
        <v>0</v>
      </c>
      <c r="EI25" t="e">
        <f>AND('SR Speed Relay'!A72,"AAAAAHyvZ4o=")</f>
        <v>#VALUE!</v>
      </c>
      <c r="EJ25" t="e">
        <f>AND('SR Speed Relay'!B72,"AAAAAHyvZ4s=")</f>
        <v>#VALUE!</v>
      </c>
      <c r="EK25" t="e">
        <f>AND('SR Speed Relay'!C72,"AAAAAHyvZ4w=")</f>
        <v>#VALUE!</v>
      </c>
      <c r="EL25" t="e">
        <f>AND('SR Speed Relay'!D72,"AAAAAHyvZ40=")</f>
        <v>#VALUE!</v>
      </c>
      <c r="EM25" t="e">
        <f>AND('SR Speed Relay'!E72,"AAAAAHyvZ44=")</f>
        <v>#VALUE!</v>
      </c>
      <c r="EN25" t="e">
        <f>AND('SR Speed Relay'!F72,"AAAAAHyvZ48=")</f>
        <v>#VALUE!</v>
      </c>
      <c r="EO25" t="e">
        <f>AND('SR Speed Relay'!G72,"AAAAAHyvZ5A=")</f>
        <v>#VALUE!</v>
      </c>
      <c r="EP25" t="e">
        <f>AND('SR Speed Relay'!H72,"AAAAAHyvZ5E=")</f>
        <v>#VALUE!</v>
      </c>
      <c r="EQ25" t="e">
        <f>AND('SR Speed Relay'!I72,"AAAAAHyvZ5I=")</f>
        <v>#VALUE!</v>
      </c>
      <c r="ER25" t="e">
        <f>AND('SR Speed Relay'!J72,"AAAAAHyvZ5M=")</f>
        <v>#VALUE!</v>
      </c>
      <c r="ES25" t="e">
        <f>AND('SR Speed Relay'!K72,"AAAAAHyvZ5Q=")</f>
        <v>#VALUE!</v>
      </c>
      <c r="ET25" t="str">
        <f>IF('SR Speed Relay'!A:A,"AAAAAHyvZ5U=",0)</f>
        <v>AAAAAHyvZ5U=</v>
      </c>
      <c r="EU25" t="e">
        <f>IF('SR Speed Relay'!B:B,"AAAAAHyvZ5Y=",0)</f>
        <v>#VALUE!</v>
      </c>
      <c r="EV25" t="e">
        <f>IF('SR Speed Relay'!C:C,"AAAAAHyvZ5c=",0)</f>
        <v>#VALUE!</v>
      </c>
      <c r="EW25">
        <f>IF('SR Speed Relay'!D:D,"AAAAAHyvZ5g=",0)</f>
        <v>0</v>
      </c>
      <c r="EX25" t="e">
        <f>IF('SR Speed Relay'!E:E,"AAAAAHyvZ5k=",0)</f>
        <v>#VALUE!</v>
      </c>
      <c r="EY25">
        <f>IF('SR Speed Relay'!F:F,"AAAAAHyvZ5o=",0)</f>
        <v>0</v>
      </c>
      <c r="EZ25" t="e">
        <f>IF('SR Speed Relay'!G:G,"AAAAAHyvZ5s=",0)</f>
        <v>#VALUE!</v>
      </c>
      <c r="FA25">
        <f>IF('SR Speed Relay'!H:H,"AAAAAHyvZ5w=",0)</f>
        <v>0</v>
      </c>
      <c r="FB25" t="e">
        <f>IF('SR Speed Relay'!I:I,"AAAAAHyvZ50=",0)</f>
        <v>#VALUE!</v>
      </c>
      <c r="FC25">
        <f>IF('SR Speed Relay'!J:J,"AAAAAHyvZ54=",0)</f>
        <v>0</v>
      </c>
      <c r="FD25" t="e">
        <f>IF('SR Speed Relay'!K:K,"AAAAAHyvZ58=",0)</f>
        <v>#VALUE!</v>
      </c>
      <c r="FE25">
        <f>IF('DD Speed Relay'!1:1,"AAAAAHyvZ6A=",0)</f>
        <v>0</v>
      </c>
      <c r="FF25" t="e">
        <f>AND('DD Speed Relay'!A1,"AAAAAHyvZ6E=")</f>
        <v>#VALUE!</v>
      </c>
      <c r="FG25" t="e">
        <f>AND('DD Speed Relay'!B1,"AAAAAHyvZ6I=")</f>
        <v>#VALUE!</v>
      </c>
      <c r="FH25" t="e">
        <f>AND('DD Speed Relay'!C1,"AAAAAHyvZ6M=")</f>
        <v>#VALUE!</v>
      </c>
      <c r="FI25" t="e">
        <f>AND('DD Speed Relay'!D1,"AAAAAHyvZ6Q=")</f>
        <v>#VALUE!</v>
      </c>
      <c r="FJ25" t="e">
        <f>AND('DD Speed Relay'!E1,"AAAAAHyvZ6U=")</f>
        <v>#VALUE!</v>
      </c>
      <c r="FK25" t="e">
        <f>AND('DD Speed Relay'!F1,"AAAAAHyvZ6Y=")</f>
        <v>#VALUE!</v>
      </c>
      <c r="FL25" t="e">
        <f>AND('DD Speed Relay'!G1,"AAAAAHyvZ6c=")</f>
        <v>#VALUE!</v>
      </c>
      <c r="FM25" t="e">
        <f>AND('DD Speed Relay'!H1,"AAAAAHyvZ6g=")</f>
        <v>#VALUE!</v>
      </c>
      <c r="FN25" t="e">
        <f>AND('DD Speed Relay'!I1,"AAAAAHyvZ6k=")</f>
        <v>#VALUE!</v>
      </c>
      <c r="FO25">
        <f>IF('DD Speed Relay'!2:2,"AAAAAHyvZ6o=",0)</f>
        <v>0</v>
      </c>
      <c r="FP25" t="e">
        <f>AND('DD Speed Relay'!A2,"AAAAAHyvZ6s=")</f>
        <v>#VALUE!</v>
      </c>
      <c r="FQ25" t="e">
        <f>AND('DD Speed Relay'!B2,"AAAAAHyvZ6w=")</f>
        <v>#VALUE!</v>
      </c>
      <c r="FR25" t="e">
        <f>AND('DD Speed Relay'!C2,"AAAAAHyvZ60=")</f>
        <v>#VALUE!</v>
      </c>
      <c r="FS25" t="e">
        <f>AND('DD Speed Relay'!D2,"AAAAAHyvZ64=")</f>
        <v>#VALUE!</v>
      </c>
      <c r="FT25" t="e">
        <f>AND('DD Speed Relay'!E2,"AAAAAHyvZ68=")</f>
        <v>#VALUE!</v>
      </c>
      <c r="FU25" t="e">
        <f>AND('DD Speed Relay'!F2,"AAAAAHyvZ7A=")</f>
        <v>#VALUE!</v>
      </c>
      <c r="FV25" t="e">
        <f>AND('DD Speed Relay'!G2,"AAAAAHyvZ7E=")</f>
        <v>#VALUE!</v>
      </c>
      <c r="FW25" t="e">
        <f>AND('DD Speed Relay'!H2,"AAAAAHyvZ7I=")</f>
        <v>#VALUE!</v>
      </c>
      <c r="FX25" t="e">
        <f>AND('DD Speed Relay'!I2,"AAAAAHyvZ7M=")</f>
        <v>#VALUE!</v>
      </c>
      <c r="FY25">
        <f>IF('DD Speed Relay'!20:20,"AAAAAHyvZ7Q=",0)</f>
        <v>0</v>
      </c>
      <c r="FZ25" t="e">
        <f>AND('DD Speed Relay'!A20,"AAAAAHyvZ7U=")</f>
        <v>#VALUE!</v>
      </c>
      <c r="GA25" t="e">
        <f>AND('DD Speed Relay'!B20,"AAAAAHyvZ7Y=")</f>
        <v>#VALUE!</v>
      </c>
      <c r="GB25" t="e">
        <f>AND('DD Speed Relay'!C20,"AAAAAHyvZ7c=")</f>
        <v>#VALUE!</v>
      </c>
      <c r="GC25" t="e">
        <f>AND('DD Speed Relay'!D20,"AAAAAHyvZ7g=")</f>
        <v>#VALUE!</v>
      </c>
      <c r="GD25" t="e">
        <f>AND('DD Speed Relay'!E20,"AAAAAHyvZ7k=")</f>
        <v>#VALUE!</v>
      </c>
      <c r="GE25" t="e">
        <f>AND('DD Speed Relay'!F20,"AAAAAHyvZ7o=")</f>
        <v>#VALUE!</v>
      </c>
      <c r="GF25" t="e">
        <f>AND('DD Speed Relay'!G20,"AAAAAHyvZ7s=")</f>
        <v>#VALUE!</v>
      </c>
      <c r="GG25" t="e">
        <f>AND('DD Speed Relay'!H20,"AAAAAHyvZ7w=")</f>
        <v>#VALUE!</v>
      </c>
      <c r="GH25" t="e">
        <f>AND('DD Speed Relay'!I20,"AAAAAHyvZ70=")</f>
        <v>#VALUE!</v>
      </c>
      <c r="GI25">
        <f>IF('DD Speed Relay'!21:21,"AAAAAHyvZ74=",0)</f>
        <v>0</v>
      </c>
      <c r="GJ25" t="e">
        <f>AND('DD Speed Relay'!A21,"AAAAAHyvZ78=")</f>
        <v>#VALUE!</v>
      </c>
      <c r="GK25" t="e">
        <f>AND('DD Speed Relay'!B21,"AAAAAHyvZ8A=")</f>
        <v>#VALUE!</v>
      </c>
      <c r="GL25" t="e">
        <f>AND('DD Speed Relay'!C21,"AAAAAHyvZ8E=")</f>
        <v>#VALUE!</v>
      </c>
      <c r="GM25" t="e">
        <f>AND('DD Speed Relay'!D21,"AAAAAHyvZ8I=")</f>
        <v>#VALUE!</v>
      </c>
      <c r="GN25" t="e">
        <f>AND('DD Speed Relay'!E21,"AAAAAHyvZ8M=")</f>
        <v>#VALUE!</v>
      </c>
      <c r="GO25" t="e">
        <f>AND('DD Speed Relay'!F21,"AAAAAHyvZ8Q=")</f>
        <v>#VALUE!</v>
      </c>
      <c r="GP25" t="e">
        <f>AND('DD Speed Relay'!G21,"AAAAAHyvZ8U=")</f>
        <v>#VALUE!</v>
      </c>
      <c r="GQ25" t="e">
        <f>AND('DD Speed Relay'!H21,"AAAAAHyvZ8Y=")</f>
        <v>#VALUE!</v>
      </c>
      <c r="GR25" t="e">
        <f>AND('DD Speed Relay'!I21,"AAAAAHyvZ8c=")</f>
        <v>#VALUE!</v>
      </c>
      <c r="GS25">
        <f>IF('DD Speed Relay'!22:22,"AAAAAHyvZ8g=",0)</f>
        <v>0</v>
      </c>
      <c r="GT25" t="e">
        <f>AND('DD Speed Relay'!A22,"AAAAAHyvZ8k=")</f>
        <v>#VALUE!</v>
      </c>
      <c r="GU25" t="e">
        <f>AND('DD Speed Relay'!B22,"AAAAAHyvZ8o=")</f>
        <v>#VALUE!</v>
      </c>
      <c r="GV25" t="e">
        <f>AND('DD Speed Relay'!C22,"AAAAAHyvZ8s=")</f>
        <v>#VALUE!</v>
      </c>
      <c r="GW25" t="e">
        <f>AND('DD Speed Relay'!D22,"AAAAAHyvZ8w=")</f>
        <v>#VALUE!</v>
      </c>
      <c r="GX25" t="e">
        <f>AND('DD Speed Relay'!E22,"AAAAAHyvZ80=")</f>
        <v>#VALUE!</v>
      </c>
      <c r="GY25" t="e">
        <f>AND('DD Speed Relay'!F22,"AAAAAHyvZ84=")</f>
        <v>#VALUE!</v>
      </c>
      <c r="GZ25" t="e">
        <f>AND('DD Speed Relay'!G22,"AAAAAHyvZ88=")</f>
        <v>#VALUE!</v>
      </c>
      <c r="HA25" t="e">
        <f>AND('DD Speed Relay'!H22,"AAAAAHyvZ9A=")</f>
        <v>#VALUE!</v>
      </c>
      <c r="HB25" t="e">
        <f>AND('DD Speed Relay'!I22,"AAAAAHyvZ9E=")</f>
        <v>#VALUE!</v>
      </c>
      <c r="HC25">
        <f>IF('DD Speed Relay'!23:23,"AAAAAHyvZ9I=",0)</f>
        <v>0</v>
      </c>
      <c r="HD25" t="e">
        <f>AND('DD Speed Relay'!A23,"AAAAAHyvZ9M=")</f>
        <v>#VALUE!</v>
      </c>
      <c r="HE25" t="e">
        <f>AND('DD Speed Relay'!B23,"AAAAAHyvZ9Q=")</f>
        <v>#VALUE!</v>
      </c>
      <c r="HF25" t="e">
        <f>AND('DD Speed Relay'!C23,"AAAAAHyvZ9U=")</f>
        <v>#VALUE!</v>
      </c>
      <c r="HG25" t="e">
        <f>AND('DD Speed Relay'!D23,"AAAAAHyvZ9Y=")</f>
        <v>#VALUE!</v>
      </c>
      <c r="HH25" t="e">
        <f>AND('DD Speed Relay'!E23,"AAAAAHyvZ9c=")</f>
        <v>#VALUE!</v>
      </c>
      <c r="HI25" t="e">
        <f>AND('DD Speed Relay'!F23,"AAAAAHyvZ9g=")</f>
        <v>#VALUE!</v>
      </c>
      <c r="HJ25" t="e">
        <f>AND('DD Speed Relay'!G23,"AAAAAHyvZ9k=")</f>
        <v>#VALUE!</v>
      </c>
      <c r="HK25" t="e">
        <f>AND('DD Speed Relay'!H23,"AAAAAHyvZ9o=")</f>
        <v>#VALUE!</v>
      </c>
      <c r="HL25" t="e">
        <f>AND('DD Speed Relay'!I23,"AAAAAHyvZ9s=")</f>
        <v>#VALUE!</v>
      </c>
      <c r="HM25">
        <f>IF('DD Speed Relay'!24:24,"AAAAAHyvZ9w=",0)</f>
        <v>0</v>
      </c>
      <c r="HN25" t="e">
        <f>AND('DD Speed Relay'!A24,"AAAAAHyvZ90=")</f>
        <v>#VALUE!</v>
      </c>
      <c r="HO25" t="e">
        <f>AND('DD Speed Relay'!B24,"AAAAAHyvZ94=")</f>
        <v>#VALUE!</v>
      </c>
      <c r="HP25" t="e">
        <f>AND('DD Speed Relay'!C24,"AAAAAHyvZ98=")</f>
        <v>#VALUE!</v>
      </c>
      <c r="HQ25" t="e">
        <f>AND('DD Speed Relay'!D24,"AAAAAHyvZ+A=")</f>
        <v>#VALUE!</v>
      </c>
      <c r="HR25" t="e">
        <f>AND('DD Speed Relay'!E24,"AAAAAHyvZ+E=")</f>
        <v>#VALUE!</v>
      </c>
      <c r="HS25" t="e">
        <f>AND('DD Speed Relay'!F24,"AAAAAHyvZ+I=")</f>
        <v>#VALUE!</v>
      </c>
      <c r="HT25" t="e">
        <f>AND('DD Speed Relay'!G24,"AAAAAHyvZ+M=")</f>
        <v>#VALUE!</v>
      </c>
      <c r="HU25" t="e">
        <f>AND('DD Speed Relay'!H24,"AAAAAHyvZ+Q=")</f>
        <v>#VALUE!</v>
      </c>
      <c r="HV25" t="e">
        <f>AND('DD Speed Relay'!I24,"AAAAAHyvZ+U=")</f>
        <v>#VALUE!</v>
      </c>
      <c r="HW25">
        <f>IF('DD Speed Relay'!25:25,"AAAAAHyvZ+Y=",0)</f>
        <v>0</v>
      </c>
      <c r="HX25" t="e">
        <f>AND('DD Speed Relay'!A25,"AAAAAHyvZ+c=")</f>
        <v>#VALUE!</v>
      </c>
      <c r="HY25" t="e">
        <f>AND('DD Speed Relay'!B25,"AAAAAHyvZ+g=")</f>
        <v>#VALUE!</v>
      </c>
      <c r="HZ25" t="e">
        <f>AND('DD Speed Relay'!C25,"AAAAAHyvZ+k=")</f>
        <v>#VALUE!</v>
      </c>
      <c r="IA25" t="e">
        <f>AND('DD Speed Relay'!D25,"AAAAAHyvZ+o=")</f>
        <v>#VALUE!</v>
      </c>
      <c r="IB25" t="e">
        <f>AND('DD Speed Relay'!E25,"AAAAAHyvZ+s=")</f>
        <v>#VALUE!</v>
      </c>
      <c r="IC25" t="e">
        <f>AND('DD Speed Relay'!F25,"AAAAAHyvZ+w=")</f>
        <v>#VALUE!</v>
      </c>
      <c r="ID25" t="e">
        <f>AND('DD Speed Relay'!G25,"AAAAAHyvZ+0=")</f>
        <v>#VALUE!</v>
      </c>
      <c r="IE25" t="e">
        <f>AND('DD Speed Relay'!H25,"AAAAAHyvZ+4=")</f>
        <v>#VALUE!</v>
      </c>
      <c r="IF25" t="e">
        <f>AND('DD Speed Relay'!I25,"AAAAAHyvZ+8=")</f>
        <v>#VALUE!</v>
      </c>
      <c r="IG25">
        <f>IF('DD Speed Relay'!26:26,"AAAAAHyvZ/A=",0)</f>
        <v>0</v>
      </c>
      <c r="IH25" t="e">
        <f>AND('DD Speed Relay'!A26,"AAAAAHyvZ/E=")</f>
        <v>#VALUE!</v>
      </c>
      <c r="II25" t="e">
        <f>AND('DD Speed Relay'!B26,"AAAAAHyvZ/I=")</f>
        <v>#VALUE!</v>
      </c>
      <c r="IJ25" t="e">
        <f>AND('DD Speed Relay'!C26,"AAAAAHyvZ/M=")</f>
        <v>#VALUE!</v>
      </c>
      <c r="IK25" t="e">
        <f>AND('DD Speed Relay'!D26,"AAAAAHyvZ/Q=")</f>
        <v>#VALUE!</v>
      </c>
      <c r="IL25" t="e">
        <f>AND('DD Speed Relay'!E26,"AAAAAHyvZ/U=")</f>
        <v>#VALUE!</v>
      </c>
      <c r="IM25" t="e">
        <f>AND('DD Speed Relay'!F26,"AAAAAHyvZ/Y=")</f>
        <v>#VALUE!</v>
      </c>
      <c r="IN25" t="e">
        <f>AND('DD Speed Relay'!G26,"AAAAAHyvZ/c=")</f>
        <v>#VALUE!</v>
      </c>
      <c r="IO25" t="e">
        <f>AND('DD Speed Relay'!H26,"AAAAAHyvZ/g=")</f>
        <v>#VALUE!</v>
      </c>
      <c r="IP25" t="e">
        <f>AND('DD Speed Relay'!I26,"AAAAAHyvZ/k=")</f>
        <v>#VALUE!</v>
      </c>
      <c r="IQ25">
        <f>IF('DD Speed Relay'!27:27,"AAAAAHyvZ/o=",0)</f>
        <v>0</v>
      </c>
      <c r="IR25" t="e">
        <f>AND('DD Speed Relay'!A27,"AAAAAHyvZ/s=")</f>
        <v>#VALUE!</v>
      </c>
      <c r="IS25" t="e">
        <f>AND('DD Speed Relay'!B27,"AAAAAHyvZ/w=")</f>
        <v>#VALUE!</v>
      </c>
      <c r="IT25" t="e">
        <f>AND('DD Speed Relay'!C27,"AAAAAHyvZ/0=")</f>
        <v>#VALUE!</v>
      </c>
      <c r="IU25" t="e">
        <f>AND('DD Speed Relay'!D27,"AAAAAHyvZ/4=")</f>
        <v>#VALUE!</v>
      </c>
      <c r="IV25" t="e">
        <f>AND('DD Speed Relay'!E27,"AAAAAHyvZ/8=")</f>
        <v>#VALUE!</v>
      </c>
    </row>
    <row r="26" spans="1:256" x14ac:dyDescent="0.25">
      <c r="A26" t="e">
        <f>AND('DD Speed Relay'!F27,"AAAAAFtX8wA=")</f>
        <v>#VALUE!</v>
      </c>
      <c r="B26" t="e">
        <f>AND('DD Speed Relay'!G27,"AAAAAFtX8wE=")</f>
        <v>#VALUE!</v>
      </c>
      <c r="C26" t="e">
        <f>AND('DD Speed Relay'!H27,"AAAAAFtX8wI=")</f>
        <v>#VALUE!</v>
      </c>
      <c r="D26" t="e">
        <f>AND('DD Speed Relay'!I27,"AAAAAFtX8wM=")</f>
        <v>#VALUE!</v>
      </c>
      <c r="E26" t="e">
        <f>IF('DD Speed Relay'!28:28,"AAAAAFtX8wQ=",0)</f>
        <v>#VALUE!</v>
      </c>
      <c r="F26" t="e">
        <f>AND('DD Speed Relay'!A28,"AAAAAFtX8wU=")</f>
        <v>#VALUE!</v>
      </c>
      <c r="G26" t="e">
        <f>AND('DD Speed Relay'!B28,"AAAAAFtX8wY=")</f>
        <v>#VALUE!</v>
      </c>
      <c r="H26" t="e">
        <f>AND('DD Speed Relay'!C28,"AAAAAFtX8wc=")</f>
        <v>#VALUE!</v>
      </c>
      <c r="I26" t="e">
        <f>AND('DD Speed Relay'!D28,"AAAAAFtX8wg=")</f>
        <v>#VALUE!</v>
      </c>
      <c r="J26" t="e">
        <f>AND('DD Speed Relay'!E28,"AAAAAFtX8wk=")</f>
        <v>#VALUE!</v>
      </c>
      <c r="K26" t="e">
        <f>AND('DD Speed Relay'!F28,"AAAAAFtX8wo=")</f>
        <v>#VALUE!</v>
      </c>
      <c r="L26" t="e">
        <f>AND('DD Speed Relay'!G28,"AAAAAFtX8ws=")</f>
        <v>#VALUE!</v>
      </c>
      <c r="M26" t="e">
        <f>AND('DD Speed Relay'!H28,"AAAAAFtX8ww=")</f>
        <v>#VALUE!</v>
      </c>
      <c r="N26" t="e">
        <f>AND('DD Speed Relay'!I28,"AAAAAFtX8w0=")</f>
        <v>#VALUE!</v>
      </c>
      <c r="O26">
        <f>IF('DD Speed Relay'!29:29,"AAAAAFtX8w4=",0)</f>
        <v>0</v>
      </c>
      <c r="P26" t="e">
        <f>AND('DD Speed Relay'!A29,"AAAAAFtX8w8=")</f>
        <v>#VALUE!</v>
      </c>
      <c r="Q26" t="e">
        <f>AND('DD Speed Relay'!B29,"AAAAAFtX8xA=")</f>
        <v>#VALUE!</v>
      </c>
      <c r="R26" t="e">
        <f>AND('DD Speed Relay'!C29,"AAAAAFtX8xE=")</f>
        <v>#VALUE!</v>
      </c>
      <c r="S26" t="e">
        <f>AND('DD Speed Relay'!D29,"AAAAAFtX8xI=")</f>
        <v>#VALUE!</v>
      </c>
      <c r="T26" t="e">
        <f>AND('DD Speed Relay'!E29,"AAAAAFtX8xM=")</f>
        <v>#VALUE!</v>
      </c>
      <c r="U26" t="e">
        <f>AND('DD Speed Relay'!F29,"AAAAAFtX8xQ=")</f>
        <v>#VALUE!</v>
      </c>
      <c r="V26" t="e">
        <f>AND('DD Speed Relay'!G29,"AAAAAFtX8xU=")</f>
        <v>#VALUE!</v>
      </c>
      <c r="W26" t="e">
        <f>AND('DD Speed Relay'!H29,"AAAAAFtX8xY=")</f>
        <v>#VALUE!</v>
      </c>
      <c r="X26" t="e">
        <f>AND('DD Speed Relay'!I29,"AAAAAFtX8xc=")</f>
        <v>#VALUE!</v>
      </c>
      <c r="Y26">
        <f>IF('DD Speed Relay'!37:37,"AAAAAFtX8xg=",0)</f>
        <v>0</v>
      </c>
      <c r="Z26" t="e">
        <f>AND('DD Speed Relay'!A37,"AAAAAFtX8xk=")</f>
        <v>#VALUE!</v>
      </c>
      <c r="AA26" t="e">
        <f>AND('DD Speed Relay'!B37,"AAAAAFtX8xo=")</f>
        <v>#VALUE!</v>
      </c>
      <c r="AB26" t="e">
        <f>AND('DD Speed Relay'!C37,"AAAAAFtX8xs=")</f>
        <v>#VALUE!</v>
      </c>
      <c r="AC26" t="e">
        <f>AND('DD Speed Relay'!D37,"AAAAAFtX8xw=")</f>
        <v>#VALUE!</v>
      </c>
      <c r="AD26" t="e">
        <f>AND('DD Speed Relay'!E37,"AAAAAFtX8x0=")</f>
        <v>#VALUE!</v>
      </c>
      <c r="AE26" t="e">
        <f>AND('DD Speed Relay'!F37,"AAAAAFtX8x4=")</f>
        <v>#VALUE!</v>
      </c>
      <c r="AF26" t="e">
        <f>AND('DD Speed Relay'!G37,"AAAAAFtX8x8=")</f>
        <v>#VALUE!</v>
      </c>
      <c r="AG26" t="e">
        <f>AND('DD Speed Relay'!H37,"AAAAAFtX8yA=")</f>
        <v>#VALUE!</v>
      </c>
      <c r="AH26" t="e">
        <f>AND('DD Speed Relay'!I37,"AAAAAFtX8yE=")</f>
        <v>#VALUE!</v>
      </c>
      <c r="AI26">
        <f>IF('DD Speed Relay'!38:38,"AAAAAFtX8yI=",0)</f>
        <v>0</v>
      </c>
      <c r="AJ26" t="e">
        <f>AND('DD Speed Relay'!A38,"AAAAAFtX8yM=")</f>
        <v>#VALUE!</v>
      </c>
      <c r="AK26" t="e">
        <f>AND('DD Speed Relay'!B38,"AAAAAFtX8yQ=")</f>
        <v>#VALUE!</v>
      </c>
      <c r="AL26" t="e">
        <f>AND('DD Speed Relay'!C38,"AAAAAFtX8yU=")</f>
        <v>#VALUE!</v>
      </c>
      <c r="AM26" t="e">
        <f>AND('DD Speed Relay'!D38,"AAAAAFtX8yY=")</f>
        <v>#VALUE!</v>
      </c>
      <c r="AN26" t="e">
        <f>AND('DD Speed Relay'!E38,"AAAAAFtX8yc=")</f>
        <v>#VALUE!</v>
      </c>
      <c r="AO26" t="e">
        <f>AND('DD Speed Relay'!F38,"AAAAAFtX8yg=")</f>
        <v>#VALUE!</v>
      </c>
      <c r="AP26" t="e">
        <f>AND('DD Speed Relay'!G38,"AAAAAFtX8yk=")</f>
        <v>#VALUE!</v>
      </c>
      <c r="AQ26" t="e">
        <f>AND('DD Speed Relay'!H38,"AAAAAFtX8yo=")</f>
        <v>#VALUE!</v>
      </c>
      <c r="AR26" t="e">
        <f>AND('DD Speed Relay'!I38,"AAAAAFtX8ys=")</f>
        <v>#VALUE!</v>
      </c>
      <c r="AS26">
        <f>IF('DD Speed Relay'!39:39,"AAAAAFtX8yw=",0)</f>
        <v>0</v>
      </c>
      <c r="AT26" t="e">
        <f>AND('DD Speed Relay'!A39,"AAAAAFtX8y0=")</f>
        <v>#VALUE!</v>
      </c>
      <c r="AU26" t="e">
        <f>AND('DD Speed Relay'!B39,"AAAAAFtX8y4=")</f>
        <v>#VALUE!</v>
      </c>
      <c r="AV26" t="e">
        <f>AND('DD Speed Relay'!C39,"AAAAAFtX8y8=")</f>
        <v>#VALUE!</v>
      </c>
      <c r="AW26" t="e">
        <f>AND('DD Speed Relay'!D39,"AAAAAFtX8zA=")</f>
        <v>#VALUE!</v>
      </c>
      <c r="AX26" t="e">
        <f>AND('DD Speed Relay'!E39,"AAAAAFtX8zE=")</f>
        <v>#VALUE!</v>
      </c>
      <c r="AY26" t="e">
        <f>AND('DD Speed Relay'!F39,"AAAAAFtX8zI=")</f>
        <v>#VALUE!</v>
      </c>
      <c r="AZ26" t="e">
        <f>AND('DD Speed Relay'!G39,"AAAAAFtX8zM=")</f>
        <v>#VALUE!</v>
      </c>
      <c r="BA26" t="e">
        <f>AND('DD Speed Relay'!H39,"AAAAAFtX8zQ=")</f>
        <v>#VALUE!</v>
      </c>
      <c r="BB26" t="e">
        <f>AND('DD Speed Relay'!I39,"AAAAAFtX8zU=")</f>
        <v>#VALUE!</v>
      </c>
      <c r="BC26">
        <f>IF('DD Speed Relay'!40:40,"AAAAAFtX8zY=",0)</f>
        <v>0</v>
      </c>
      <c r="BD26" t="e">
        <f>AND('DD Speed Relay'!A40,"AAAAAFtX8zc=")</f>
        <v>#VALUE!</v>
      </c>
      <c r="BE26" t="e">
        <f>AND('DD Speed Relay'!B40,"AAAAAFtX8zg=")</f>
        <v>#VALUE!</v>
      </c>
      <c r="BF26" t="e">
        <f>AND('DD Speed Relay'!C40,"AAAAAFtX8zk=")</f>
        <v>#VALUE!</v>
      </c>
      <c r="BG26" t="e">
        <f>AND('DD Speed Relay'!D40,"AAAAAFtX8zo=")</f>
        <v>#VALUE!</v>
      </c>
      <c r="BH26" t="e">
        <f>AND('DD Speed Relay'!E40,"AAAAAFtX8zs=")</f>
        <v>#VALUE!</v>
      </c>
      <c r="BI26" t="e">
        <f>AND('DD Speed Relay'!F40,"AAAAAFtX8zw=")</f>
        <v>#VALUE!</v>
      </c>
      <c r="BJ26" t="e">
        <f>AND('DD Speed Relay'!G40,"AAAAAFtX8z0=")</f>
        <v>#VALUE!</v>
      </c>
      <c r="BK26" t="e">
        <f>AND('DD Speed Relay'!H40,"AAAAAFtX8z4=")</f>
        <v>#VALUE!</v>
      </c>
      <c r="BL26" t="e">
        <f>AND('DD Speed Relay'!I40,"AAAAAFtX8z8=")</f>
        <v>#VALUE!</v>
      </c>
      <c r="BM26">
        <f>IF('DD Speed Relay'!41:41,"AAAAAFtX80A=",0)</f>
        <v>0</v>
      </c>
      <c r="BN26" t="e">
        <f>AND('DD Speed Relay'!A41,"AAAAAFtX80E=")</f>
        <v>#VALUE!</v>
      </c>
      <c r="BO26" t="e">
        <f>AND('DD Speed Relay'!B41,"AAAAAFtX80I=")</f>
        <v>#VALUE!</v>
      </c>
      <c r="BP26" t="e">
        <f>AND('DD Speed Relay'!C41,"AAAAAFtX80M=")</f>
        <v>#VALUE!</v>
      </c>
      <c r="BQ26" t="e">
        <f>AND('DD Speed Relay'!D41,"AAAAAFtX80Q=")</f>
        <v>#VALUE!</v>
      </c>
      <c r="BR26" t="e">
        <f>AND('DD Speed Relay'!E41,"AAAAAFtX80U=")</f>
        <v>#VALUE!</v>
      </c>
      <c r="BS26" t="e">
        <f>AND('DD Speed Relay'!F41,"AAAAAFtX80Y=")</f>
        <v>#VALUE!</v>
      </c>
      <c r="BT26" t="e">
        <f>AND('DD Speed Relay'!G41,"AAAAAFtX80c=")</f>
        <v>#VALUE!</v>
      </c>
      <c r="BU26" t="e">
        <f>AND('DD Speed Relay'!H41,"AAAAAFtX80g=")</f>
        <v>#VALUE!</v>
      </c>
      <c r="BV26" t="e">
        <f>AND('DD Speed Relay'!I41,"AAAAAFtX80k=")</f>
        <v>#VALUE!</v>
      </c>
      <c r="BW26">
        <f>IF('DD Speed Relay'!42:42,"AAAAAFtX80o=",0)</f>
        <v>0</v>
      </c>
      <c r="BX26" t="e">
        <f>AND('DD Speed Relay'!A42,"AAAAAFtX80s=")</f>
        <v>#VALUE!</v>
      </c>
      <c r="BY26" t="e">
        <f>AND('DD Speed Relay'!B42,"AAAAAFtX80w=")</f>
        <v>#VALUE!</v>
      </c>
      <c r="BZ26" t="e">
        <f>AND('DD Speed Relay'!C42,"AAAAAFtX800=")</f>
        <v>#VALUE!</v>
      </c>
      <c r="CA26" t="e">
        <f>AND('DD Speed Relay'!D42,"AAAAAFtX804=")</f>
        <v>#VALUE!</v>
      </c>
      <c r="CB26" t="e">
        <f>AND('DD Speed Relay'!E42,"AAAAAFtX808=")</f>
        <v>#VALUE!</v>
      </c>
      <c r="CC26" t="e">
        <f>AND('DD Speed Relay'!F42,"AAAAAFtX81A=")</f>
        <v>#VALUE!</v>
      </c>
      <c r="CD26" t="e">
        <f>AND('DD Speed Relay'!G42,"AAAAAFtX81E=")</f>
        <v>#VALUE!</v>
      </c>
      <c r="CE26" t="e">
        <f>AND('DD Speed Relay'!H42,"AAAAAFtX81I=")</f>
        <v>#VALUE!</v>
      </c>
      <c r="CF26" t="e">
        <f>AND('DD Speed Relay'!I42,"AAAAAFtX81M=")</f>
        <v>#VALUE!</v>
      </c>
      <c r="CG26">
        <f>IF('DD Speed Relay'!43:43,"AAAAAFtX81Q=",0)</f>
        <v>0</v>
      </c>
      <c r="CH26" t="e">
        <f>AND('DD Speed Relay'!A43,"AAAAAFtX81U=")</f>
        <v>#VALUE!</v>
      </c>
      <c r="CI26" t="e">
        <f>AND('DD Speed Relay'!B43,"AAAAAFtX81Y=")</f>
        <v>#VALUE!</v>
      </c>
      <c r="CJ26" t="e">
        <f>AND('DD Speed Relay'!C43,"AAAAAFtX81c=")</f>
        <v>#VALUE!</v>
      </c>
      <c r="CK26" t="e">
        <f>AND('DD Speed Relay'!D43,"AAAAAFtX81g=")</f>
        <v>#VALUE!</v>
      </c>
      <c r="CL26" t="e">
        <f>AND('DD Speed Relay'!E43,"AAAAAFtX81k=")</f>
        <v>#VALUE!</v>
      </c>
      <c r="CM26" t="e">
        <f>AND('DD Speed Relay'!F43,"AAAAAFtX81o=")</f>
        <v>#VALUE!</v>
      </c>
      <c r="CN26" t="e">
        <f>AND('DD Speed Relay'!G43,"AAAAAFtX81s=")</f>
        <v>#VALUE!</v>
      </c>
      <c r="CO26" t="e">
        <f>AND('DD Speed Relay'!H43,"AAAAAFtX81w=")</f>
        <v>#VALUE!</v>
      </c>
      <c r="CP26" t="e">
        <f>AND('DD Speed Relay'!I43,"AAAAAFtX810=")</f>
        <v>#VALUE!</v>
      </c>
      <c r="CQ26">
        <f>IF('DD Speed Relay'!44:44,"AAAAAFtX814=",0)</f>
        <v>0</v>
      </c>
      <c r="CR26" t="e">
        <f>AND('DD Speed Relay'!A44,"AAAAAFtX818=")</f>
        <v>#VALUE!</v>
      </c>
      <c r="CS26" t="e">
        <f>AND('DD Speed Relay'!B44,"AAAAAFtX82A=")</f>
        <v>#VALUE!</v>
      </c>
      <c r="CT26" t="e">
        <f>AND('DD Speed Relay'!C44,"AAAAAFtX82E=")</f>
        <v>#VALUE!</v>
      </c>
      <c r="CU26" t="e">
        <f>AND('DD Speed Relay'!D44,"AAAAAFtX82I=")</f>
        <v>#VALUE!</v>
      </c>
      <c r="CV26" t="e">
        <f>AND('DD Speed Relay'!E44,"AAAAAFtX82M=")</f>
        <v>#VALUE!</v>
      </c>
      <c r="CW26" t="e">
        <f>AND('DD Speed Relay'!F44,"AAAAAFtX82Q=")</f>
        <v>#VALUE!</v>
      </c>
      <c r="CX26" t="e">
        <f>AND('DD Speed Relay'!G44,"AAAAAFtX82U=")</f>
        <v>#VALUE!</v>
      </c>
      <c r="CY26" t="e">
        <f>AND('DD Speed Relay'!H44,"AAAAAFtX82Y=")</f>
        <v>#VALUE!</v>
      </c>
      <c r="CZ26" t="e">
        <f>AND('DD Speed Relay'!I44,"AAAAAFtX82c=")</f>
        <v>#VALUE!</v>
      </c>
      <c r="DA26">
        <f>IF('DD Speed Relay'!45:45,"AAAAAFtX82g=",0)</f>
        <v>0</v>
      </c>
      <c r="DB26" t="e">
        <f>AND('DD Speed Relay'!A45,"AAAAAFtX82k=")</f>
        <v>#VALUE!</v>
      </c>
      <c r="DC26" t="e">
        <f>AND('DD Speed Relay'!B45,"AAAAAFtX82o=")</f>
        <v>#VALUE!</v>
      </c>
      <c r="DD26" t="e">
        <f>AND('DD Speed Relay'!C45,"AAAAAFtX82s=")</f>
        <v>#VALUE!</v>
      </c>
      <c r="DE26" t="e">
        <f>AND('DD Speed Relay'!D45,"AAAAAFtX82w=")</f>
        <v>#VALUE!</v>
      </c>
      <c r="DF26" t="e">
        <f>AND('DD Speed Relay'!E45,"AAAAAFtX820=")</f>
        <v>#VALUE!</v>
      </c>
      <c r="DG26" t="e">
        <f>AND('DD Speed Relay'!F45,"AAAAAFtX824=")</f>
        <v>#VALUE!</v>
      </c>
      <c r="DH26" t="e">
        <f>AND('DD Speed Relay'!G45,"AAAAAFtX828=")</f>
        <v>#VALUE!</v>
      </c>
      <c r="DI26" t="e">
        <f>AND('DD Speed Relay'!H45,"AAAAAFtX83A=")</f>
        <v>#VALUE!</v>
      </c>
      <c r="DJ26" t="e">
        <f>AND('DD Speed Relay'!I45,"AAAAAFtX83E=")</f>
        <v>#VALUE!</v>
      </c>
      <c r="DK26">
        <f>IF('DD Speed Relay'!46:46,"AAAAAFtX83I=",0)</f>
        <v>0</v>
      </c>
      <c r="DL26" t="e">
        <f>AND('DD Speed Relay'!A46,"AAAAAFtX83M=")</f>
        <v>#VALUE!</v>
      </c>
      <c r="DM26" t="e">
        <f>AND('DD Speed Relay'!B46,"AAAAAFtX83Q=")</f>
        <v>#VALUE!</v>
      </c>
      <c r="DN26" t="e">
        <f>AND('DD Speed Relay'!C46,"AAAAAFtX83U=")</f>
        <v>#VALUE!</v>
      </c>
      <c r="DO26" t="e">
        <f>AND('DD Speed Relay'!D46,"AAAAAFtX83Y=")</f>
        <v>#VALUE!</v>
      </c>
      <c r="DP26" t="e">
        <f>AND('DD Speed Relay'!E46,"AAAAAFtX83c=")</f>
        <v>#VALUE!</v>
      </c>
      <c r="DQ26" t="e">
        <f>AND('DD Speed Relay'!F46,"AAAAAFtX83g=")</f>
        <v>#VALUE!</v>
      </c>
      <c r="DR26" t="e">
        <f>AND('DD Speed Relay'!G46,"AAAAAFtX83k=")</f>
        <v>#VALUE!</v>
      </c>
      <c r="DS26" t="e">
        <f>AND('DD Speed Relay'!H46,"AAAAAFtX83o=")</f>
        <v>#VALUE!</v>
      </c>
      <c r="DT26" t="e">
        <f>AND('DD Speed Relay'!I46,"AAAAAFtX83s=")</f>
        <v>#VALUE!</v>
      </c>
      <c r="DU26">
        <f>IF('DD Speed Relay'!51:51,"AAAAAFtX83w=",0)</f>
        <v>0</v>
      </c>
      <c r="DV26" t="e">
        <f>AND('DD Speed Relay'!A51,"AAAAAFtX830=")</f>
        <v>#VALUE!</v>
      </c>
      <c r="DW26" t="e">
        <f>AND('DD Speed Relay'!B51,"AAAAAFtX834=")</f>
        <v>#VALUE!</v>
      </c>
      <c r="DX26" t="e">
        <f>AND('DD Speed Relay'!C51,"AAAAAFtX838=")</f>
        <v>#VALUE!</v>
      </c>
      <c r="DY26" t="e">
        <f>AND('DD Speed Relay'!D51,"AAAAAFtX84A=")</f>
        <v>#VALUE!</v>
      </c>
      <c r="DZ26" t="e">
        <f>AND('DD Speed Relay'!E51,"AAAAAFtX84E=")</f>
        <v>#VALUE!</v>
      </c>
      <c r="EA26" t="e">
        <f>AND('DD Speed Relay'!F51,"AAAAAFtX84I=")</f>
        <v>#VALUE!</v>
      </c>
      <c r="EB26" t="e">
        <f>AND('DD Speed Relay'!G51,"AAAAAFtX84M=")</f>
        <v>#VALUE!</v>
      </c>
      <c r="EC26" t="e">
        <f>AND('DD Speed Relay'!H51,"AAAAAFtX84Q=")</f>
        <v>#VALUE!</v>
      </c>
      <c r="ED26" t="e">
        <f>AND('DD Speed Relay'!I51,"AAAAAFtX84U=")</f>
        <v>#VALUE!</v>
      </c>
      <c r="EE26">
        <f>IF('DD Speed Relay'!52:52,"AAAAAFtX84Y=",0)</f>
        <v>0</v>
      </c>
      <c r="EF26" t="e">
        <f>AND('DD Speed Relay'!A52,"AAAAAFtX84c=")</f>
        <v>#VALUE!</v>
      </c>
      <c r="EG26" t="e">
        <f>AND('DD Speed Relay'!B52,"AAAAAFtX84g=")</f>
        <v>#VALUE!</v>
      </c>
      <c r="EH26" t="e">
        <f>AND('DD Speed Relay'!C52,"AAAAAFtX84k=")</f>
        <v>#VALUE!</v>
      </c>
      <c r="EI26" t="e">
        <f>AND('DD Speed Relay'!D52,"AAAAAFtX84o=")</f>
        <v>#VALUE!</v>
      </c>
      <c r="EJ26" t="e">
        <f>AND('DD Speed Relay'!E52,"AAAAAFtX84s=")</f>
        <v>#VALUE!</v>
      </c>
      <c r="EK26" t="e">
        <f>AND('DD Speed Relay'!F52,"AAAAAFtX84w=")</f>
        <v>#VALUE!</v>
      </c>
      <c r="EL26" t="e">
        <f>AND('DD Speed Relay'!G52,"AAAAAFtX840=")</f>
        <v>#VALUE!</v>
      </c>
      <c r="EM26" t="e">
        <f>AND('DD Speed Relay'!H52,"AAAAAFtX844=")</f>
        <v>#VALUE!</v>
      </c>
      <c r="EN26" t="e">
        <f>AND('DD Speed Relay'!I52,"AAAAAFtX848=")</f>
        <v>#VALUE!</v>
      </c>
      <c r="EO26">
        <f>IF('DD Speed Relay'!53:53,"AAAAAFtX85A=",0)</f>
        <v>0</v>
      </c>
      <c r="EP26" t="e">
        <f>AND('DD Speed Relay'!A53,"AAAAAFtX85E=")</f>
        <v>#VALUE!</v>
      </c>
      <c r="EQ26" t="e">
        <f>AND('DD Speed Relay'!B53,"AAAAAFtX85I=")</f>
        <v>#VALUE!</v>
      </c>
      <c r="ER26" t="e">
        <f>AND('DD Speed Relay'!C53,"AAAAAFtX85M=")</f>
        <v>#VALUE!</v>
      </c>
      <c r="ES26" t="e">
        <f>AND('DD Speed Relay'!D53,"AAAAAFtX85Q=")</f>
        <v>#VALUE!</v>
      </c>
      <c r="ET26" t="e">
        <f>AND('DD Speed Relay'!E53,"AAAAAFtX85U=")</f>
        <v>#VALUE!</v>
      </c>
      <c r="EU26" t="e">
        <f>AND('DD Speed Relay'!F53,"AAAAAFtX85Y=")</f>
        <v>#VALUE!</v>
      </c>
      <c r="EV26" t="e">
        <f>AND('DD Speed Relay'!G53,"AAAAAFtX85c=")</f>
        <v>#VALUE!</v>
      </c>
      <c r="EW26" t="e">
        <f>AND('DD Speed Relay'!H53,"AAAAAFtX85g=")</f>
        <v>#VALUE!</v>
      </c>
      <c r="EX26" t="e">
        <f>AND('DD Speed Relay'!I53,"AAAAAFtX85k=")</f>
        <v>#VALUE!</v>
      </c>
      <c r="EY26">
        <f>IF('DD Speed Relay'!54:54,"AAAAAFtX85o=",0)</f>
        <v>0</v>
      </c>
      <c r="EZ26" t="e">
        <f>AND('DD Speed Relay'!A54,"AAAAAFtX85s=")</f>
        <v>#VALUE!</v>
      </c>
      <c r="FA26" t="e">
        <f>AND('DD Speed Relay'!B54,"AAAAAFtX85w=")</f>
        <v>#VALUE!</v>
      </c>
      <c r="FB26" t="e">
        <f>AND('DD Speed Relay'!C54,"AAAAAFtX850=")</f>
        <v>#VALUE!</v>
      </c>
      <c r="FC26" t="e">
        <f>AND('DD Speed Relay'!D54,"AAAAAFtX854=")</f>
        <v>#VALUE!</v>
      </c>
      <c r="FD26" t="e">
        <f>AND('DD Speed Relay'!E54,"AAAAAFtX858=")</f>
        <v>#VALUE!</v>
      </c>
      <c r="FE26" t="e">
        <f>AND('DD Speed Relay'!F54,"AAAAAFtX86A=")</f>
        <v>#VALUE!</v>
      </c>
      <c r="FF26" t="e">
        <f>AND('DD Speed Relay'!G54,"AAAAAFtX86E=")</f>
        <v>#VALUE!</v>
      </c>
      <c r="FG26" t="e">
        <f>AND('DD Speed Relay'!H54,"AAAAAFtX86I=")</f>
        <v>#VALUE!</v>
      </c>
      <c r="FH26" t="e">
        <f>AND('DD Speed Relay'!I54,"AAAAAFtX86M=")</f>
        <v>#VALUE!</v>
      </c>
      <c r="FI26">
        <f>IF('DD Speed Relay'!55:55,"AAAAAFtX86Q=",0)</f>
        <v>0</v>
      </c>
      <c r="FJ26" t="e">
        <f>AND('DD Speed Relay'!A55,"AAAAAFtX86U=")</f>
        <v>#VALUE!</v>
      </c>
      <c r="FK26" t="e">
        <f>AND('DD Speed Relay'!B55,"AAAAAFtX86Y=")</f>
        <v>#VALUE!</v>
      </c>
      <c r="FL26" t="e">
        <f>AND('DD Speed Relay'!C55,"AAAAAFtX86c=")</f>
        <v>#VALUE!</v>
      </c>
      <c r="FM26" t="e">
        <f>AND('DD Speed Relay'!D55,"AAAAAFtX86g=")</f>
        <v>#VALUE!</v>
      </c>
      <c r="FN26" t="e">
        <f>AND('DD Speed Relay'!E55,"AAAAAFtX86k=")</f>
        <v>#VALUE!</v>
      </c>
      <c r="FO26" t="e">
        <f>AND('DD Speed Relay'!F55,"AAAAAFtX86o=")</f>
        <v>#VALUE!</v>
      </c>
      <c r="FP26" t="e">
        <f>AND('DD Speed Relay'!G55,"AAAAAFtX86s=")</f>
        <v>#VALUE!</v>
      </c>
      <c r="FQ26" t="e">
        <f>AND('DD Speed Relay'!H55,"AAAAAFtX86w=")</f>
        <v>#VALUE!</v>
      </c>
      <c r="FR26" t="e">
        <f>AND('DD Speed Relay'!I55,"AAAAAFtX860=")</f>
        <v>#VALUE!</v>
      </c>
      <c r="FS26">
        <f>IF('DD Speed Relay'!56:56,"AAAAAFtX864=",0)</f>
        <v>0</v>
      </c>
      <c r="FT26" t="e">
        <f>AND('DD Speed Relay'!A56,"AAAAAFtX868=")</f>
        <v>#VALUE!</v>
      </c>
      <c r="FU26" t="e">
        <f>AND('DD Speed Relay'!B56,"AAAAAFtX87A=")</f>
        <v>#VALUE!</v>
      </c>
      <c r="FV26" t="e">
        <f>AND('DD Speed Relay'!C56,"AAAAAFtX87E=")</f>
        <v>#VALUE!</v>
      </c>
      <c r="FW26" t="e">
        <f>AND('DD Speed Relay'!D56,"AAAAAFtX87I=")</f>
        <v>#VALUE!</v>
      </c>
      <c r="FX26" t="e">
        <f>AND('DD Speed Relay'!E56,"AAAAAFtX87M=")</f>
        <v>#VALUE!</v>
      </c>
      <c r="FY26" t="e">
        <f>AND('DD Speed Relay'!F56,"AAAAAFtX87Q=")</f>
        <v>#VALUE!</v>
      </c>
      <c r="FZ26" t="e">
        <f>AND('DD Speed Relay'!G56,"AAAAAFtX87U=")</f>
        <v>#VALUE!</v>
      </c>
      <c r="GA26" t="e">
        <f>AND('DD Speed Relay'!H56,"AAAAAFtX87Y=")</f>
        <v>#VALUE!</v>
      </c>
      <c r="GB26" t="e">
        <f>AND('DD Speed Relay'!I56,"AAAAAFtX87c=")</f>
        <v>#VALUE!</v>
      </c>
      <c r="GC26">
        <f>IF('DD Speed Relay'!57:57,"AAAAAFtX87g=",0)</f>
        <v>0</v>
      </c>
      <c r="GD26" t="e">
        <f>AND('DD Speed Relay'!A57,"AAAAAFtX87k=")</f>
        <v>#VALUE!</v>
      </c>
      <c r="GE26" t="e">
        <f>AND('DD Speed Relay'!B57,"AAAAAFtX87o=")</f>
        <v>#VALUE!</v>
      </c>
      <c r="GF26" t="e">
        <f>AND('DD Speed Relay'!C57,"AAAAAFtX87s=")</f>
        <v>#VALUE!</v>
      </c>
      <c r="GG26" t="e">
        <f>AND('DD Speed Relay'!D57,"AAAAAFtX87w=")</f>
        <v>#VALUE!</v>
      </c>
      <c r="GH26" t="e">
        <f>AND('DD Speed Relay'!E57,"AAAAAFtX870=")</f>
        <v>#VALUE!</v>
      </c>
      <c r="GI26" t="e">
        <f>AND('DD Speed Relay'!F57,"AAAAAFtX874=")</f>
        <v>#VALUE!</v>
      </c>
      <c r="GJ26" t="e">
        <f>AND('DD Speed Relay'!G57,"AAAAAFtX878=")</f>
        <v>#VALUE!</v>
      </c>
      <c r="GK26" t="e">
        <f>AND('DD Speed Relay'!H57,"AAAAAFtX88A=")</f>
        <v>#VALUE!</v>
      </c>
      <c r="GL26" t="e">
        <f>AND('DD Speed Relay'!I57,"AAAAAFtX88E=")</f>
        <v>#VALUE!</v>
      </c>
      <c r="GM26">
        <f>IF('DD Speed Relay'!58:58,"AAAAAFtX88I=",0)</f>
        <v>0</v>
      </c>
      <c r="GN26" t="e">
        <f>AND('DD Speed Relay'!A58,"AAAAAFtX88M=")</f>
        <v>#VALUE!</v>
      </c>
      <c r="GO26" t="e">
        <f>AND('DD Speed Relay'!B58,"AAAAAFtX88Q=")</f>
        <v>#VALUE!</v>
      </c>
      <c r="GP26" t="e">
        <f>AND('DD Speed Relay'!C58,"AAAAAFtX88U=")</f>
        <v>#VALUE!</v>
      </c>
      <c r="GQ26" t="e">
        <f>AND('DD Speed Relay'!D58,"AAAAAFtX88Y=")</f>
        <v>#VALUE!</v>
      </c>
      <c r="GR26" t="e">
        <f>AND('DD Speed Relay'!E58,"AAAAAFtX88c=")</f>
        <v>#VALUE!</v>
      </c>
      <c r="GS26" t="e">
        <f>AND('DD Speed Relay'!F58,"AAAAAFtX88g=")</f>
        <v>#VALUE!</v>
      </c>
      <c r="GT26" t="e">
        <f>AND('DD Speed Relay'!G58,"AAAAAFtX88k=")</f>
        <v>#VALUE!</v>
      </c>
      <c r="GU26" t="e">
        <f>AND('DD Speed Relay'!H58,"AAAAAFtX88o=")</f>
        <v>#VALUE!</v>
      </c>
      <c r="GV26" t="e">
        <f>AND('DD Speed Relay'!I58,"AAAAAFtX88s=")</f>
        <v>#VALUE!</v>
      </c>
      <c r="GW26">
        <f>IF('DD Speed Relay'!59:59,"AAAAAFtX88w=",0)</f>
        <v>0</v>
      </c>
      <c r="GX26" t="e">
        <f>AND('DD Speed Relay'!A59,"AAAAAFtX880=")</f>
        <v>#VALUE!</v>
      </c>
      <c r="GY26" t="e">
        <f>AND('DD Speed Relay'!B59,"AAAAAFtX884=")</f>
        <v>#VALUE!</v>
      </c>
      <c r="GZ26" t="e">
        <f>AND('DD Speed Relay'!C59,"AAAAAFtX888=")</f>
        <v>#VALUE!</v>
      </c>
      <c r="HA26" t="e">
        <f>AND('DD Speed Relay'!D59,"AAAAAFtX89A=")</f>
        <v>#VALUE!</v>
      </c>
      <c r="HB26" t="e">
        <f>AND('DD Speed Relay'!E59,"AAAAAFtX89E=")</f>
        <v>#VALUE!</v>
      </c>
      <c r="HC26" t="e">
        <f>AND('DD Speed Relay'!F59,"AAAAAFtX89I=")</f>
        <v>#VALUE!</v>
      </c>
      <c r="HD26" t="e">
        <f>AND('DD Speed Relay'!G59,"AAAAAFtX89M=")</f>
        <v>#VALUE!</v>
      </c>
      <c r="HE26" t="e">
        <f>AND('DD Speed Relay'!H59,"AAAAAFtX89Q=")</f>
        <v>#VALUE!</v>
      </c>
      <c r="HF26" t="e">
        <f>AND('DD Speed Relay'!I59,"AAAAAFtX89U=")</f>
        <v>#VALUE!</v>
      </c>
      <c r="HG26">
        <f>IF('DD Speed Relay'!60:60,"AAAAAFtX89Y=",0)</f>
        <v>0</v>
      </c>
      <c r="HH26" t="e">
        <f>AND('DD Speed Relay'!A60,"AAAAAFtX89c=")</f>
        <v>#VALUE!</v>
      </c>
      <c r="HI26" t="e">
        <f>AND('DD Speed Relay'!B60,"AAAAAFtX89g=")</f>
        <v>#VALUE!</v>
      </c>
      <c r="HJ26" t="e">
        <f>AND('DD Speed Relay'!C60,"AAAAAFtX89k=")</f>
        <v>#VALUE!</v>
      </c>
      <c r="HK26" t="e">
        <f>AND('DD Speed Relay'!D60,"AAAAAFtX89o=")</f>
        <v>#VALUE!</v>
      </c>
      <c r="HL26" t="e">
        <f>AND('DD Speed Relay'!E60,"AAAAAFtX89s=")</f>
        <v>#VALUE!</v>
      </c>
      <c r="HM26" t="e">
        <f>AND('DD Speed Relay'!F60,"AAAAAFtX89w=")</f>
        <v>#VALUE!</v>
      </c>
      <c r="HN26" t="e">
        <f>AND('DD Speed Relay'!G60,"AAAAAFtX890=")</f>
        <v>#VALUE!</v>
      </c>
      <c r="HO26" t="e">
        <f>AND('DD Speed Relay'!H60,"AAAAAFtX894=")</f>
        <v>#VALUE!</v>
      </c>
      <c r="HP26" t="e">
        <f>AND('DD Speed Relay'!I60,"AAAAAFtX898=")</f>
        <v>#VALUE!</v>
      </c>
      <c r="HQ26">
        <f>IF('DD Speed Relay'!61:61,"AAAAAFtX8+A=",0)</f>
        <v>0</v>
      </c>
      <c r="HR26" t="e">
        <f>AND('DD Speed Relay'!A61,"AAAAAFtX8+E=")</f>
        <v>#VALUE!</v>
      </c>
      <c r="HS26" t="e">
        <f>AND('DD Speed Relay'!B61,"AAAAAFtX8+I=")</f>
        <v>#VALUE!</v>
      </c>
      <c r="HT26" t="e">
        <f>AND('DD Speed Relay'!C61,"AAAAAFtX8+M=")</f>
        <v>#VALUE!</v>
      </c>
      <c r="HU26" t="e">
        <f>AND('DD Speed Relay'!D61,"AAAAAFtX8+Q=")</f>
        <v>#VALUE!</v>
      </c>
      <c r="HV26" t="e">
        <f>AND('DD Speed Relay'!E61,"AAAAAFtX8+U=")</f>
        <v>#VALUE!</v>
      </c>
      <c r="HW26" t="e">
        <f>AND('DD Speed Relay'!F61,"AAAAAFtX8+Y=")</f>
        <v>#VALUE!</v>
      </c>
      <c r="HX26" t="e">
        <f>AND('DD Speed Relay'!G61,"AAAAAFtX8+c=")</f>
        <v>#VALUE!</v>
      </c>
      <c r="HY26" t="e">
        <f>AND('DD Speed Relay'!H61,"AAAAAFtX8+g=")</f>
        <v>#VALUE!</v>
      </c>
      <c r="HZ26" t="e">
        <f>AND('DD Speed Relay'!I61,"AAAAAFtX8+k=")</f>
        <v>#VALUE!</v>
      </c>
      <c r="IA26">
        <f>IF('DD Speed Relay'!62:62,"AAAAAFtX8+o=",0)</f>
        <v>0</v>
      </c>
      <c r="IB26" t="e">
        <f>AND('DD Speed Relay'!A62,"AAAAAFtX8+s=")</f>
        <v>#VALUE!</v>
      </c>
      <c r="IC26" t="e">
        <f>AND('DD Speed Relay'!B62,"AAAAAFtX8+w=")</f>
        <v>#VALUE!</v>
      </c>
      <c r="ID26" t="e">
        <f>AND('DD Speed Relay'!C62,"AAAAAFtX8+0=")</f>
        <v>#VALUE!</v>
      </c>
      <c r="IE26" t="e">
        <f>AND('DD Speed Relay'!D62,"AAAAAFtX8+4=")</f>
        <v>#VALUE!</v>
      </c>
      <c r="IF26" t="e">
        <f>AND('DD Speed Relay'!E62,"AAAAAFtX8+8=")</f>
        <v>#VALUE!</v>
      </c>
      <c r="IG26" t="e">
        <f>AND('DD Speed Relay'!F62,"AAAAAFtX8/A=")</f>
        <v>#VALUE!</v>
      </c>
      <c r="IH26" t="e">
        <f>AND('DD Speed Relay'!G62,"AAAAAFtX8/E=")</f>
        <v>#VALUE!</v>
      </c>
      <c r="II26" t="e">
        <f>AND('DD Speed Relay'!H62,"AAAAAFtX8/I=")</f>
        <v>#VALUE!</v>
      </c>
      <c r="IJ26" t="e">
        <f>AND('DD Speed Relay'!I62,"AAAAAFtX8/M=")</f>
        <v>#VALUE!</v>
      </c>
      <c r="IK26">
        <f>IF('DD Speed Relay'!63:63,"AAAAAFtX8/Q=",0)</f>
        <v>0</v>
      </c>
      <c r="IL26" t="e">
        <f>AND('DD Speed Relay'!A63,"AAAAAFtX8/U=")</f>
        <v>#VALUE!</v>
      </c>
      <c r="IM26" t="e">
        <f>AND('DD Speed Relay'!B63,"AAAAAFtX8/Y=")</f>
        <v>#VALUE!</v>
      </c>
      <c r="IN26" t="e">
        <f>AND('DD Speed Relay'!C63,"AAAAAFtX8/c=")</f>
        <v>#VALUE!</v>
      </c>
      <c r="IO26" t="e">
        <f>AND('DD Speed Relay'!D63,"AAAAAFtX8/g=")</f>
        <v>#VALUE!</v>
      </c>
      <c r="IP26" t="e">
        <f>AND('DD Speed Relay'!E63,"AAAAAFtX8/k=")</f>
        <v>#VALUE!</v>
      </c>
      <c r="IQ26" t="e">
        <f>AND('DD Speed Relay'!F63,"AAAAAFtX8/o=")</f>
        <v>#VALUE!</v>
      </c>
      <c r="IR26" t="e">
        <f>AND('DD Speed Relay'!G63,"AAAAAFtX8/s=")</f>
        <v>#VALUE!</v>
      </c>
      <c r="IS26" t="e">
        <f>AND('DD Speed Relay'!H63,"AAAAAFtX8/w=")</f>
        <v>#VALUE!</v>
      </c>
      <c r="IT26" t="e">
        <f>AND('DD Speed Relay'!I63,"AAAAAFtX8/0=")</f>
        <v>#VALUE!</v>
      </c>
      <c r="IU26">
        <f>IF('DD Speed Relay'!64:64,"AAAAAFtX8/4=",0)</f>
        <v>0</v>
      </c>
      <c r="IV26" t="e">
        <f>AND('DD Speed Relay'!A64,"AAAAAFtX8/8=")</f>
        <v>#VALUE!</v>
      </c>
    </row>
    <row r="27" spans="1:256" x14ac:dyDescent="0.25">
      <c r="A27" t="e">
        <f>AND('DD Speed Relay'!B64,"AAAAAB67ewA=")</f>
        <v>#VALUE!</v>
      </c>
      <c r="B27" t="e">
        <f>AND('DD Speed Relay'!C64,"AAAAAB67ewE=")</f>
        <v>#VALUE!</v>
      </c>
      <c r="C27" t="e">
        <f>AND('DD Speed Relay'!D64,"AAAAAB67ewI=")</f>
        <v>#VALUE!</v>
      </c>
      <c r="D27" t="e">
        <f>AND('DD Speed Relay'!E64,"AAAAAB67ewM=")</f>
        <v>#VALUE!</v>
      </c>
      <c r="E27" t="e">
        <f>AND('DD Speed Relay'!F64,"AAAAAB67ewQ=")</f>
        <v>#VALUE!</v>
      </c>
      <c r="F27" t="e">
        <f>AND('DD Speed Relay'!G64,"AAAAAB67ewU=")</f>
        <v>#VALUE!</v>
      </c>
      <c r="G27" t="e">
        <f>AND('DD Speed Relay'!H64,"AAAAAB67ewY=")</f>
        <v>#VALUE!</v>
      </c>
      <c r="H27" t="e">
        <f>AND('DD Speed Relay'!I64,"AAAAAB67ewc=")</f>
        <v>#VALUE!</v>
      </c>
      <c r="I27" t="e">
        <f>IF('DD Speed Relay'!65:65,"AAAAAB67ewg=",0)</f>
        <v>#VALUE!</v>
      </c>
      <c r="J27" t="e">
        <f>AND('DD Speed Relay'!A65,"AAAAAB67ewk=")</f>
        <v>#VALUE!</v>
      </c>
      <c r="K27" t="e">
        <f>AND('DD Speed Relay'!B65,"AAAAAB67ewo=")</f>
        <v>#VALUE!</v>
      </c>
      <c r="L27" t="e">
        <f>AND('DD Speed Relay'!C65,"AAAAAB67ews=")</f>
        <v>#VALUE!</v>
      </c>
      <c r="M27" t="e">
        <f>AND('DD Speed Relay'!D65,"AAAAAB67eww=")</f>
        <v>#VALUE!</v>
      </c>
      <c r="N27" t="e">
        <f>AND('DD Speed Relay'!E65,"AAAAAB67ew0=")</f>
        <v>#VALUE!</v>
      </c>
      <c r="O27" t="e">
        <f>AND('DD Speed Relay'!F65,"AAAAAB67ew4=")</f>
        <v>#VALUE!</v>
      </c>
      <c r="P27" t="e">
        <f>AND('DD Speed Relay'!G65,"AAAAAB67ew8=")</f>
        <v>#VALUE!</v>
      </c>
      <c r="Q27" t="e">
        <f>AND('DD Speed Relay'!H65,"AAAAAB67exA=")</f>
        <v>#VALUE!</v>
      </c>
      <c r="R27" t="e">
        <f>AND('DD Speed Relay'!I65,"AAAAAB67exE=")</f>
        <v>#VALUE!</v>
      </c>
      <c r="S27">
        <f>IF('DD Speed Relay'!66:66,"AAAAAB67exI=",0)</f>
        <v>0</v>
      </c>
      <c r="T27" t="e">
        <f>AND('DD Speed Relay'!A66,"AAAAAB67exM=")</f>
        <v>#VALUE!</v>
      </c>
      <c r="U27" t="e">
        <f>AND('DD Speed Relay'!B66,"AAAAAB67exQ=")</f>
        <v>#VALUE!</v>
      </c>
      <c r="V27" t="e">
        <f>AND('DD Speed Relay'!C66,"AAAAAB67exU=")</f>
        <v>#VALUE!</v>
      </c>
      <c r="W27" t="e">
        <f>AND('DD Speed Relay'!D66,"AAAAAB67exY=")</f>
        <v>#VALUE!</v>
      </c>
      <c r="X27" t="e">
        <f>AND('DD Speed Relay'!E66,"AAAAAB67exc=")</f>
        <v>#VALUE!</v>
      </c>
      <c r="Y27" t="e">
        <f>AND('DD Speed Relay'!F66,"AAAAAB67exg=")</f>
        <v>#VALUE!</v>
      </c>
      <c r="Z27" t="e">
        <f>AND('DD Speed Relay'!G66,"AAAAAB67exk=")</f>
        <v>#VALUE!</v>
      </c>
      <c r="AA27" t="e">
        <f>AND('DD Speed Relay'!H66,"AAAAAB67exo=")</f>
        <v>#VALUE!</v>
      </c>
      <c r="AB27" t="e">
        <f>AND('DD Speed Relay'!I66,"AAAAAB67exs=")</f>
        <v>#VALUE!</v>
      </c>
      <c r="AC27">
        <f>IF('DD Speed Relay'!67:67,"AAAAAB67exw=",0)</f>
        <v>0</v>
      </c>
      <c r="AD27" t="e">
        <f>AND('DD Speed Relay'!A67,"AAAAAB67ex0=")</f>
        <v>#VALUE!</v>
      </c>
      <c r="AE27" t="e">
        <f>AND('DD Speed Relay'!B67,"AAAAAB67ex4=")</f>
        <v>#VALUE!</v>
      </c>
      <c r="AF27" t="e">
        <f>AND('DD Speed Relay'!C67,"AAAAAB67ex8=")</f>
        <v>#VALUE!</v>
      </c>
      <c r="AG27" t="e">
        <f>AND('DD Speed Relay'!D67,"AAAAAB67eyA=")</f>
        <v>#VALUE!</v>
      </c>
      <c r="AH27" t="e">
        <f>AND('DD Speed Relay'!E67,"AAAAAB67eyE=")</f>
        <v>#VALUE!</v>
      </c>
      <c r="AI27" t="e">
        <f>AND('DD Speed Relay'!F67,"AAAAAB67eyI=")</f>
        <v>#VALUE!</v>
      </c>
      <c r="AJ27" t="e">
        <f>AND('DD Speed Relay'!G67,"AAAAAB67eyM=")</f>
        <v>#VALUE!</v>
      </c>
      <c r="AK27" t="e">
        <f>AND('DD Speed Relay'!H67,"AAAAAB67eyQ=")</f>
        <v>#VALUE!</v>
      </c>
      <c r="AL27" t="e">
        <f>AND('DD Speed Relay'!I67,"AAAAAB67eyU=")</f>
        <v>#VALUE!</v>
      </c>
      <c r="AM27">
        <f>IF('DD Speed Relay'!68:68,"AAAAAB67eyY=",0)</f>
        <v>0</v>
      </c>
      <c r="AN27" t="e">
        <f>AND('DD Speed Relay'!A68,"AAAAAB67eyc=")</f>
        <v>#VALUE!</v>
      </c>
      <c r="AO27" t="e">
        <f>AND('DD Speed Relay'!B68,"AAAAAB67eyg=")</f>
        <v>#VALUE!</v>
      </c>
      <c r="AP27" t="e">
        <f>AND('DD Speed Relay'!C68,"AAAAAB67eyk=")</f>
        <v>#VALUE!</v>
      </c>
      <c r="AQ27" t="e">
        <f>AND('DD Speed Relay'!D68,"AAAAAB67eyo=")</f>
        <v>#VALUE!</v>
      </c>
      <c r="AR27" t="e">
        <f>AND('DD Speed Relay'!E68,"AAAAAB67eys=")</f>
        <v>#VALUE!</v>
      </c>
      <c r="AS27" t="e">
        <f>AND('DD Speed Relay'!F68,"AAAAAB67eyw=")</f>
        <v>#VALUE!</v>
      </c>
      <c r="AT27" t="e">
        <f>AND('DD Speed Relay'!G68,"AAAAAB67ey0=")</f>
        <v>#VALUE!</v>
      </c>
      <c r="AU27" t="e">
        <f>AND('DD Speed Relay'!H68,"AAAAAB67ey4=")</f>
        <v>#VALUE!</v>
      </c>
      <c r="AV27" t="e">
        <f>AND('DD Speed Relay'!I68,"AAAAAB67ey8=")</f>
        <v>#VALUE!</v>
      </c>
      <c r="AW27">
        <f>IF('DD Speed Relay'!69:69,"AAAAAB67ezA=",0)</f>
        <v>0</v>
      </c>
      <c r="AX27" t="e">
        <f>AND('DD Speed Relay'!A69,"AAAAAB67ezE=")</f>
        <v>#VALUE!</v>
      </c>
      <c r="AY27" t="e">
        <f>AND('DD Speed Relay'!B69,"AAAAAB67ezI=")</f>
        <v>#VALUE!</v>
      </c>
      <c r="AZ27" t="e">
        <f>AND('DD Speed Relay'!C69,"AAAAAB67ezM=")</f>
        <v>#VALUE!</v>
      </c>
      <c r="BA27" t="e">
        <f>AND('DD Speed Relay'!D69,"AAAAAB67ezQ=")</f>
        <v>#VALUE!</v>
      </c>
      <c r="BB27" t="e">
        <f>AND('DD Speed Relay'!E69,"AAAAAB67ezU=")</f>
        <v>#VALUE!</v>
      </c>
      <c r="BC27" t="e">
        <f>AND('DD Speed Relay'!F69,"AAAAAB67ezY=")</f>
        <v>#VALUE!</v>
      </c>
      <c r="BD27" t="e">
        <f>AND('DD Speed Relay'!G69,"AAAAAB67ezc=")</f>
        <v>#VALUE!</v>
      </c>
      <c r="BE27" t="e">
        <f>AND('DD Speed Relay'!H69,"AAAAAB67ezg=")</f>
        <v>#VALUE!</v>
      </c>
      <c r="BF27" t="e">
        <f>AND('DD Speed Relay'!I69,"AAAAAB67ezk=")</f>
        <v>#VALUE!</v>
      </c>
      <c r="BG27">
        <f>IF('DD Speed Relay'!70:70,"AAAAAB67ezo=",0)</f>
        <v>0</v>
      </c>
      <c r="BH27" t="e">
        <f>AND('DD Speed Relay'!A70,"AAAAAB67ezs=")</f>
        <v>#VALUE!</v>
      </c>
      <c r="BI27" t="e">
        <f>AND('DD Speed Relay'!B70,"AAAAAB67ezw=")</f>
        <v>#VALUE!</v>
      </c>
      <c r="BJ27" t="e">
        <f>AND('DD Speed Relay'!C70,"AAAAAB67ez0=")</f>
        <v>#VALUE!</v>
      </c>
      <c r="BK27" t="e">
        <f>AND('DD Speed Relay'!D70,"AAAAAB67ez4=")</f>
        <v>#VALUE!</v>
      </c>
      <c r="BL27" t="e">
        <f>AND('DD Speed Relay'!E70,"AAAAAB67ez8=")</f>
        <v>#VALUE!</v>
      </c>
      <c r="BM27" t="e">
        <f>AND('DD Speed Relay'!F70,"AAAAAB67e0A=")</f>
        <v>#VALUE!</v>
      </c>
      <c r="BN27" t="e">
        <f>AND('DD Speed Relay'!G70,"AAAAAB67e0E=")</f>
        <v>#VALUE!</v>
      </c>
      <c r="BO27" t="e">
        <f>AND('DD Speed Relay'!H70,"AAAAAB67e0I=")</f>
        <v>#VALUE!</v>
      </c>
      <c r="BP27" t="e">
        <f>AND('DD Speed Relay'!I70,"AAAAAB67e0M=")</f>
        <v>#VALUE!</v>
      </c>
      <c r="BQ27">
        <f>IF('DD Speed Relay'!71:71,"AAAAAB67e0Q=",0)</f>
        <v>0</v>
      </c>
      <c r="BR27" t="e">
        <f>AND('DD Speed Relay'!A71,"AAAAAB67e0U=")</f>
        <v>#VALUE!</v>
      </c>
      <c r="BS27" t="e">
        <f>AND('DD Speed Relay'!B71,"AAAAAB67e0Y=")</f>
        <v>#VALUE!</v>
      </c>
      <c r="BT27" t="e">
        <f>AND('DD Speed Relay'!C71,"AAAAAB67e0c=")</f>
        <v>#VALUE!</v>
      </c>
      <c r="BU27" t="e">
        <f>AND('DD Speed Relay'!D71,"AAAAAB67e0g=")</f>
        <v>#VALUE!</v>
      </c>
      <c r="BV27" t="e">
        <f>AND('DD Speed Relay'!E71,"AAAAAB67e0k=")</f>
        <v>#VALUE!</v>
      </c>
      <c r="BW27" t="e">
        <f>AND('DD Speed Relay'!F71,"AAAAAB67e0o=")</f>
        <v>#VALUE!</v>
      </c>
      <c r="BX27" t="e">
        <f>AND('DD Speed Relay'!G71,"AAAAAB67e0s=")</f>
        <v>#VALUE!</v>
      </c>
      <c r="BY27" t="e">
        <f>AND('DD Speed Relay'!H71,"AAAAAB67e0w=")</f>
        <v>#VALUE!</v>
      </c>
      <c r="BZ27" t="e">
        <f>AND('DD Speed Relay'!I71,"AAAAAB67e00=")</f>
        <v>#VALUE!</v>
      </c>
      <c r="CA27">
        <f>IF('DD Speed Relay'!72:72,"AAAAAB67e04=",0)</f>
        <v>0</v>
      </c>
      <c r="CB27" t="e">
        <f>AND('DD Speed Relay'!A72,"AAAAAB67e08=")</f>
        <v>#VALUE!</v>
      </c>
      <c r="CC27" t="e">
        <f>AND('DD Speed Relay'!B72,"AAAAAB67e1A=")</f>
        <v>#VALUE!</v>
      </c>
      <c r="CD27" t="e">
        <f>AND('DD Speed Relay'!C72,"AAAAAB67e1E=")</f>
        <v>#VALUE!</v>
      </c>
      <c r="CE27" t="e">
        <f>AND('DD Speed Relay'!D72,"AAAAAB67e1I=")</f>
        <v>#VALUE!</v>
      </c>
      <c r="CF27" t="e">
        <f>AND('DD Speed Relay'!E72,"AAAAAB67e1M=")</f>
        <v>#VALUE!</v>
      </c>
      <c r="CG27" t="e">
        <f>AND('DD Speed Relay'!F72,"AAAAAB67e1Q=")</f>
        <v>#VALUE!</v>
      </c>
      <c r="CH27" t="e">
        <f>AND('DD Speed Relay'!G72,"AAAAAB67e1U=")</f>
        <v>#VALUE!</v>
      </c>
      <c r="CI27" t="e">
        <f>AND('DD Speed Relay'!H72,"AAAAAB67e1Y=")</f>
        <v>#VALUE!</v>
      </c>
      <c r="CJ27" t="e">
        <f>AND('DD Speed Relay'!I72,"AAAAAB67e1c=")</f>
        <v>#VALUE!</v>
      </c>
      <c r="CK27">
        <f>IF('DD Speed Relay'!73:73,"AAAAAB67e1g=",0)</f>
        <v>0</v>
      </c>
      <c r="CL27" t="e">
        <f>AND('DD Speed Relay'!A73,"AAAAAB67e1k=")</f>
        <v>#VALUE!</v>
      </c>
      <c r="CM27" t="e">
        <f>AND('DD Speed Relay'!B73,"AAAAAB67e1o=")</f>
        <v>#VALUE!</v>
      </c>
      <c r="CN27" t="e">
        <f>AND('DD Speed Relay'!C73,"AAAAAB67e1s=")</f>
        <v>#VALUE!</v>
      </c>
      <c r="CO27" t="e">
        <f>AND('DD Speed Relay'!D73,"AAAAAB67e1w=")</f>
        <v>#VALUE!</v>
      </c>
      <c r="CP27" t="e">
        <f>AND('DD Speed Relay'!E73,"AAAAAB67e10=")</f>
        <v>#VALUE!</v>
      </c>
      <c r="CQ27" t="e">
        <f>AND('DD Speed Relay'!F73,"AAAAAB67e14=")</f>
        <v>#VALUE!</v>
      </c>
      <c r="CR27" t="e">
        <f>AND('DD Speed Relay'!G73,"AAAAAB67e18=")</f>
        <v>#VALUE!</v>
      </c>
      <c r="CS27" t="e">
        <f>AND('DD Speed Relay'!H73,"AAAAAB67e2A=")</f>
        <v>#VALUE!</v>
      </c>
      <c r="CT27" t="e">
        <f>AND('DD Speed Relay'!I73,"AAAAAB67e2E=")</f>
        <v>#VALUE!</v>
      </c>
      <c r="CU27">
        <f>IF('DD Speed Relay'!74:74,"AAAAAB67e2I=",0)</f>
        <v>0</v>
      </c>
      <c r="CV27" t="e">
        <f>AND('DD Speed Relay'!A74,"AAAAAB67e2M=")</f>
        <v>#VALUE!</v>
      </c>
      <c r="CW27" t="e">
        <f>AND('DD Speed Relay'!B74,"AAAAAB67e2Q=")</f>
        <v>#VALUE!</v>
      </c>
      <c r="CX27" t="e">
        <f>AND('DD Speed Relay'!C74,"AAAAAB67e2U=")</f>
        <v>#VALUE!</v>
      </c>
      <c r="CY27" t="e">
        <f>AND('DD Speed Relay'!D74,"AAAAAB67e2Y=")</f>
        <v>#VALUE!</v>
      </c>
      <c r="CZ27" t="e">
        <f>AND('DD Speed Relay'!E74,"AAAAAB67e2c=")</f>
        <v>#VALUE!</v>
      </c>
      <c r="DA27" t="e">
        <f>AND('DD Speed Relay'!F74,"AAAAAB67e2g=")</f>
        <v>#VALUE!</v>
      </c>
      <c r="DB27" t="e">
        <f>AND('DD Speed Relay'!G74,"AAAAAB67e2k=")</f>
        <v>#VALUE!</v>
      </c>
      <c r="DC27" t="e">
        <f>AND('DD Speed Relay'!H74,"AAAAAB67e2o=")</f>
        <v>#VALUE!</v>
      </c>
      <c r="DD27" t="e">
        <f>AND('DD Speed Relay'!I74,"AAAAAB67e2s=")</f>
        <v>#VALUE!</v>
      </c>
      <c r="DE27">
        <f>IF('DD Speed Relay'!75:75,"AAAAAB67e2w=",0)</f>
        <v>0</v>
      </c>
      <c r="DF27" t="e">
        <f>AND('DD Speed Relay'!A75,"AAAAAB67e20=")</f>
        <v>#VALUE!</v>
      </c>
      <c r="DG27" t="e">
        <f>AND('DD Speed Relay'!B75,"AAAAAB67e24=")</f>
        <v>#VALUE!</v>
      </c>
      <c r="DH27" t="e">
        <f>AND('DD Speed Relay'!C75,"AAAAAB67e28=")</f>
        <v>#VALUE!</v>
      </c>
      <c r="DI27" t="e">
        <f>AND('DD Speed Relay'!D75,"AAAAAB67e3A=")</f>
        <v>#VALUE!</v>
      </c>
      <c r="DJ27" t="e">
        <f>AND('DD Speed Relay'!E75,"AAAAAB67e3E=")</f>
        <v>#VALUE!</v>
      </c>
      <c r="DK27" t="e">
        <f>AND('DD Speed Relay'!F75,"AAAAAB67e3I=")</f>
        <v>#VALUE!</v>
      </c>
      <c r="DL27" t="e">
        <f>AND('DD Speed Relay'!G75,"AAAAAB67e3M=")</f>
        <v>#VALUE!</v>
      </c>
      <c r="DM27" t="e">
        <f>AND('DD Speed Relay'!H75,"AAAAAB67e3Q=")</f>
        <v>#VALUE!</v>
      </c>
      <c r="DN27" t="e">
        <f>AND('DD Speed Relay'!I75,"AAAAAB67e3U=")</f>
        <v>#VALUE!</v>
      </c>
      <c r="DO27">
        <f>IF('DD Speed Relay'!76:76,"AAAAAB67e3Y=",0)</f>
        <v>0</v>
      </c>
      <c r="DP27" t="e">
        <f>AND('DD Speed Relay'!A76,"AAAAAB67e3c=")</f>
        <v>#VALUE!</v>
      </c>
      <c r="DQ27" t="e">
        <f>AND('DD Speed Relay'!B76,"AAAAAB67e3g=")</f>
        <v>#VALUE!</v>
      </c>
      <c r="DR27" t="e">
        <f>AND('DD Speed Relay'!C76,"AAAAAB67e3k=")</f>
        <v>#VALUE!</v>
      </c>
      <c r="DS27" t="e">
        <f>AND('DD Speed Relay'!D76,"AAAAAB67e3o=")</f>
        <v>#VALUE!</v>
      </c>
      <c r="DT27" t="e">
        <f>AND('DD Speed Relay'!E76,"AAAAAB67e3s=")</f>
        <v>#VALUE!</v>
      </c>
      <c r="DU27" t="e">
        <f>AND('DD Speed Relay'!F76,"AAAAAB67e3w=")</f>
        <v>#VALUE!</v>
      </c>
      <c r="DV27" t="e">
        <f>AND('DD Speed Relay'!G76,"AAAAAB67e30=")</f>
        <v>#VALUE!</v>
      </c>
      <c r="DW27" t="e">
        <f>AND('DD Speed Relay'!H76,"AAAAAB67e34=")</f>
        <v>#VALUE!</v>
      </c>
      <c r="DX27" t="e">
        <f>AND('DD Speed Relay'!I76,"AAAAAB67e38=")</f>
        <v>#VALUE!</v>
      </c>
      <c r="DY27">
        <f>IF('DD Speed Relay'!77:77,"AAAAAB67e4A=",0)</f>
        <v>0</v>
      </c>
      <c r="DZ27" t="e">
        <f>AND('DD Speed Relay'!A77,"AAAAAB67e4E=")</f>
        <v>#VALUE!</v>
      </c>
      <c r="EA27" t="e">
        <f>AND('DD Speed Relay'!B77,"AAAAAB67e4I=")</f>
        <v>#VALUE!</v>
      </c>
      <c r="EB27" t="e">
        <f>AND('DD Speed Relay'!C77,"AAAAAB67e4M=")</f>
        <v>#VALUE!</v>
      </c>
      <c r="EC27" t="e">
        <f>AND('DD Speed Relay'!D77,"AAAAAB67e4Q=")</f>
        <v>#VALUE!</v>
      </c>
      <c r="ED27" t="e">
        <f>AND('DD Speed Relay'!E77,"AAAAAB67e4U=")</f>
        <v>#VALUE!</v>
      </c>
      <c r="EE27" t="e">
        <f>AND('DD Speed Relay'!F77,"AAAAAB67e4Y=")</f>
        <v>#VALUE!</v>
      </c>
      <c r="EF27" t="e">
        <f>AND('DD Speed Relay'!G77,"AAAAAB67e4c=")</f>
        <v>#VALUE!</v>
      </c>
      <c r="EG27" t="e">
        <f>AND('DD Speed Relay'!H77,"AAAAAB67e4g=")</f>
        <v>#VALUE!</v>
      </c>
      <c r="EH27" t="e">
        <f>AND('DD Speed Relay'!I77,"AAAAAB67e4k=")</f>
        <v>#VALUE!</v>
      </c>
      <c r="EI27" t="str">
        <f>IF('DD Speed Relay'!A:A,"AAAAAB67e4o=",0)</f>
        <v>AAAAAB67e4o=</v>
      </c>
      <c r="EJ27" t="e">
        <f>IF('DD Speed Relay'!B:B,"AAAAAB67e4s=",0)</f>
        <v>#VALUE!</v>
      </c>
      <c r="EK27" t="e">
        <f>IF('DD Speed Relay'!C:C,"AAAAAB67e4w=",0)</f>
        <v>#VALUE!</v>
      </c>
      <c r="EL27">
        <f>IF('DD Speed Relay'!D:D,"AAAAAB67e40=",0)</f>
        <v>0</v>
      </c>
      <c r="EM27" t="e">
        <f>IF('DD Speed Relay'!E:E,"AAAAAB67e44=",0)</f>
        <v>#VALUE!</v>
      </c>
      <c r="EN27">
        <f>IF('DD Speed Relay'!F:F,"AAAAAB67e48=",0)</f>
        <v>0</v>
      </c>
      <c r="EO27" t="e">
        <f>IF('DD Speed Relay'!G:G,"AAAAAB67e5A=",0)</f>
        <v>#VALUE!</v>
      </c>
      <c r="EP27">
        <f>IF('DD Speed Relay'!H:H,"AAAAAB67e5E=",0)</f>
        <v>0</v>
      </c>
      <c r="EQ27" t="e">
        <f>IF('DD Speed Relay'!I:I,"AAAAAB67e5I=",0)</f>
        <v>#VALUE!</v>
      </c>
      <c r="ER27">
        <f>IF('DD Pairs Speed'!1:1,"AAAAAB67e5M=",0)</f>
        <v>0</v>
      </c>
      <c r="ES27" t="e">
        <f>AND('DD Pairs Speed'!A1,"AAAAAB67e5Q=")</f>
        <v>#VALUE!</v>
      </c>
      <c r="ET27" t="e">
        <f>AND('DD Pairs Speed'!B1,"AAAAAB67e5U=")</f>
        <v>#VALUE!</v>
      </c>
      <c r="EU27" t="e">
        <f>AND('DD Pairs Speed'!C1,"AAAAAB67e5Y=")</f>
        <v>#VALUE!</v>
      </c>
      <c r="EV27" t="e">
        <f>AND('DD Pairs Speed'!D1,"AAAAAB67e5c=")</f>
        <v>#VALUE!</v>
      </c>
      <c r="EW27" t="e">
        <f>AND('DD Pairs Speed'!E1,"AAAAAB67e5g=")</f>
        <v>#VALUE!</v>
      </c>
      <c r="EX27" t="e">
        <f>AND('DD Pairs Speed'!F1,"AAAAAB67e5k=")</f>
        <v>#VALUE!</v>
      </c>
      <c r="EY27" t="e">
        <f>AND('DD Pairs Speed'!G1,"AAAAAB67e5o=")</f>
        <v>#VALUE!</v>
      </c>
      <c r="EZ27" t="e">
        <f>AND('DD Pairs Speed'!H1,"AAAAAB67e5s=")</f>
        <v>#VALUE!</v>
      </c>
      <c r="FA27" t="e">
        <f>AND('DD Pairs Speed'!I1,"AAAAAB67e5w=")</f>
        <v>#VALUE!</v>
      </c>
      <c r="FB27" t="e">
        <f>AND('DD Pairs Speed'!J1,"AAAAAB67e50=")</f>
        <v>#VALUE!</v>
      </c>
      <c r="FC27" t="e">
        <f>AND('DD Pairs Speed'!K1,"AAAAAB67e54=")</f>
        <v>#VALUE!</v>
      </c>
      <c r="FD27">
        <f>IF('DD Pairs Speed'!2:2,"AAAAAB67e58=",0)</f>
        <v>0</v>
      </c>
      <c r="FE27" t="e">
        <f>AND('DD Pairs Speed'!A2,"AAAAAB67e6A=")</f>
        <v>#VALUE!</v>
      </c>
      <c r="FF27" t="e">
        <f>AND('DD Pairs Speed'!B2,"AAAAAB67e6E=")</f>
        <v>#VALUE!</v>
      </c>
      <c r="FG27" t="e">
        <f>AND('DD Pairs Speed'!C2,"AAAAAB67e6I=")</f>
        <v>#VALUE!</v>
      </c>
      <c r="FH27" t="e">
        <f>AND('DD Pairs Speed'!D2,"AAAAAB67e6M=")</f>
        <v>#VALUE!</v>
      </c>
      <c r="FI27" t="e">
        <f>AND('DD Pairs Speed'!E2,"AAAAAB67e6Q=")</f>
        <v>#VALUE!</v>
      </c>
      <c r="FJ27" t="e">
        <f>AND('DD Pairs Speed'!F2,"AAAAAB67e6U=")</f>
        <v>#VALUE!</v>
      </c>
      <c r="FK27" t="e">
        <f>AND('DD Pairs Speed'!G2,"AAAAAB67e6Y=")</f>
        <v>#VALUE!</v>
      </c>
      <c r="FL27" t="e">
        <f>AND('DD Pairs Speed'!H2,"AAAAAB67e6c=")</f>
        <v>#VALUE!</v>
      </c>
      <c r="FM27" t="e">
        <f>AND('DD Pairs Speed'!I2,"AAAAAB67e6g=")</f>
        <v>#VALUE!</v>
      </c>
      <c r="FN27" t="e">
        <f>AND('DD Pairs Speed'!J2,"AAAAAB67e6k=")</f>
        <v>#VALUE!</v>
      </c>
      <c r="FO27" t="e">
        <f>AND('DD Pairs Speed'!K2,"AAAAAB67e6o=")</f>
        <v>#VALUE!</v>
      </c>
      <c r="FP27">
        <f>IF('DD Pairs Speed'!17:17,"AAAAAB67e6s=",0)</f>
        <v>0</v>
      </c>
      <c r="FQ27" t="e">
        <f>AND('DD Pairs Speed'!A17,"AAAAAB67e6w=")</f>
        <v>#VALUE!</v>
      </c>
      <c r="FR27" t="e">
        <f>AND('DD Pairs Speed'!B17,"AAAAAB67e60=")</f>
        <v>#VALUE!</v>
      </c>
      <c r="FS27" t="e">
        <f>AND('DD Pairs Speed'!C17,"AAAAAB67e64=")</f>
        <v>#VALUE!</v>
      </c>
      <c r="FT27" t="e">
        <f>AND('DD Pairs Speed'!D17,"AAAAAB67e68=")</f>
        <v>#VALUE!</v>
      </c>
      <c r="FU27" t="e">
        <f>AND('DD Pairs Speed'!E17,"AAAAAB67e7A=")</f>
        <v>#VALUE!</v>
      </c>
      <c r="FV27" t="e">
        <f>AND('DD Pairs Speed'!F17,"AAAAAB67e7E=")</f>
        <v>#VALUE!</v>
      </c>
      <c r="FW27" t="e">
        <f>AND('DD Pairs Speed'!G17,"AAAAAB67e7I=")</f>
        <v>#VALUE!</v>
      </c>
      <c r="FX27" t="e">
        <f>AND('DD Pairs Speed'!H17,"AAAAAB67e7M=")</f>
        <v>#VALUE!</v>
      </c>
      <c r="FY27" t="e">
        <f>AND('DD Pairs Speed'!I17,"AAAAAB67e7Q=")</f>
        <v>#VALUE!</v>
      </c>
      <c r="FZ27" t="e">
        <f>AND('DD Pairs Speed'!J17,"AAAAAB67e7U=")</f>
        <v>#VALUE!</v>
      </c>
      <c r="GA27" t="e">
        <f>AND('DD Pairs Speed'!K17,"AAAAAB67e7Y=")</f>
        <v>#VALUE!</v>
      </c>
      <c r="GB27">
        <f>IF('DD Pairs Speed'!18:18,"AAAAAB67e7c=",0)</f>
        <v>0</v>
      </c>
      <c r="GC27" t="e">
        <f>AND('DD Pairs Speed'!A18,"AAAAAB67e7g=")</f>
        <v>#VALUE!</v>
      </c>
      <c r="GD27" t="e">
        <f>AND('DD Pairs Speed'!B18,"AAAAAB67e7k=")</f>
        <v>#VALUE!</v>
      </c>
      <c r="GE27" t="e">
        <f>AND('DD Pairs Speed'!C18,"AAAAAB67e7o=")</f>
        <v>#VALUE!</v>
      </c>
      <c r="GF27" t="e">
        <f>AND('DD Pairs Speed'!D18,"AAAAAB67e7s=")</f>
        <v>#VALUE!</v>
      </c>
      <c r="GG27" t="e">
        <f>AND('DD Pairs Speed'!E18,"AAAAAB67e7w=")</f>
        <v>#VALUE!</v>
      </c>
      <c r="GH27" t="e">
        <f>AND('DD Pairs Speed'!F18,"AAAAAB67e70=")</f>
        <v>#VALUE!</v>
      </c>
      <c r="GI27" t="e">
        <f>AND('DD Pairs Speed'!G18,"AAAAAB67e74=")</f>
        <v>#VALUE!</v>
      </c>
      <c r="GJ27" t="e">
        <f>AND('DD Pairs Speed'!H18,"AAAAAB67e78=")</f>
        <v>#VALUE!</v>
      </c>
      <c r="GK27" t="e">
        <f>AND('DD Pairs Speed'!I18,"AAAAAB67e8A=")</f>
        <v>#VALUE!</v>
      </c>
      <c r="GL27" t="e">
        <f>AND('DD Pairs Speed'!J18,"AAAAAB67e8E=")</f>
        <v>#VALUE!</v>
      </c>
      <c r="GM27" t="e">
        <f>AND('DD Pairs Speed'!K18,"AAAAAB67e8I=")</f>
        <v>#VALUE!</v>
      </c>
      <c r="GN27">
        <f>IF('DD Pairs Speed'!19:19,"AAAAAB67e8M=",0)</f>
        <v>0</v>
      </c>
      <c r="GO27" t="e">
        <f>AND('DD Pairs Speed'!A19,"AAAAAB67e8Q=")</f>
        <v>#VALUE!</v>
      </c>
      <c r="GP27" t="e">
        <f>AND('DD Pairs Speed'!B19,"AAAAAB67e8U=")</f>
        <v>#VALUE!</v>
      </c>
      <c r="GQ27" t="e">
        <f>AND('DD Pairs Speed'!C19,"AAAAAB67e8Y=")</f>
        <v>#VALUE!</v>
      </c>
      <c r="GR27" t="e">
        <f>AND('DD Pairs Speed'!D19,"AAAAAB67e8c=")</f>
        <v>#VALUE!</v>
      </c>
      <c r="GS27" t="e">
        <f>AND('DD Pairs Speed'!E19,"AAAAAB67e8g=")</f>
        <v>#VALUE!</v>
      </c>
      <c r="GT27" t="e">
        <f>AND('DD Pairs Speed'!F19,"AAAAAB67e8k=")</f>
        <v>#VALUE!</v>
      </c>
      <c r="GU27" t="e">
        <f>AND('DD Pairs Speed'!G19,"AAAAAB67e8o=")</f>
        <v>#VALUE!</v>
      </c>
      <c r="GV27" t="e">
        <f>AND('DD Pairs Speed'!H19,"AAAAAB67e8s=")</f>
        <v>#VALUE!</v>
      </c>
      <c r="GW27" t="e">
        <f>AND('DD Pairs Speed'!I19,"AAAAAB67e8w=")</f>
        <v>#VALUE!</v>
      </c>
      <c r="GX27" t="e">
        <f>AND('DD Pairs Speed'!J19,"AAAAAB67e80=")</f>
        <v>#VALUE!</v>
      </c>
      <c r="GY27" t="e">
        <f>AND('DD Pairs Speed'!K19,"AAAAAB67e84=")</f>
        <v>#VALUE!</v>
      </c>
      <c r="GZ27">
        <f>IF('DD Pairs Speed'!20:20,"AAAAAB67e88=",0)</f>
        <v>0</v>
      </c>
      <c r="HA27" t="e">
        <f>AND('DD Pairs Speed'!A20,"AAAAAB67e9A=")</f>
        <v>#VALUE!</v>
      </c>
      <c r="HB27" t="e">
        <f>AND('DD Pairs Speed'!B20,"AAAAAB67e9E=")</f>
        <v>#VALUE!</v>
      </c>
      <c r="HC27" t="e">
        <f>AND('DD Pairs Speed'!C20,"AAAAAB67e9I=")</f>
        <v>#VALUE!</v>
      </c>
      <c r="HD27" t="e">
        <f>AND('DD Pairs Speed'!D20,"AAAAAB67e9M=")</f>
        <v>#VALUE!</v>
      </c>
      <c r="HE27" t="e">
        <f>AND('DD Pairs Speed'!E20,"AAAAAB67e9Q=")</f>
        <v>#VALUE!</v>
      </c>
      <c r="HF27" t="e">
        <f>AND('DD Pairs Speed'!F20,"AAAAAB67e9U=")</f>
        <v>#VALUE!</v>
      </c>
      <c r="HG27" t="e">
        <f>AND('DD Pairs Speed'!G20,"AAAAAB67e9Y=")</f>
        <v>#VALUE!</v>
      </c>
      <c r="HH27" t="e">
        <f>AND('DD Pairs Speed'!H20,"AAAAAB67e9c=")</f>
        <v>#VALUE!</v>
      </c>
      <c r="HI27" t="e">
        <f>AND('DD Pairs Speed'!I20,"AAAAAB67e9g=")</f>
        <v>#VALUE!</v>
      </c>
      <c r="HJ27" t="e">
        <f>AND('DD Pairs Speed'!J20,"AAAAAB67e9k=")</f>
        <v>#VALUE!</v>
      </c>
      <c r="HK27" t="e">
        <f>AND('DD Pairs Speed'!K20,"AAAAAB67e9o=")</f>
        <v>#VALUE!</v>
      </c>
      <c r="HL27">
        <f>IF('DD Pairs Speed'!21:21,"AAAAAB67e9s=",0)</f>
        <v>0</v>
      </c>
      <c r="HM27" t="e">
        <f>AND('DD Pairs Speed'!A21,"AAAAAB67e9w=")</f>
        <v>#VALUE!</v>
      </c>
      <c r="HN27" t="e">
        <f>AND('DD Pairs Speed'!B21,"AAAAAB67e90=")</f>
        <v>#VALUE!</v>
      </c>
      <c r="HO27" t="e">
        <f>AND('DD Pairs Speed'!C21,"AAAAAB67e94=")</f>
        <v>#VALUE!</v>
      </c>
      <c r="HP27" t="e">
        <f>AND('DD Pairs Speed'!D21,"AAAAAB67e98=")</f>
        <v>#VALUE!</v>
      </c>
      <c r="HQ27" t="e">
        <f>AND('DD Pairs Speed'!E21,"AAAAAB67e+A=")</f>
        <v>#VALUE!</v>
      </c>
      <c r="HR27" t="e">
        <f>AND('DD Pairs Speed'!F21,"AAAAAB67e+E=")</f>
        <v>#VALUE!</v>
      </c>
      <c r="HS27" t="e">
        <f>AND('DD Pairs Speed'!G21,"AAAAAB67e+I=")</f>
        <v>#VALUE!</v>
      </c>
      <c r="HT27" t="e">
        <f>AND('DD Pairs Speed'!H21,"AAAAAB67e+M=")</f>
        <v>#VALUE!</v>
      </c>
      <c r="HU27" t="e">
        <f>AND('DD Pairs Speed'!I21,"AAAAAB67e+Q=")</f>
        <v>#VALUE!</v>
      </c>
      <c r="HV27" t="e">
        <f>AND('DD Pairs Speed'!J21,"AAAAAB67e+U=")</f>
        <v>#VALUE!</v>
      </c>
      <c r="HW27" t="e">
        <f>AND('DD Pairs Speed'!K21,"AAAAAB67e+Y=")</f>
        <v>#VALUE!</v>
      </c>
      <c r="HX27">
        <f>IF('DD Pairs Speed'!22:22,"AAAAAB67e+c=",0)</f>
        <v>0</v>
      </c>
      <c r="HY27" t="e">
        <f>AND('DD Pairs Speed'!A22,"AAAAAB67e+g=")</f>
        <v>#VALUE!</v>
      </c>
      <c r="HZ27" t="e">
        <f>AND('DD Pairs Speed'!B22,"AAAAAB67e+k=")</f>
        <v>#VALUE!</v>
      </c>
      <c r="IA27" t="e">
        <f>AND('DD Pairs Speed'!C22,"AAAAAB67e+o=")</f>
        <v>#VALUE!</v>
      </c>
      <c r="IB27" t="e">
        <f>AND('DD Pairs Speed'!D22,"AAAAAB67e+s=")</f>
        <v>#VALUE!</v>
      </c>
      <c r="IC27" t="e">
        <f>AND('DD Pairs Speed'!E22,"AAAAAB67e+w=")</f>
        <v>#VALUE!</v>
      </c>
      <c r="ID27" t="e">
        <f>AND('DD Pairs Speed'!F22,"AAAAAB67e+0=")</f>
        <v>#VALUE!</v>
      </c>
      <c r="IE27" t="e">
        <f>AND('DD Pairs Speed'!G22,"AAAAAB67e+4=")</f>
        <v>#VALUE!</v>
      </c>
      <c r="IF27" t="e">
        <f>AND('DD Pairs Speed'!H22,"AAAAAB67e+8=")</f>
        <v>#VALUE!</v>
      </c>
      <c r="IG27" t="e">
        <f>AND('DD Pairs Speed'!I22,"AAAAAB67e/A=")</f>
        <v>#VALUE!</v>
      </c>
      <c r="IH27" t="e">
        <f>AND('DD Pairs Speed'!J22,"AAAAAB67e/E=")</f>
        <v>#VALUE!</v>
      </c>
      <c r="II27" t="e">
        <f>AND('DD Pairs Speed'!K22,"AAAAAB67e/I=")</f>
        <v>#VALUE!</v>
      </c>
      <c r="IJ27">
        <f>IF('DD Pairs Speed'!23:23,"AAAAAB67e/M=",0)</f>
        <v>0</v>
      </c>
      <c r="IK27" t="e">
        <f>AND('DD Pairs Speed'!A23,"AAAAAB67e/Q=")</f>
        <v>#VALUE!</v>
      </c>
      <c r="IL27" t="e">
        <f>AND('DD Pairs Speed'!B23,"AAAAAB67e/U=")</f>
        <v>#VALUE!</v>
      </c>
      <c r="IM27" t="e">
        <f>AND('DD Pairs Speed'!C23,"AAAAAB67e/Y=")</f>
        <v>#VALUE!</v>
      </c>
      <c r="IN27" t="e">
        <f>AND('DD Pairs Speed'!D23,"AAAAAB67e/c=")</f>
        <v>#VALUE!</v>
      </c>
      <c r="IO27" t="e">
        <f>AND('DD Pairs Speed'!E23,"AAAAAB67e/g=")</f>
        <v>#VALUE!</v>
      </c>
      <c r="IP27" t="e">
        <f>AND('DD Pairs Speed'!F23,"AAAAAB67e/k=")</f>
        <v>#VALUE!</v>
      </c>
      <c r="IQ27" t="e">
        <f>AND('DD Pairs Speed'!G23,"AAAAAB67e/o=")</f>
        <v>#VALUE!</v>
      </c>
      <c r="IR27" t="e">
        <f>AND('DD Pairs Speed'!H23,"AAAAAB67e/s=")</f>
        <v>#VALUE!</v>
      </c>
      <c r="IS27" t="e">
        <f>AND('DD Pairs Speed'!I23,"AAAAAB67e/w=")</f>
        <v>#VALUE!</v>
      </c>
      <c r="IT27" t="e">
        <f>AND('DD Pairs Speed'!J23,"AAAAAB67e/0=")</f>
        <v>#VALUE!</v>
      </c>
      <c r="IU27" t="e">
        <f>AND('DD Pairs Speed'!K23,"AAAAAB67e/4=")</f>
        <v>#VALUE!</v>
      </c>
      <c r="IV27">
        <f>IF('DD Pairs Speed'!24:24,"AAAAAB67e/8=",0)</f>
        <v>0</v>
      </c>
    </row>
    <row r="28" spans="1:256" x14ac:dyDescent="0.25">
      <c r="A28" t="e">
        <f>AND('DD Pairs Speed'!A24,"AAAAAHv/dwA=")</f>
        <v>#VALUE!</v>
      </c>
      <c r="B28" t="e">
        <f>AND('DD Pairs Speed'!B24,"AAAAAHv/dwE=")</f>
        <v>#VALUE!</v>
      </c>
      <c r="C28" t="e">
        <f>AND('DD Pairs Speed'!C24,"AAAAAHv/dwI=")</f>
        <v>#VALUE!</v>
      </c>
      <c r="D28" t="e">
        <f>AND('DD Pairs Speed'!D24,"AAAAAHv/dwM=")</f>
        <v>#VALUE!</v>
      </c>
      <c r="E28" t="e">
        <f>AND('DD Pairs Speed'!E24,"AAAAAHv/dwQ=")</f>
        <v>#VALUE!</v>
      </c>
      <c r="F28" t="e">
        <f>AND('DD Pairs Speed'!F24,"AAAAAHv/dwU=")</f>
        <v>#VALUE!</v>
      </c>
      <c r="G28" t="e">
        <f>AND('DD Pairs Speed'!G24,"AAAAAHv/dwY=")</f>
        <v>#VALUE!</v>
      </c>
      <c r="H28" t="e">
        <f>AND('DD Pairs Speed'!H24,"AAAAAHv/dwc=")</f>
        <v>#VALUE!</v>
      </c>
      <c r="I28" t="e">
        <f>AND('DD Pairs Speed'!I24,"AAAAAHv/dwg=")</f>
        <v>#VALUE!</v>
      </c>
      <c r="J28" t="e">
        <f>AND('DD Pairs Speed'!J24,"AAAAAHv/dwk=")</f>
        <v>#VALUE!</v>
      </c>
      <c r="K28" t="e">
        <f>AND('DD Pairs Speed'!K24,"AAAAAHv/dwo=")</f>
        <v>#VALUE!</v>
      </c>
      <c r="L28">
        <f>IF('DD Pairs Speed'!25:25,"AAAAAHv/dws=",0)</f>
        <v>0</v>
      </c>
      <c r="M28" t="e">
        <f>AND('DD Pairs Speed'!A25,"AAAAAHv/dww=")</f>
        <v>#VALUE!</v>
      </c>
      <c r="N28" t="e">
        <f>AND('DD Pairs Speed'!B25,"AAAAAHv/dw0=")</f>
        <v>#VALUE!</v>
      </c>
      <c r="O28" t="e">
        <f>AND('DD Pairs Speed'!C25,"AAAAAHv/dw4=")</f>
        <v>#VALUE!</v>
      </c>
      <c r="P28" t="e">
        <f>AND('DD Pairs Speed'!D25,"AAAAAHv/dw8=")</f>
        <v>#VALUE!</v>
      </c>
      <c r="Q28" t="e">
        <f>AND('DD Pairs Speed'!E25,"AAAAAHv/dxA=")</f>
        <v>#VALUE!</v>
      </c>
      <c r="R28" t="e">
        <f>AND('DD Pairs Speed'!F25,"AAAAAHv/dxE=")</f>
        <v>#VALUE!</v>
      </c>
      <c r="S28" t="e">
        <f>AND('DD Pairs Speed'!G25,"AAAAAHv/dxI=")</f>
        <v>#VALUE!</v>
      </c>
      <c r="T28" t="e">
        <f>AND('DD Pairs Speed'!H25,"AAAAAHv/dxM=")</f>
        <v>#VALUE!</v>
      </c>
      <c r="U28" t="e">
        <f>AND('DD Pairs Speed'!I25,"AAAAAHv/dxQ=")</f>
        <v>#VALUE!</v>
      </c>
      <c r="V28" t="e">
        <f>AND('DD Pairs Speed'!J25,"AAAAAHv/dxU=")</f>
        <v>#VALUE!</v>
      </c>
      <c r="W28" t="e">
        <f>AND('DD Pairs Speed'!K25,"AAAAAHv/dxY=")</f>
        <v>#VALUE!</v>
      </c>
      <c r="X28">
        <f>IF('DD Pairs Speed'!26:26,"AAAAAHv/dxc=",0)</f>
        <v>0</v>
      </c>
      <c r="Y28" t="e">
        <f>AND('DD Pairs Speed'!A26,"AAAAAHv/dxg=")</f>
        <v>#VALUE!</v>
      </c>
      <c r="Z28" t="e">
        <f>AND('DD Pairs Speed'!B26,"AAAAAHv/dxk=")</f>
        <v>#VALUE!</v>
      </c>
      <c r="AA28" t="e">
        <f>AND('DD Pairs Speed'!C26,"AAAAAHv/dxo=")</f>
        <v>#VALUE!</v>
      </c>
      <c r="AB28" t="e">
        <f>AND('DD Pairs Speed'!D26,"AAAAAHv/dxs=")</f>
        <v>#VALUE!</v>
      </c>
      <c r="AC28" t="e">
        <f>AND('DD Pairs Speed'!E26,"AAAAAHv/dxw=")</f>
        <v>#VALUE!</v>
      </c>
      <c r="AD28" t="e">
        <f>AND('DD Pairs Speed'!F26,"AAAAAHv/dx0=")</f>
        <v>#VALUE!</v>
      </c>
      <c r="AE28" t="e">
        <f>AND('DD Pairs Speed'!G26,"AAAAAHv/dx4=")</f>
        <v>#VALUE!</v>
      </c>
      <c r="AF28" t="e">
        <f>AND('DD Pairs Speed'!H26,"AAAAAHv/dx8=")</f>
        <v>#VALUE!</v>
      </c>
      <c r="AG28" t="e">
        <f>AND('DD Pairs Speed'!I26,"AAAAAHv/dyA=")</f>
        <v>#VALUE!</v>
      </c>
      <c r="AH28" t="e">
        <f>AND('DD Pairs Speed'!J26,"AAAAAHv/dyE=")</f>
        <v>#VALUE!</v>
      </c>
      <c r="AI28" t="e">
        <f>AND('DD Pairs Speed'!K26,"AAAAAHv/dyI=")</f>
        <v>#VALUE!</v>
      </c>
      <c r="AJ28">
        <f>IF('DD Pairs Speed'!31:31,"AAAAAHv/dyM=",0)</f>
        <v>0</v>
      </c>
      <c r="AK28" t="e">
        <f>AND('DD Pairs Speed'!A31,"AAAAAHv/dyQ=")</f>
        <v>#VALUE!</v>
      </c>
      <c r="AL28" t="e">
        <f>AND('DD Pairs Speed'!B31,"AAAAAHv/dyU=")</f>
        <v>#VALUE!</v>
      </c>
      <c r="AM28" t="e">
        <f>AND('DD Pairs Speed'!C31,"AAAAAHv/dyY=")</f>
        <v>#VALUE!</v>
      </c>
      <c r="AN28" t="e">
        <f>AND('DD Pairs Speed'!D31,"AAAAAHv/dyc=")</f>
        <v>#VALUE!</v>
      </c>
      <c r="AO28" t="e">
        <f>AND('DD Pairs Speed'!E31,"AAAAAHv/dyg=")</f>
        <v>#VALUE!</v>
      </c>
      <c r="AP28" t="e">
        <f>AND('DD Pairs Speed'!F31,"AAAAAHv/dyk=")</f>
        <v>#VALUE!</v>
      </c>
      <c r="AQ28" t="e">
        <f>AND('DD Pairs Speed'!G31,"AAAAAHv/dyo=")</f>
        <v>#VALUE!</v>
      </c>
      <c r="AR28" t="e">
        <f>AND('DD Pairs Speed'!H31,"AAAAAHv/dys=")</f>
        <v>#VALUE!</v>
      </c>
      <c r="AS28" t="e">
        <f>AND('DD Pairs Speed'!I31,"AAAAAHv/dyw=")</f>
        <v>#VALUE!</v>
      </c>
      <c r="AT28" t="e">
        <f>AND('DD Pairs Speed'!J31,"AAAAAHv/dy0=")</f>
        <v>#VALUE!</v>
      </c>
      <c r="AU28" t="e">
        <f>AND('DD Pairs Speed'!K31,"AAAAAHv/dy4=")</f>
        <v>#VALUE!</v>
      </c>
      <c r="AV28">
        <f>IF('DD Pairs Speed'!32:32,"AAAAAHv/dy8=",0)</f>
        <v>0</v>
      </c>
      <c r="AW28" t="e">
        <f>AND('DD Pairs Speed'!A32,"AAAAAHv/dzA=")</f>
        <v>#VALUE!</v>
      </c>
      <c r="AX28" t="e">
        <f>AND('DD Pairs Speed'!B32,"AAAAAHv/dzE=")</f>
        <v>#VALUE!</v>
      </c>
      <c r="AY28" t="e">
        <f>AND('DD Pairs Speed'!C32,"AAAAAHv/dzI=")</f>
        <v>#VALUE!</v>
      </c>
      <c r="AZ28" t="e">
        <f>AND('DD Pairs Speed'!D32,"AAAAAHv/dzM=")</f>
        <v>#VALUE!</v>
      </c>
      <c r="BA28" t="e">
        <f>AND('DD Pairs Speed'!E32,"AAAAAHv/dzQ=")</f>
        <v>#VALUE!</v>
      </c>
      <c r="BB28" t="e">
        <f>AND('DD Pairs Speed'!F32,"AAAAAHv/dzU=")</f>
        <v>#VALUE!</v>
      </c>
      <c r="BC28" t="e">
        <f>AND('DD Pairs Speed'!G32,"AAAAAHv/dzY=")</f>
        <v>#VALUE!</v>
      </c>
      <c r="BD28" t="e">
        <f>AND('DD Pairs Speed'!H32,"AAAAAHv/dzc=")</f>
        <v>#VALUE!</v>
      </c>
      <c r="BE28" t="e">
        <f>AND('DD Pairs Speed'!I32,"AAAAAHv/dzg=")</f>
        <v>#VALUE!</v>
      </c>
      <c r="BF28" t="e">
        <f>AND('DD Pairs Speed'!J32,"AAAAAHv/dzk=")</f>
        <v>#VALUE!</v>
      </c>
      <c r="BG28" t="e">
        <f>AND('DD Pairs Speed'!K32,"AAAAAHv/dzo=")</f>
        <v>#VALUE!</v>
      </c>
      <c r="BH28">
        <f>IF('DD Pairs Speed'!33:33,"AAAAAHv/dzs=",0)</f>
        <v>0</v>
      </c>
      <c r="BI28" t="e">
        <f>AND('DD Pairs Speed'!A33,"AAAAAHv/dzw=")</f>
        <v>#VALUE!</v>
      </c>
      <c r="BJ28" t="e">
        <f>AND('DD Pairs Speed'!B33,"AAAAAHv/dz0=")</f>
        <v>#VALUE!</v>
      </c>
      <c r="BK28" t="e">
        <f>AND('DD Pairs Speed'!C33,"AAAAAHv/dz4=")</f>
        <v>#VALUE!</v>
      </c>
      <c r="BL28" t="e">
        <f>AND('DD Pairs Speed'!D33,"AAAAAHv/dz8=")</f>
        <v>#VALUE!</v>
      </c>
      <c r="BM28" t="e">
        <f>AND('DD Pairs Speed'!E33,"AAAAAHv/d0A=")</f>
        <v>#VALUE!</v>
      </c>
      <c r="BN28" t="e">
        <f>AND('DD Pairs Speed'!F33,"AAAAAHv/d0E=")</f>
        <v>#VALUE!</v>
      </c>
      <c r="BO28" t="e">
        <f>AND('DD Pairs Speed'!G33,"AAAAAHv/d0I=")</f>
        <v>#VALUE!</v>
      </c>
      <c r="BP28" t="e">
        <f>AND('DD Pairs Speed'!H33,"AAAAAHv/d0M=")</f>
        <v>#VALUE!</v>
      </c>
      <c r="BQ28" t="e">
        <f>AND('DD Pairs Speed'!I33,"AAAAAHv/d0Q=")</f>
        <v>#VALUE!</v>
      </c>
      <c r="BR28" t="e">
        <f>AND('DD Pairs Speed'!J33,"AAAAAHv/d0U=")</f>
        <v>#VALUE!</v>
      </c>
      <c r="BS28" t="e">
        <f>AND('DD Pairs Speed'!K33,"AAAAAHv/d0Y=")</f>
        <v>#VALUE!</v>
      </c>
      <c r="BT28">
        <f>IF('DD Pairs Speed'!34:34,"AAAAAHv/d0c=",0)</f>
        <v>0</v>
      </c>
      <c r="BU28" t="e">
        <f>AND('DD Pairs Speed'!A34,"AAAAAHv/d0g=")</f>
        <v>#VALUE!</v>
      </c>
      <c r="BV28" t="e">
        <f>AND('DD Pairs Speed'!B34,"AAAAAHv/d0k=")</f>
        <v>#VALUE!</v>
      </c>
      <c r="BW28" t="e">
        <f>AND('DD Pairs Speed'!C34,"AAAAAHv/d0o=")</f>
        <v>#VALUE!</v>
      </c>
      <c r="BX28" t="e">
        <f>AND('DD Pairs Speed'!D34,"AAAAAHv/d0s=")</f>
        <v>#VALUE!</v>
      </c>
      <c r="BY28" t="e">
        <f>AND('DD Pairs Speed'!E34,"AAAAAHv/d0w=")</f>
        <v>#VALUE!</v>
      </c>
      <c r="BZ28" t="e">
        <f>AND('DD Pairs Speed'!F34,"AAAAAHv/d00=")</f>
        <v>#VALUE!</v>
      </c>
      <c r="CA28" t="e">
        <f>AND('DD Pairs Speed'!G34,"AAAAAHv/d04=")</f>
        <v>#VALUE!</v>
      </c>
      <c r="CB28" t="e">
        <f>AND('DD Pairs Speed'!H34,"AAAAAHv/d08=")</f>
        <v>#VALUE!</v>
      </c>
      <c r="CC28" t="e">
        <f>AND('DD Pairs Speed'!I34,"AAAAAHv/d1A=")</f>
        <v>#VALUE!</v>
      </c>
      <c r="CD28" t="e">
        <f>AND('DD Pairs Speed'!J34,"AAAAAHv/d1E=")</f>
        <v>#VALUE!</v>
      </c>
      <c r="CE28" t="e">
        <f>AND('DD Pairs Speed'!K34,"AAAAAHv/d1I=")</f>
        <v>#VALUE!</v>
      </c>
      <c r="CF28">
        <f>IF('DD Pairs Speed'!35:35,"AAAAAHv/d1M=",0)</f>
        <v>0</v>
      </c>
      <c r="CG28" t="e">
        <f>AND('DD Pairs Speed'!A35,"AAAAAHv/d1Q=")</f>
        <v>#VALUE!</v>
      </c>
      <c r="CH28" t="e">
        <f>AND('DD Pairs Speed'!B35,"AAAAAHv/d1U=")</f>
        <v>#VALUE!</v>
      </c>
      <c r="CI28" t="e">
        <f>AND('DD Pairs Speed'!C35,"AAAAAHv/d1Y=")</f>
        <v>#VALUE!</v>
      </c>
      <c r="CJ28" t="e">
        <f>AND('DD Pairs Speed'!D35,"AAAAAHv/d1c=")</f>
        <v>#VALUE!</v>
      </c>
      <c r="CK28" t="e">
        <f>AND('DD Pairs Speed'!E35,"AAAAAHv/d1g=")</f>
        <v>#VALUE!</v>
      </c>
      <c r="CL28" t="e">
        <f>AND('DD Pairs Speed'!F35,"AAAAAHv/d1k=")</f>
        <v>#VALUE!</v>
      </c>
      <c r="CM28" t="e">
        <f>AND('DD Pairs Speed'!G35,"AAAAAHv/d1o=")</f>
        <v>#VALUE!</v>
      </c>
      <c r="CN28" t="e">
        <f>AND('DD Pairs Speed'!H35,"AAAAAHv/d1s=")</f>
        <v>#VALUE!</v>
      </c>
      <c r="CO28" t="e">
        <f>AND('DD Pairs Speed'!I35,"AAAAAHv/d1w=")</f>
        <v>#VALUE!</v>
      </c>
      <c r="CP28" t="e">
        <f>AND('DD Pairs Speed'!J35,"AAAAAHv/d10=")</f>
        <v>#VALUE!</v>
      </c>
      <c r="CQ28" t="e">
        <f>AND('DD Pairs Speed'!K35,"AAAAAHv/d14=")</f>
        <v>#VALUE!</v>
      </c>
      <c r="CR28">
        <f>IF('DD Pairs Speed'!36:36,"AAAAAHv/d18=",0)</f>
        <v>0</v>
      </c>
      <c r="CS28" t="e">
        <f>AND('DD Pairs Speed'!A36,"AAAAAHv/d2A=")</f>
        <v>#VALUE!</v>
      </c>
      <c r="CT28" t="e">
        <f>AND('DD Pairs Speed'!B36,"AAAAAHv/d2E=")</f>
        <v>#VALUE!</v>
      </c>
      <c r="CU28" t="e">
        <f>AND('DD Pairs Speed'!C36,"AAAAAHv/d2I=")</f>
        <v>#VALUE!</v>
      </c>
      <c r="CV28" t="e">
        <f>AND('DD Pairs Speed'!D36,"AAAAAHv/d2M=")</f>
        <v>#VALUE!</v>
      </c>
      <c r="CW28" t="e">
        <f>AND('DD Pairs Speed'!E36,"AAAAAHv/d2Q=")</f>
        <v>#VALUE!</v>
      </c>
      <c r="CX28" t="e">
        <f>AND('DD Pairs Speed'!F36,"AAAAAHv/d2U=")</f>
        <v>#VALUE!</v>
      </c>
      <c r="CY28" t="e">
        <f>AND('DD Pairs Speed'!G36,"AAAAAHv/d2Y=")</f>
        <v>#VALUE!</v>
      </c>
      <c r="CZ28" t="e">
        <f>AND('DD Pairs Speed'!H36,"AAAAAHv/d2c=")</f>
        <v>#VALUE!</v>
      </c>
      <c r="DA28" t="e">
        <f>AND('DD Pairs Speed'!I36,"AAAAAHv/d2g=")</f>
        <v>#VALUE!</v>
      </c>
      <c r="DB28" t="e">
        <f>AND('DD Pairs Speed'!J36,"AAAAAHv/d2k=")</f>
        <v>#VALUE!</v>
      </c>
      <c r="DC28" t="e">
        <f>AND('DD Pairs Speed'!K36,"AAAAAHv/d2o=")</f>
        <v>#VALUE!</v>
      </c>
      <c r="DD28">
        <f>IF('DD Pairs Speed'!37:37,"AAAAAHv/d2s=",0)</f>
        <v>0</v>
      </c>
      <c r="DE28" t="e">
        <f>AND('DD Pairs Speed'!A37,"AAAAAHv/d2w=")</f>
        <v>#VALUE!</v>
      </c>
      <c r="DF28" t="e">
        <f>AND('DD Pairs Speed'!B37,"AAAAAHv/d20=")</f>
        <v>#VALUE!</v>
      </c>
      <c r="DG28" t="e">
        <f>AND('DD Pairs Speed'!C37,"AAAAAHv/d24=")</f>
        <v>#VALUE!</v>
      </c>
      <c r="DH28" t="e">
        <f>AND('DD Pairs Speed'!D37,"AAAAAHv/d28=")</f>
        <v>#VALUE!</v>
      </c>
      <c r="DI28" t="e">
        <f>AND('DD Pairs Speed'!E37,"AAAAAHv/d3A=")</f>
        <v>#VALUE!</v>
      </c>
      <c r="DJ28" t="e">
        <f>AND('DD Pairs Speed'!F37,"AAAAAHv/d3E=")</f>
        <v>#VALUE!</v>
      </c>
      <c r="DK28" t="e">
        <f>AND('DD Pairs Speed'!G37,"AAAAAHv/d3I=")</f>
        <v>#VALUE!</v>
      </c>
      <c r="DL28" t="e">
        <f>AND('DD Pairs Speed'!H37,"AAAAAHv/d3M=")</f>
        <v>#VALUE!</v>
      </c>
      <c r="DM28" t="e">
        <f>AND('DD Pairs Speed'!I37,"AAAAAHv/d3Q=")</f>
        <v>#VALUE!</v>
      </c>
      <c r="DN28" t="e">
        <f>AND('DD Pairs Speed'!J37,"AAAAAHv/d3U=")</f>
        <v>#VALUE!</v>
      </c>
      <c r="DO28" t="e">
        <f>AND('DD Pairs Speed'!K37,"AAAAAHv/d3Y=")</f>
        <v>#VALUE!</v>
      </c>
      <c r="DP28">
        <f>IF('DD Pairs Speed'!38:38,"AAAAAHv/d3c=",0)</f>
        <v>0</v>
      </c>
      <c r="DQ28" t="e">
        <f>AND('DD Pairs Speed'!A38,"AAAAAHv/d3g=")</f>
        <v>#VALUE!</v>
      </c>
      <c r="DR28" t="e">
        <f>AND('DD Pairs Speed'!B38,"AAAAAHv/d3k=")</f>
        <v>#VALUE!</v>
      </c>
      <c r="DS28" t="e">
        <f>AND('DD Pairs Speed'!C38,"AAAAAHv/d3o=")</f>
        <v>#VALUE!</v>
      </c>
      <c r="DT28" t="e">
        <f>AND('DD Pairs Speed'!D38,"AAAAAHv/d3s=")</f>
        <v>#VALUE!</v>
      </c>
      <c r="DU28" t="e">
        <f>AND('DD Pairs Speed'!E38,"AAAAAHv/d3w=")</f>
        <v>#VALUE!</v>
      </c>
      <c r="DV28" t="e">
        <f>AND('DD Pairs Speed'!F38,"AAAAAHv/d30=")</f>
        <v>#VALUE!</v>
      </c>
      <c r="DW28" t="e">
        <f>AND('DD Pairs Speed'!G38,"AAAAAHv/d34=")</f>
        <v>#VALUE!</v>
      </c>
      <c r="DX28" t="e">
        <f>AND('DD Pairs Speed'!H38,"AAAAAHv/d38=")</f>
        <v>#VALUE!</v>
      </c>
      <c r="DY28" t="e">
        <f>AND('DD Pairs Speed'!I38,"AAAAAHv/d4A=")</f>
        <v>#VALUE!</v>
      </c>
      <c r="DZ28" t="e">
        <f>AND('DD Pairs Speed'!J38,"AAAAAHv/d4E=")</f>
        <v>#VALUE!</v>
      </c>
      <c r="EA28" t="e">
        <f>AND('DD Pairs Speed'!K38,"AAAAAHv/d4I=")</f>
        <v>#VALUE!</v>
      </c>
      <c r="EB28">
        <f>IF('DD Pairs Speed'!39:39,"AAAAAHv/d4M=",0)</f>
        <v>0</v>
      </c>
      <c r="EC28" t="e">
        <f>AND('DD Pairs Speed'!A39,"AAAAAHv/d4Q=")</f>
        <v>#VALUE!</v>
      </c>
      <c r="ED28" t="e">
        <f>AND('DD Pairs Speed'!B39,"AAAAAHv/d4U=")</f>
        <v>#VALUE!</v>
      </c>
      <c r="EE28" t="e">
        <f>AND('DD Pairs Speed'!C39,"AAAAAHv/d4Y=")</f>
        <v>#VALUE!</v>
      </c>
      <c r="EF28" t="e">
        <f>AND('DD Pairs Speed'!D39,"AAAAAHv/d4c=")</f>
        <v>#VALUE!</v>
      </c>
      <c r="EG28" t="e">
        <f>AND('DD Pairs Speed'!E39,"AAAAAHv/d4g=")</f>
        <v>#VALUE!</v>
      </c>
      <c r="EH28" t="e">
        <f>AND('DD Pairs Speed'!F39,"AAAAAHv/d4k=")</f>
        <v>#VALUE!</v>
      </c>
      <c r="EI28" t="e">
        <f>AND('DD Pairs Speed'!G39,"AAAAAHv/d4o=")</f>
        <v>#VALUE!</v>
      </c>
      <c r="EJ28" t="e">
        <f>AND('DD Pairs Speed'!H39,"AAAAAHv/d4s=")</f>
        <v>#VALUE!</v>
      </c>
      <c r="EK28" t="e">
        <f>AND('DD Pairs Speed'!I39,"AAAAAHv/d4w=")</f>
        <v>#VALUE!</v>
      </c>
      <c r="EL28" t="e">
        <f>AND('DD Pairs Speed'!J39,"AAAAAHv/d40=")</f>
        <v>#VALUE!</v>
      </c>
      <c r="EM28" t="e">
        <f>AND('DD Pairs Speed'!K39,"AAAAAHv/d44=")</f>
        <v>#VALUE!</v>
      </c>
      <c r="EN28">
        <f>IF('DD Pairs Speed'!40:40,"AAAAAHv/d48=",0)</f>
        <v>0</v>
      </c>
      <c r="EO28" t="e">
        <f>AND('DD Pairs Speed'!A40,"AAAAAHv/d5A=")</f>
        <v>#VALUE!</v>
      </c>
      <c r="EP28" t="e">
        <f>AND('DD Pairs Speed'!B40,"AAAAAHv/d5E=")</f>
        <v>#VALUE!</v>
      </c>
      <c r="EQ28" t="e">
        <f>AND('DD Pairs Speed'!C40,"AAAAAHv/d5I=")</f>
        <v>#VALUE!</v>
      </c>
      <c r="ER28" t="e">
        <f>AND('DD Pairs Speed'!D40,"AAAAAHv/d5M=")</f>
        <v>#VALUE!</v>
      </c>
      <c r="ES28" t="e">
        <f>AND('DD Pairs Speed'!E40,"AAAAAHv/d5Q=")</f>
        <v>#VALUE!</v>
      </c>
      <c r="ET28" t="e">
        <f>AND('DD Pairs Speed'!F40,"AAAAAHv/d5U=")</f>
        <v>#VALUE!</v>
      </c>
      <c r="EU28" t="e">
        <f>AND('DD Pairs Speed'!G40,"AAAAAHv/d5Y=")</f>
        <v>#VALUE!</v>
      </c>
      <c r="EV28" t="e">
        <f>AND('DD Pairs Speed'!H40,"AAAAAHv/d5c=")</f>
        <v>#VALUE!</v>
      </c>
      <c r="EW28" t="e">
        <f>AND('DD Pairs Speed'!I40,"AAAAAHv/d5g=")</f>
        <v>#VALUE!</v>
      </c>
      <c r="EX28" t="e">
        <f>AND('DD Pairs Speed'!J40,"AAAAAHv/d5k=")</f>
        <v>#VALUE!</v>
      </c>
      <c r="EY28" t="e">
        <f>AND('DD Pairs Speed'!K40,"AAAAAHv/d5o=")</f>
        <v>#VALUE!</v>
      </c>
      <c r="EZ28">
        <f>IF('DD Pairs Speed'!43:43,"AAAAAHv/d5s=",0)</f>
        <v>0</v>
      </c>
      <c r="FA28" t="e">
        <f>AND('DD Pairs Speed'!A43,"AAAAAHv/d5w=")</f>
        <v>#VALUE!</v>
      </c>
      <c r="FB28" t="e">
        <f>AND('DD Pairs Speed'!B43,"AAAAAHv/d50=")</f>
        <v>#VALUE!</v>
      </c>
      <c r="FC28" t="e">
        <f>AND('DD Pairs Speed'!C43,"AAAAAHv/d54=")</f>
        <v>#VALUE!</v>
      </c>
      <c r="FD28" t="e">
        <f>AND('DD Pairs Speed'!D43,"AAAAAHv/d58=")</f>
        <v>#VALUE!</v>
      </c>
      <c r="FE28" t="e">
        <f>AND('DD Pairs Speed'!E43,"AAAAAHv/d6A=")</f>
        <v>#VALUE!</v>
      </c>
      <c r="FF28" t="e">
        <f>AND('DD Pairs Speed'!F43,"AAAAAHv/d6E=")</f>
        <v>#VALUE!</v>
      </c>
      <c r="FG28" t="e">
        <f>AND('DD Pairs Speed'!G43,"AAAAAHv/d6I=")</f>
        <v>#VALUE!</v>
      </c>
      <c r="FH28" t="e">
        <f>AND('DD Pairs Speed'!H43,"AAAAAHv/d6M=")</f>
        <v>#VALUE!</v>
      </c>
      <c r="FI28" t="e">
        <f>AND('DD Pairs Speed'!I43,"AAAAAHv/d6Q=")</f>
        <v>#VALUE!</v>
      </c>
      <c r="FJ28" t="e">
        <f>AND('DD Pairs Speed'!J43,"AAAAAHv/d6U=")</f>
        <v>#VALUE!</v>
      </c>
      <c r="FK28" t="e">
        <f>AND('DD Pairs Speed'!K43,"AAAAAHv/d6Y=")</f>
        <v>#VALUE!</v>
      </c>
      <c r="FL28">
        <f>IF('DD Pairs Speed'!44:44,"AAAAAHv/d6c=",0)</f>
        <v>0</v>
      </c>
      <c r="FM28" t="e">
        <f>AND('DD Pairs Speed'!A44,"AAAAAHv/d6g=")</f>
        <v>#VALUE!</v>
      </c>
      <c r="FN28" t="e">
        <f>AND('DD Pairs Speed'!B44,"AAAAAHv/d6k=")</f>
        <v>#VALUE!</v>
      </c>
      <c r="FO28" t="e">
        <f>AND('DD Pairs Speed'!C44,"AAAAAHv/d6o=")</f>
        <v>#VALUE!</v>
      </c>
      <c r="FP28" t="e">
        <f>AND('DD Pairs Speed'!D44,"AAAAAHv/d6s=")</f>
        <v>#VALUE!</v>
      </c>
      <c r="FQ28" t="e">
        <f>AND('DD Pairs Speed'!E44,"AAAAAHv/d6w=")</f>
        <v>#VALUE!</v>
      </c>
      <c r="FR28" t="e">
        <f>AND('DD Pairs Speed'!F44,"AAAAAHv/d60=")</f>
        <v>#VALUE!</v>
      </c>
      <c r="FS28" t="e">
        <f>AND('DD Pairs Speed'!G44,"AAAAAHv/d64=")</f>
        <v>#VALUE!</v>
      </c>
      <c r="FT28" t="e">
        <f>AND('DD Pairs Speed'!H44,"AAAAAHv/d68=")</f>
        <v>#VALUE!</v>
      </c>
      <c r="FU28" t="e">
        <f>AND('DD Pairs Speed'!I44,"AAAAAHv/d7A=")</f>
        <v>#VALUE!</v>
      </c>
      <c r="FV28" t="e">
        <f>AND('DD Pairs Speed'!J44,"AAAAAHv/d7E=")</f>
        <v>#VALUE!</v>
      </c>
      <c r="FW28" t="e">
        <f>AND('DD Pairs Speed'!K44,"AAAAAHv/d7I=")</f>
        <v>#VALUE!</v>
      </c>
      <c r="FX28">
        <f>IF('DD Pairs Speed'!45:45,"AAAAAHv/d7M=",0)</f>
        <v>0</v>
      </c>
      <c r="FY28" t="e">
        <f>AND('DD Pairs Speed'!A45,"AAAAAHv/d7Q=")</f>
        <v>#VALUE!</v>
      </c>
      <c r="FZ28" t="e">
        <f>AND('DD Pairs Speed'!B45,"AAAAAHv/d7U=")</f>
        <v>#VALUE!</v>
      </c>
      <c r="GA28" t="e">
        <f>AND('DD Pairs Speed'!C45,"AAAAAHv/d7Y=")</f>
        <v>#VALUE!</v>
      </c>
      <c r="GB28" t="e">
        <f>AND('DD Pairs Speed'!D45,"AAAAAHv/d7c=")</f>
        <v>#VALUE!</v>
      </c>
      <c r="GC28" t="e">
        <f>AND('DD Pairs Speed'!E45,"AAAAAHv/d7g=")</f>
        <v>#VALUE!</v>
      </c>
      <c r="GD28" t="e">
        <f>AND('DD Pairs Speed'!F45,"AAAAAHv/d7k=")</f>
        <v>#VALUE!</v>
      </c>
      <c r="GE28" t="e">
        <f>AND('DD Pairs Speed'!G45,"AAAAAHv/d7o=")</f>
        <v>#VALUE!</v>
      </c>
      <c r="GF28" t="e">
        <f>AND('DD Pairs Speed'!H45,"AAAAAHv/d7s=")</f>
        <v>#VALUE!</v>
      </c>
      <c r="GG28" t="e">
        <f>AND('DD Pairs Speed'!I45,"AAAAAHv/d7w=")</f>
        <v>#VALUE!</v>
      </c>
      <c r="GH28" t="e">
        <f>AND('DD Pairs Speed'!J45,"AAAAAHv/d70=")</f>
        <v>#VALUE!</v>
      </c>
      <c r="GI28" t="e">
        <f>AND('DD Pairs Speed'!K45,"AAAAAHv/d74=")</f>
        <v>#VALUE!</v>
      </c>
      <c r="GJ28">
        <f>IF('DD Pairs Speed'!46:46,"AAAAAHv/d78=",0)</f>
        <v>0</v>
      </c>
      <c r="GK28" t="e">
        <f>AND('DD Pairs Speed'!A46,"AAAAAHv/d8A=")</f>
        <v>#VALUE!</v>
      </c>
      <c r="GL28" t="e">
        <f>AND('DD Pairs Speed'!B46,"AAAAAHv/d8E=")</f>
        <v>#VALUE!</v>
      </c>
      <c r="GM28" t="e">
        <f>AND('DD Pairs Speed'!C46,"AAAAAHv/d8I=")</f>
        <v>#VALUE!</v>
      </c>
      <c r="GN28" t="e">
        <f>AND('DD Pairs Speed'!D46,"AAAAAHv/d8M=")</f>
        <v>#VALUE!</v>
      </c>
      <c r="GO28" t="e">
        <f>AND('DD Pairs Speed'!E46,"AAAAAHv/d8Q=")</f>
        <v>#VALUE!</v>
      </c>
      <c r="GP28" t="e">
        <f>AND('DD Pairs Speed'!F46,"AAAAAHv/d8U=")</f>
        <v>#VALUE!</v>
      </c>
      <c r="GQ28" t="e">
        <f>AND('DD Pairs Speed'!G46,"AAAAAHv/d8Y=")</f>
        <v>#VALUE!</v>
      </c>
      <c r="GR28" t="e">
        <f>AND('DD Pairs Speed'!H46,"AAAAAHv/d8c=")</f>
        <v>#VALUE!</v>
      </c>
      <c r="GS28" t="e">
        <f>AND('DD Pairs Speed'!I46,"AAAAAHv/d8g=")</f>
        <v>#VALUE!</v>
      </c>
      <c r="GT28" t="e">
        <f>AND('DD Pairs Speed'!J46,"AAAAAHv/d8k=")</f>
        <v>#VALUE!</v>
      </c>
      <c r="GU28" t="e">
        <f>AND('DD Pairs Speed'!K46,"AAAAAHv/d8o=")</f>
        <v>#VALUE!</v>
      </c>
      <c r="GV28">
        <f>IF('DD Pairs Speed'!47:47,"AAAAAHv/d8s=",0)</f>
        <v>0</v>
      </c>
      <c r="GW28" t="e">
        <f>AND('DD Pairs Speed'!A47,"AAAAAHv/d8w=")</f>
        <v>#VALUE!</v>
      </c>
      <c r="GX28" t="e">
        <f>AND('DD Pairs Speed'!B47,"AAAAAHv/d80=")</f>
        <v>#VALUE!</v>
      </c>
      <c r="GY28" t="e">
        <f>AND('DD Pairs Speed'!C47,"AAAAAHv/d84=")</f>
        <v>#VALUE!</v>
      </c>
      <c r="GZ28" t="e">
        <f>AND('DD Pairs Speed'!D47,"AAAAAHv/d88=")</f>
        <v>#VALUE!</v>
      </c>
      <c r="HA28" t="e">
        <f>AND('DD Pairs Speed'!E47,"AAAAAHv/d9A=")</f>
        <v>#VALUE!</v>
      </c>
      <c r="HB28" t="e">
        <f>AND('DD Pairs Speed'!F47,"AAAAAHv/d9E=")</f>
        <v>#VALUE!</v>
      </c>
      <c r="HC28" t="e">
        <f>AND('DD Pairs Speed'!G47,"AAAAAHv/d9I=")</f>
        <v>#VALUE!</v>
      </c>
      <c r="HD28" t="e">
        <f>AND('DD Pairs Speed'!H47,"AAAAAHv/d9M=")</f>
        <v>#VALUE!</v>
      </c>
      <c r="HE28" t="e">
        <f>AND('DD Pairs Speed'!I47,"AAAAAHv/d9Q=")</f>
        <v>#VALUE!</v>
      </c>
      <c r="HF28" t="e">
        <f>AND('DD Pairs Speed'!J47,"AAAAAHv/d9U=")</f>
        <v>#VALUE!</v>
      </c>
      <c r="HG28" t="e">
        <f>AND('DD Pairs Speed'!K47,"AAAAAHv/d9Y=")</f>
        <v>#VALUE!</v>
      </c>
      <c r="HH28">
        <f>IF('DD Pairs Speed'!48:48,"AAAAAHv/d9c=",0)</f>
        <v>0</v>
      </c>
      <c r="HI28" t="e">
        <f>AND('DD Pairs Speed'!A48,"AAAAAHv/d9g=")</f>
        <v>#VALUE!</v>
      </c>
      <c r="HJ28" t="e">
        <f>AND('DD Pairs Speed'!B48,"AAAAAHv/d9k=")</f>
        <v>#VALUE!</v>
      </c>
      <c r="HK28" t="e">
        <f>AND('DD Pairs Speed'!C48,"AAAAAHv/d9o=")</f>
        <v>#VALUE!</v>
      </c>
      <c r="HL28" t="e">
        <f>AND('DD Pairs Speed'!D48,"AAAAAHv/d9s=")</f>
        <v>#VALUE!</v>
      </c>
      <c r="HM28" t="e">
        <f>AND('DD Pairs Speed'!E48,"AAAAAHv/d9w=")</f>
        <v>#VALUE!</v>
      </c>
      <c r="HN28" t="e">
        <f>AND('DD Pairs Speed'!F48,"AAAAAHv/d90=")</f>
        <v>#VALUE!</v>
      </c>
      <c r="HO28" t="e">
        <f>AND('DD Pairs Speed'!G48,"AAAAAHv/d94=")</f>
        <v>#VALUE!</v>
      </c>
      <c r="HP28" t="e">
        <f>AND('DD Pairs Speed'!H48,"AAAAAHv/d98=")</f>
        <v>#VALUE!</v>
      </c>
      <c r="HQ28" t="e">
        <f>AND('DD Pairs Speed'!I48,"AAAAAHv/d+A=")</f>
        <v>#VALUE!</v>
      </c>
      <c r="HR28" t="e">
        <f>AND('DD Pairs Speed'!J48,"AAAAAHv/d+E=")</f>
        <v>#VALUE!</v>
      </c>
      <c r="HS28" t="e">
        <f>AND('DD Pairs Speed'!K48,"AAAAAHv/d+I=")</f>
        <v>#VALUE!</v>
      </c>
      <c r="HT28">
        <f>IF('DD Pairs Speed'!49:49,"AAAAAHv/d+M=",0)</f>
        <v>0</v>
      </c>
      <c r="HU28" t="e">
        <f>AND('DD Pairs Speed'!A49,"AAAAAHv/d+Q=")</f>
        <v>#VALUE!</v>
      </c>
      <c r="HV28" t="e">
        <f>AND('DD Pairs Speed'!B49,"AAAAAHv/d+U=")</f>
        <v>#VALUE!</v>
      </c>
      <c r="HW28" t="e">
        <f>AND('DD Pairs Speed'!C49,"AAAAAHv/d+Y=")</f>
        <v>#VALUE!</v>
      </c>
      <c r="HX28" t="e">
        <f>AND('DD Pairs Speed'!D49,"AAAAAHv/d+c=")</f>
        <v>#VALUE!</v>
      </c>
      <c r="HY28" t="e">
        <f>AND('DD Pairs Speed'!E49,"AAAAAHv/d+g=")</f>
        <v>#VALUE!</v>
      </c>
      <c r="HZ28" t="e">
        <f>AND('DD Pairs Speed'!F49,"AAAAAHv/d+k=")</f>
        <v>#VALUE!</v>
      </c>
      <c r="IA28" t="e">
        <f>AND('DD Pairs Speed'!G49,"AAAAAHv/d+o=")</f>
        <v>#VALUE!</v>
      </c>
      <c r="IB28" t="e">
        <f>AND('DD Pairs Speed'!H49,"AAAAAHv/d+s=")</f>
        <v>#VALUE!</v>
      </c>
      <c r="IC28" t="e">
        <f>AND('DD Pairs Speed'!I49,"AAAAAHv/d+w=")</f>
        <v>#VALUE!</v>
      </c>
      <c r="ID28" t="e">
        <f>AND('DD Pairs Speed'!J49,"AAAAAHv/d+0=")</f>
        <v>#VALUE!</v>
      </c>
      <c r="IE28" t="e">
        <f>AND('DD Pairs Speed'!K49,"AAAAAHv/d+4=")</f>
        <v>#VALUE!</v>
      </c>
      <c r="IF28">
        <f>IF('DD Pairs Speed'!50:50,"AAAAAHv/d+8=",0)</f>
        <v>0</v>
      </c>
      <c r="IG28" t="e">
        <f>AND('DD Pairs Speed'!A50,"AAAAAHv/d/A=")</f>
        <v>#VALUE!</v>
      </c>
      <c r="IH28" t="e">
        <f>AND('DD Pairs Speed'!B50,"AAAAAHv/d/E=")</f>
        <v>#VALUE!</v>
      </c>
      <c r="II28" t="e">
        <f>AND('DD Pairs Speed'!C50,"AAAAAHv/d/I=")</f>
        <v>#VALUE!</v>
      </c>
      <c r="IJ28" t="e">
        <f>AND('DD Pairs Speed'!D50,"AAAAAHv/d/M=")</f>
        <v>#VALUE!</v>
      </c>
      <c r="IK28" t="e">
        <f>AND('DD Pairs Speed'!E50,"AAAAAHv/d/Q=")</f>
        <v>#VALUE!</v>
      </c>
      <c r="IL28" t="e">
        <f>AND('DD Pairs Speed'!F50,"AAAAAHv/d/U=")</f>
        <v>#VALUE!</v>
      </c>
      <c r="IM28" t="e">
        <f>AND('DD Pairs Speed'!G50,"AAAAAHv/d/Y=")</f>
        <v>#VALUE!</v>
      </c>
      <c r="IN28" t="e">
        <f>AND('DD Pairs Speed'!H50,"AAAAAHv/d/c=")</f>
        <v>#VALUE!</v>
      </c>
      <c r="IO28" t="e">
        <f>AND('DD Pairs Speed'!I50,"AAAAAHv/d/g=")</f>
        <v>#VALUE!</v>
      </c>
      <c r="IP28" t="e">
        <f>AND('DD Pairs Speed'!J50,"AAAAAHv/d/k=")</f>
        <v>#VALUE!</v>
      </c>
      <c r="IQ28" t="e">
        <f>AND('DD Pairs Speed'!K50,"AAAAAHv/d/o=")</f>
        <v>#VALUE!</v>
      </c>
      <c r="IR28">
        <f>IF('DD Pairs Speed'!51:51,"AAAAAHv/d/s=",0)</f>
        <v>0</v>
      </c>
      <c r="IS28" t="e">
        <f>AND('DD Pairs Speed'!A51,"AAAAAHv/d/w=")</f>
        <v>#VALUE!</v>
      </c>
      <c r="IT28" t="e">
        <f>AND('DD Pairs Speed'!B51,"AAAAAHv/d/0=")</f>
        <v>#VALUE!</v>
      </c>
      <c r="IU28" t="e">
        <f>AND('DD Pairs Speed'!C51,"AAAAAHv/d/4=")</f>
        <v>#VALUE!</v>
      </c>
      <c r="IV28" t="e">
        <f>AND('DD Pairs Speed'!D51,"AAAAAHv/d/8=")</f>
        <v>#VALUE!</v>
      </c>
    </row>
    <row r="29" spans="1:256" x14ac:dyDescent="0.25">
      <c r="A29" t="e">
        <f>AND('DD Pairs Speed'!E51,"AAAAAD//PwA=")</f>
        <v>#VALUE!</v>
      </c>
      <c r="B29" t="e">
        <f>AND('DD Pairs Speed'!F51,"AAAAAD//PwE=")</f>
        <v>#VALUE!</v>
      </c>
      <c r="C29" t="e">
        <f>AND('DD Pairs Speed'!G51,"AAAAAD//PwI=")</f>
        <v>#VALUE!</v>
      </c>
      <c r="D29" t="e">
        <f>AND('DD Pairs Speed'!H51,"AAAAAD//PwM=")</f>
        <v>#VALUE!</v>
      </c>
      <c r="E29" t="e">
        <f>AND('DD Pairs Speed'!I51,"AAAAAD//PwQ=")</f>
        <v>#VALUE!</v>
      </c>
      <c r="F29" t="e">
        <f>AND('DD Pairs Speed'!J51,"AAAAAD//PwU=")</f>
        <v>#VALUE!</v>
      </c>
      <c r="G29" t="e">
        <f>AND('DD Pairs Speed'!K51,"AAAAAD//PwY=")</f>
        <v>#VALUE!</v>
      </c>
      <c r="H29">
        <f>IF('DD Pairs Speed'!52:52,"AAAAAD//Pwc=",0)</f>
        <v>0</v>
      </c>
      <c r="I29" t="e">
        <f>AND('DD Pairs Speed'!A52,"AAAAAD//Pwg=")</f>
        <v>#VALUE!</v>
      </c>
      <c r="J29" t="e">
        <f>AND('DD Pairs Speed'!B52,"AAAAAD//Pwk=")</f>
        <v>#VALUE!</v>
      </c>
      <c r="K29" t="e">
        <f>AND('DD Pairs Speed'!C52,"AAAAAD//Pwo=")</f>
        <v>#VALUE!</v>
      </c>
      <c r="L29" t="e">
        <f>AND('DD Pairs Speed'!D52,"AAAAAD//Pws=")</f>
        <v>#VALUE!</v>
      </c>
      <c r="M29" t="e">
        <f>AND('DD Pairs Speed'!E52,"AAAAAD//Pww=")</f>
        <v>#VALUE!</v>
      </c>
      <c r="N29" t="e">
        <f>AND('DD Pairs Speed'!F52,"AAAAAD//Pw0=")</f>
        <v>#VALUE!</v>
      </c>
      <c r="O29" t="e">
        <f>AND('DD Pairs Speed'!G52,"AAAAAD//Pw4=")</f>
        <v>#VALUE!</v>
      </c>
      <c r="P29" t="e">
        <f>AND('DD Pairs Speed'!H52,"AAAAAD//Pw8=")</f>
        <v>#VALUE!</v>
      </c>
      <c r="Q29" t="e">
        <f>AND('DD Pairs Speed'!I52,"AAAAAD//PxA=")</f>
        <v>#VALUE!</v>
      </c>
      <c r="R29" t="e">
        <f>AND('DD Pairs Speed'!J52,"AAAAAD//PxE=")</f>
        <v>#VALUE!</v>
      </c>
      <c r="S29" t="e">
        <f>AND('DD Pairs Speed'!K52,"AAAAAD//PxI=")</f>
        <v>#VALUE!</v>
      </c>
      <c r="T29">
        <f>IF('DD Pairs Speed'!53:53,"AAAAAD//PxM=",0)</f>
        <v>0</v>
      </c>
      <c r="U29" t="e">
        <f>AND('DD Pairs Speed'!A53,"AAAAAD//PxQ=")</f>
        <v>#VALUE!</v>
      </c>
      <c r="V29" t="e">
        <f>AND('DD Pairs Speed'!B53,"AAAAAD//PxU=")</f>
        <v>#VALUE!</v>
      </c>
      <c r="W29" t="e">
        <f>AND('DD Pairs Speed'!C53,"AAAAAD//PxY=")</f>
        <v>#VALUE!</v>
      </c>
      <c r="X29" t="e">
        <f>AND('DD Pairs Speed'!D53,"AAAAAD//Pxc=")</f>
        <v>#VALUE!</v>
      </c>
      <c r="Y29" t="e">
        <f>AND('DD Pairs Speed'!E53,"AAAAAD//Pxg=")</f>
        <v>#VALUE!</v>
      </c>
      <c r="Z29" t="e">
        <f>AND('DD Pairs Speed'!F53,"AAAAAD//Pxk=")</f>
        <v>#VALUE!</v>
      </c>
      <c r="AA29" t="e">
        <f>AND('DD Pairs Speed'!G53,"AAAAAD//Pxo=")</f>
        <v>#VALUE!</v>
      </c>
      <c r="AB29" t="e">
        <f>AND('DD Pairs Speed'!H53,"AAAAAD//Pxs=")</f>
        <v>#VALUE!</v>
      </c>
      <c r="AC29" t="e">
        <f>AND('DD Pairs Speed'!I53,"AAAAAD//Pxw=")</f>
        <v>#VALUE!</v>
      </c>
      <c r="AD29" t="e">
        <f>AND('DD Pairs Speed'!J53,"AAAAAD//Px0=")</f>
        <v>#VALUE!</v>
      </c>
      <c r="AE29" t="e">
        <f>AND('DD Pairs Speed'!K53,"AAAAAD//Px4=")</f>
        <v>#VALUE!</v>
      </c>
      <c r="AF29">
        <f>IF('DD Pairs Speed'!54:54,"AAAAAD//Px8=",0)</f>
        <v>0</v>
      </c>
      <c r="AG29" t="e">
        <f>AND('DD Pairs Speed'!A54,"AAAAAD//PyA=")</f>
        <v>#VALUE!</v>
      </c>
      <c r="AH29" t="e">
        <f>AND('DD Pairs Speed'!B54,"AAAAAD//PyE=")</f>
        <v>#VALUE!</v>
      </c>
      <c r="AI29" t="e">
        <f>AND('DD Pairs Speed'!C54,"AAAAAD//PyI=")</f>
        <v>#VALUE!</v>
      </c>
      <c r="AJ29" t="e">
        <f>AND('DD Pairs Speed'!D54,"AAAAAD//PyM=")</f>
        <v>#VALUE!</v>
      </c>
      <c r="AK29" t="e">
        <f>AND('DD Pairs Speed'!E54,"AAAAAD//PyQ=")</f>
        <v>#VALUE!</v>
      </c>
      <c r="AL29" t="e">
        <f>AND('DD Pairs Speed'!F54,"AAAAAD//PyU=")</f>
        <v>#VALUE!</v>
      </c>
      <c r="AM29" t="e">
        <f>AND('DD Pairs Speed'!G54,"AAAAAD//PyY=")</f>
        <v>#VALUE!</v>
      </c>
      <c r="AN29" t="e">
        <f>AND('DD Pairs Speed'!H54,"AAAAAD//Pyc=")</f>
        <v>#VALUE!</v>
      </c>
      <c r="AO29" t="e">
        <f>AND('DD Pairs Speed'!I54,"AAAAAD//Pyg=")</f>
        <v>#VALUE!</v>
      </c>
      <c r="AP29" t="e">
        <f>AND('DD Pairs Speed'!J54,"AAAAAD//Pyk=")</f>
        <v>#VALUE!</v>
      </c>
      <c r="AQ29" t="e">
        <f>AND('DD Pairs Speed'!K54,"AAAAAD//Pyo=")</f>
        <v>#VALUE!</v>
      </c>
      <c r="AR29">
        <f>IF('DD Pairs Speed'!55:55,"AAAAAD//Pys=",0)</f>
        <v>0</v>
      </c>
      <c r="AS29" t="e">
        <f>AND('DD Pairs Speed'!A55,"AAAAAD//Pyw=")</f>
        <v>#VALUE!</v>
      </c>
      <c r="AT29" t="e">
        <f>AND('DD Pairs Speed'!B55,"AAAAAD//Py0=")</f>
        <v>#VALUE!</v>
      </c>
      <c r="AU29" t="e">
        <f>AND('DD Pairs Speed'!C55,"AAAAAD//Py4=")</f>
        <v>#VALUE!</v>
      </c>
      <c r="AV29" t="e">
        <f>AND('DD Pairs Speed'!D55,"AAAAAD//Py8=")</f>
        <v>#VALUE!</v>
      </c>
      <c r="AW29" t="e">
        <f>AND('DD Pairs Speed'!E55,"AAAAAD//PzA=")</f>
        <v>#VALUE!</v>
      </c>
      <c r="AX29" t="e">
        <f>AND('DD Pairs Speed'!F55,"AAAAAD//PzE=")</f>
        <v>#VALUE!</v>
      </c>
      <c r="AY29" t="e">
        <f>AND('DD Pairs Speed'!G55,"AAAAAD//PzI=")</f>
        <v>#VALUE!</v>
      </c>
      <c r="AZ29" t="e">
        <f>AND('DD Pairs Speed'!H55,"AAAAAD//PzM=")</f>
        <v>#VALUE!</v>
      </c>
      <c r="BA29" t="e">
        <f>AND('DD Pairs Speed'!I55,"AAAAAD//PzQ=")</f>
        <v>#VALUE!</v>
      </c>
      <c r="BB29" t="e">
        <f>AND('DD Pairs Speed'!J55,"AAAAAD//PzU=")</f>
        <v>#VALUE!</v>
      </c>
      <c r="BC29" t="e">
        <f>AND('DD Pairs Speed'!K55,"AAAAAD//PzY=")</f>
        <v>#VALUE!</v>
      </c>
      <c r="BD29">
        <f>IF('DD Pairs Speed'!56:56,"AAAAAD//Pzc=",0)</f>
        <v>0</v>
      </c>
      <c r="BE29" t="e">
        <f>AND('DD Pairs Speed'!A56,"AAAAAD//Pzg=")</f>
        <v>#VALUE!</v>
      </c>
      <c r="BF29" t="e">
        <f>AND('DD Pairs Speed'!B56,"AAAAAD//Pzk=")</f>
        <v>#VALUE!</v>
      </c>
      <c r="BG29" t="e">
        <f>AND('DD Pairs Speed'!C56,"AAAAAD//Pzo=")</f>
        <v>#VALUE!</v>
      </c>
      <c r="BH29" t="e">
        <f>AND('DD Pairs Speed'!D56,"AAAAAD//Pzs=")</f>
        <v>#VALUE!</v>
      </c>
      <c r="BI29" t="e">
        <f>AND('DD Pairs Speed'!E56,"AAAAAD//Pzw=")</f>
        <v>#VALUE!</v>
      </c>
      <c r="BJ29" t="e">
        <f>AND('DD Pairs Speed'!F56,"AAAAAD//Pz0=")</f>
        <v>#VALUE!</v>
      </c>
      <c r="BK29" t="e">
        <f>AND('DD Pairs Speed'!G56,"AAAAAD//Pz4=")</f>
        <v>#VALUE!</v>
      </c>
      <c r="BL29" t="e">
        <f>AND('DD Pairs Speed'!H56,"AAAAAD//Pz8=")</f>
        <v>#VALUE!</v>
      </c>
      <c r="BM29" t="e">
        <f>AND('DD Pairs Speed'!I56,"AAAAAD//P0A=")</f>
        <v>#VALUE!</v>
      </c>
      <c r="BN29" t="e">
        <f>AND('DD Pairs Speed'!J56,"AAAAAD//P0E=")</f>
        <v>#VALUE!</v>
      </c>
      <c r="BO29" t="e">
        <f>AND('DD Pairs Speed'!K56,"AAAAAD//P0I=")</f>
        <v>#VALUE!</v>
      </c>
      <c r="BP29">
        <f>IF('DD Pairs Speed'!57:57,"AAAAAD//P0M=",0)</f>
        <v>0</v>
      </c>
      <c r="BQ29" t="e">
        <f>AND('DD Pairs Speed'!A57,"AAAAAD//P0Q=")</f>
        <v>#VALUE!</v>
      </c>
      <c r="BR29" t="e">
        <f>AND('DD Pairs Speed'!B57,"AAAAAD//P0U=")</f>
        <v>#VALUE!</v>
      </c>
      <c r="BS29" t="e">
        <f>AND('DD Pairs Speed'!C57,"AAAAAD//P0Y=")</f>
        <v>#VALUE!</v>
      </c>
      <c r="BT29" t="e">
        <f>AND('DD Pairs Speed'!D57,"AAAAAD//P0c=")</f>
        <v>#VALUE!</v>
      </c>
      <c r="BU29" t="e">
        <f>AND('DD Pairs Speed'!E57,"AAAAAD//P0g=")</f>
        <v>#VALUE!</v>
      </c>
      <c r="BV29" t="e">
        <f>AND('DD Pairs Speed'!F57,"AAAAAD//P0k=")</f>
        <v>#VALUE!</v>
      </c>
      <c r="BW29" t="e">
        <f>AND('DD Pairs Speed'!G57,"AAAAAD//P0o=")</f>
        <v>#VALUE!</v>
      </c>
      <c r="BX29" t="e">
        <f>AND('DD Pairs Speed'!H57,"AAAAAD//P0s=")</f>
        <v>#VALUE!</v>
      </c>
      <c r="BY29" t="e">
        <f>AND('DD Pairs Speed'!I57,"AAAAAD//P0w=")</f>
        <v>#VALUE!</v>
      </c>
      <c r="BZ29" t="e">
        <f>AND('DD Pairs Speed'!J57,"AAAAAD//P00=")</f>
        <v>#VALUE!</v>
      </c>
      <c r="CA29" t="e">
        <f>AND('DD Pairs Speed'!K57,"AAAAAD//P04=")</f>
        <v>#VALUE!</v>
      </c>
      <c r="CB29">
        <f>IF('DD Pairs Speed'!58:58,"AAAAAD//P08=",0)</f>
        <v>0</v>
      </c>
      <c r="CC29" t="e">
        <f>AND('DD Pairs Speed'!A58,"AAAAAD//P1A=")</f>
        <v>#VALUE!</v>
      </c>
      <c r="CD29" t="e">
        <f>AND('DD Pairs Speed'!B58,"AAAAAD//P1E=")</f>
        <v>#VALUE!</v>
      </c>
      <c r="CE29" t="e">
        <f>AND('DD Pairs Speed'!C58,"AAAAAD//P1I=")</f>
        <v>#VALUE!</v>
      </c>
      <c r="CF29" t="e">
        <f>AND('DD Pairs Speed'!D58,"AAAAAD//P1M=")</f>
        <v>#VALUE!</v>
      </c>
      <c r="CG29" t="e">
        <f>AND('DD Pairs Speed'!E58,"AAAAAD//P1Q=")</f>
        <v>#VALUE!</v>
      </c>
      <c r="CH29" t="e">
        <f>AND('DD Pairs Speed'!F58,"AAAAAD//P1U=")</f>
        <v>#VALUE!</v>
      </c>
      <c r="CI29" t="e">
        <f>AND('DD Pairs Speed'!G58,"AAAAAD//P1Y=")</f>
        <v>#VALUE!</v>
      </c>
      <c r="CJ29" t="e">
        <f>AND('DD Pairs Speed'!H58,"AAAAAD//P1c=")</f>
        <v>#VALUE!</v>
      </c>
      <c r="CK29" t="e">
        <f>AND('DD Pairs Speed'!I58,"AAAAAD//P1g=")</f>
        <v>#VALUE!</v>
      </c>
      <c r="CL29" t="e">
        <f>AND('DD Pairs Speed'!J58,"AAAAAD//P1k=")</f>
        <v>#VALUE!</v>
      </c>
      <c r="CM29" t="e">
        <f>AND('DD Pairs Speed'!K58,"AAAAAD//P1o=")</f>
        <v>#VALUE!</v>
      </c>
      <c r="CN29">
        <f>IF('DD Pairs Speed'!59:59,"AAAAAD//P1s=",0)</f>
        <v>0</v>
      </c>
      <c r="CO29" t="e">
        <f>AND('DD Pairs Speed'!A59,"AAAAAD//P1w=")</f>
        <v>#VALUE!</v>
      </c>
      <c r="CP29" t="e">
        <f>AND('DD Pairs Speed'!B59,"AAAAAD//P10=")</f>
        <v>#VALUE!</v>
      </c>
      <c r="CQ29" t="e">
        <f>AND('DD Pairs Speed'!C59,"AAAAAD//P14=")</f>
        <v>#VALUE!</v>
      </c>
      <c r="CR29" t="e">
        <f>AND('DD Pairs Speed'!D59,"AAAAAD//P18=")</f>
        <v>#VALUE!</v>
      </c>
      <c r="CS29" t="e">
        <f>AND('DD Pairs Speed'!E59,"AAAAAD//P2A=")</f>
        <v>#VALUE!</v>
      </c>
      <c r="CT29" t="e">
        <f>AND('DD Pairs Speed'!F59,"AAAAAD//P2E=")</f>
        <v>#VALUE!</v>
      </c>
      <c r="CU29" t="e">
        <f>AND('DD Pairs Speed'!G59,"AAAAAD//P2I=")</f>
        <v>#VALUE!</v>
      </c>
      <c r="CV29" t="e">
        <f>AND('DD Pairs Speed'!H59,"AAAAAD//P2M=")</f>
        <v>#VALUE!</v>
      </c>
      <c r="CW29" t="e">
        <f>AND('DD Pairs Speed'!I59,"AAAAAD//P2Q=")</f>
        <v>#VALUE!</v>
      </c>
      <c r="CX29" t="e">
        <f>AND('DD Pairs Speed'!J59,"AAAAAD//P2U=")</f>
        <v>#VALUE!</v>
      </c>
      <c r="CY29" t="e">
        <f>AND('DD Pairs Speed'!K59,"AAAAAD//P2Y=")</f>
        <v>#VALUE!</v>
      </c>
      <c r="CZ29">
        <f>IF('DD Pairs Speed'!60:60,"AAAAAD//P2c=",0)</f>
        <v>0</v>
      </c>
      <c r="DA29" t="e">
        <f>AND('DD Pairs Speed'!A60,"AAAAAD//P2g=")</f>
        <v>#VALUE!</v>
      </c>
      <c r="DB29" t="e">
        <f>AND('DD Pairs Speed'!B60,"AAAAAD//P2k=")</f>
        <v>#VALUE!</v>
      </c>
      <c r="DC29" t="e">
        <f>AND('DD Pairs Speed'!C60,"AAAAAD//P2o=")</f>
        <v>#VALUE!</v>
      </c>
      <c r="DD29" t="e">
        <f>AND('DD Pairs Speed'!D60,"AAAAAD//P2s=")</f>
        <v>#VALUE!</v>
      </c>
      <c r="DE29" t="e">
        <f>AND('DD Pairs Speed'!E60,"AAAAAD//P2w=")</f>
        <v>#VALUE!</v>
      </c>
      <c r="DF29" t="e">
        <f>AND('DD Pairs Speed'!F60,"AAAAAD//P20=")</f>
        <v>#VALUE!</v>
      </c>
      <c r="DG29" t="e">
        <f>AND('DD Pairs Speed'!G60,"AAAAAD//P24=")</f>
        <v>#VALUE!</v>
      </c>
      <c r="DH29" t="e">
        <f>AND('DD Pairs Speed'!H60,"AAAAAD//P28=")</f>
        <v>#VALUE!</v>
      </c>
      <c r="DI29" t="e">
        <f>AND('DD Pairs Speed'!I60,"AAAAAD//P3A=")</f>
        <v>#VALUE!</v>
      </c>
      <c r="DJ29" t="e">
        <f>AND('DD Pairs Speed'!J60,"AAAAAD//P3E=")</f>
        <v>#VALUE!</v>
      </c>
      <c r="DK29" t="e">
        <f>AND('DD Pairs Speed'!K60,"AAAAAD//P3I=")</f>
        <v>#VALUE!</v>
      </c>
      <c r="DL29">
        <f>IF('DD Pairs Speed'!61:61,"AAAAAD//P3M=",0)</f>
        <v>0</v>
      </c>
      <c r="DM29" t="e">
        <f>AND('DD Pairs Speed'!A61,"AAAAAD//P3Q=")</f>
        <v>#VALUE!</v>
      </c>
      <c r="DN29" t="e">
        <f>AND('DD Pairs Speed'!B61,"AAAAAD//P3U=")</f>
        <v>#VALUE!</v>
      </c>
      <c r="DO29" t="e">
        <f>AND('DD Pairs Speed'!C61,"AAAAAD//P3Y=")</f>
        <v>#VALUE!</v>
      </c>
      <c r="DP29" t="e">
        <f>AND('DD Pairs Speed'!D61,"AAAAAD//P3c=")</f>
        <v>#VALUE!</v>
      </c>
      <c r="DQ29" t="e">
        <f>AND('DD Pairs Speed'!E61,"AAAAAD//P3g=")</f>
        <v>#VALUE!</v>
      </c>
      <c r="DR29" t="e">
        <f>AND('DD Pairs Speed'!F61,"AAAAAD//P3k=")</f>
        <v>#VALUE!</v>
      </c>
      <c r="DS29" t="e">
        <f>AND('DD Pairs Speed'!G61,"AAAAAD//P3o=")</f>
        <v>#VALUE!</v>
      </c>
      <c r="DT29" t="e">
        <f>AND('DD Pairs Speed'!H61,"AAAAAD//P3s=")</f>
        <v>#VALUE!</v>
      </c>
      <c r="DU29" t="e">
        <f>AND('DD Pairs Speed'!I61,"AAAAAD//P3w=")</f>
        <v>#VALUE!</v>
      </c>
      <c r="DV29" t="e">
        <f>AND('DD Pairs Speed'!J61,"AAAAAD//P30=")</f>
        <v>#VALUE!</v>
      </c>
      <c r="DW29" t="e">
        <f>AND('DD Pairs Speed'!K61,"AAAAAD//P34=")</f>
        <v>#VALUE!</v>
      </c>
      <c r="DX29">
        <f>IF('DD Pairs Speed'!62:62,"AAAAAD//P38=",0)</f>
        <v>0</v>
      </c>
      <c r="DY29" t="e">
        <f>AND('DD Pairs Speed'!A62,"AAAAAD//P4A=")</f>
        <v>#VALUE!</v>
      </c>
      <c r="DZ29" t="e">
        <f>AND('DD Pairs Speed'!B62,"AAAAAD//P4E=")</f>
        <v>#VALUE!</v>
      </c>
      <c r="EA29" t="e">
        <f>AND('DD Pairs Speed'!C62,"AAAAAD//P4I=")</f>
        <v>#VALUE!</v>
      </c>
      <c r="EB29" t="e">
        <f>AND('DD Pairs Speed'!D62,"AAAAAD//P4M=")</f>
        <v>#VALUE!</v>
      </c>
      <c r="EC29" t="e">
        <f>AND('DD Pairs Speed'!E62,"AAAAAD//P4Q=")</f>
        <v>#VALUE!</v>
      </c>
      <c r="ED29" t="e">
        <f>AND('DD Pairs Speed'!F62,"AAAAAD//P4U=")</f>
        <v>#VALUE!</v>
      </c>
      <c r="EE29" t="e">
        <f>AND('DD Pairs Speed'!G62,"AAAAAD//P4Y=")</f>
        <v>#VALUE!</v>
      </c>
      <c r="EF29" t="e">
        <f>AND('DD Pairs Speed'!H62,"AAAAAD//P4c=")</f>
        <v>#VALUE!</v>
      </c>
      <c r="EG29" t="e">
        <f>AND('DD Pairs Speed'!I62,"AAAAAD//P4g=")</f>
        <v>#VALUE!</v>
      </c>
      <c r="EH29" t="e">
        <f>AND('DD Pairs Speed'!J62,"AAAAAD//P4k=")</f>
        <v>#VALUE!</v>
      </c>
      <c r="EI29" t="e">
        <f>AND('DD Pairs Speed'!K62,"AAAAAD//P4o=")</f>
        <v>#VALUE!</v>
      </c>
      <c r="EJ29">
        <f>IF('DD Pairs Speed'!63:63,"AAAAAD//P4s=",0)</f>
        <v>0</v>
      </c>
      <c r="EK29" t="e">
        <f>AND('DD Pairs Speed'!A63,"AAAAAD//P4w=")</f>
        <v>#VALUE!</v>
      </c>
      <c r="EL29" t="e">
        <f>AND('DD Pairs Speed'!B63,"AAAAAD//P40=")</f>
        <v>#VALUE!</v>
      </c>
      <c r="EM29" t="e">
        <f>AND('DD Pairs Speed'!C63,"AAAAAD//P44=")</f>
        <v>#VALUE!</v>
      </c>
      <c r="EN29" t="e">
        <f>AND('DD Pairs Speed'!D63,"AAAAAD//P48=")</f>
        <v>#VALUE!</v>
      </c>
      <c r="EO29" t="e">
        <f>AND('DD Pairs Speed'!E63,"AAAAAD//P5A=")</f>
        <v>#VALUE!</v>
      </c>
      <c r="EP29" t="e">
        <f>AND('DD Pairs Speed'!F63,"AAAAAD//P5E=")</f>
        <v>#VALUE!</v>
      </c>
      <c r="EQ29" t="e">
        <f>AND('DD Pairs Speed'!G63,"AAAAAD//P5I=")</f>
        <v>#VALUE!</v>
      </c>
      <c r="ER29" t="e">
        <f>AND('DD Pairs Speed'!H63,"AAAAAD//P5M=")</f>
        <v>#VALUE!</v>
      </c>
      <c r="ES29" t="e">
        <f>AND('DD Pairs Speed'!I63,"AAAAAD//P5Q=")</f>
        <v>#VALUE!</v>
      </c>
      <c r="ET29" t="e">
        <f>AND('DD Pairs Speed'!J63,"AAAAAD//P5U=")</f>
        <v>#VALUE!</v>
      </c>
      <c r="EU29" t="e">
        <f>AND('DD Pairs Speed'!K63,"AAAAAD//P5Y=")</f>
        <v>#VALUE!</v>
      </c>
      <c r="EV29">
        <f>IF('DD Pairs Speed'!64:64,"AAAAAD//P5c=",0)</f>
        <v>0</v>
      </c>
      <c r="EW29" t="e">
        <f>AND('DD Pairs Speed'!A64,"AAAAAD//P5g=")</f>
        <v>#VALUE!</v>
      </c>
      <c r="EX29" t="e">
        <f>AND('DD Pairs Speed'!B64,"AAAAAD//P5k=")</f>
        <v>#VALUE!</v>
      </c>
      <c r="EY29" t="e">
        <f>AND('DD Pairs Speed'!C64,"AAAAAD//P5o=")</f>
        <v>#VALUE!</v>
      </c>
      <c r="EZ29" t="e">
        <f>AND('DD Pairs Speed'!D64,"AAAAAD//P5s=")</f>
        <v>#VALUE!</v>
      </c>
      <c r="FA29" t="e">
        <f>AND('DD Pairs Speed'!E64,"AAAAAD//P5w=")</f>
        <v>#VALUE!</v>
      </c>
      <c r="FB29" t="e">
        <f>AND('DD Pairs Speed'!F64,"AAAAAD//P50=")</f>
        <v>#VALUE!</v>
      </c>
      <c r="FC29" t="e">
        <f>AND('DD Pairs Speed'!G64,"AAAAAD//P54=")</f>
        <v>#VALUE!</v>
      </c>
      <c r="FD29" t="e">
        <f>AND('DD Pairs Speed'!H64,"AAAAAD//P58=")</f>
        <v>#VALUE!</v>
      </c>
      <c r="FE29" t="e">
        <f>AND('DD Pairs Speed'!I64,"AAAAAD//P6A=")</f>
        <v>#VALUE!</v>
      </c>
      <c r="FF29" t="e">
        <f>AND('DD Pairs Speed'!J64,"AAAAAD//P6E=")</f>
        <v>#VALUE!</v>
      </c>
      <c r="FG29" t="e">
        <f>AND('DD Pairs Speed'!K64,"AAAAAD//P6I=")</f>
        <v>#VALUE!</v>
      </c>
      <c r="FH29">
        <f>IF('DD Pairs Speed'!65:65,"AAAAAD//P6M=",0)</f>
        <v>0</v>
      </c>
      <c r="FI29" t="e">
        <f>AND('DD Pairs Speed'!A65,"AAAAAD//P6Q=")</f>
        <v>#VALUE!</v>
      </c>
      <c r="FJ29" t="e">
        <f>AND('DD Pairs Speed'!B65,"AAAAAD//P6U=")</f>
        <v>#VALUE!</v>
      </c>
      <c r="FK29" t="e">
        <f>AND('DD Pairs Speed'!C65,"AAAAAD//P6Y=")</f>
        <v>#VALUE!</v>
      </c>
      <c r="FL29" t="e">
        <f>AND('DD Pairs Speed'!D65,"AAAAAD//P6c=")</f>
        <v>#VALUE!</v>
      </c>
      <c r="FM29" t="e">
        <f>AND('DD Pairs Speed'!E65,"AAAAAD//P6g=")</f>
        <v>#VALUE!</v>
      </c>
      <c r="FN29" t="e">
        <f>AND('DD Pairs Speed'!F65,"AAAAAD//P6k=")</f>
        <v>#VALUE!</v>
      </c>
      <c r="FO29" t="e">
        <f>AND('DD Pairs Speed'!G65,"AAAAAD//P6o=")</f>
        <v>#VALUE!</v>
      </c>
      <c r="FP29" t="e">
        <f>AND('DD Pairs Speed'!H65,"AAAAAD//P6s=")</f>
        <v>#VALUE!</v>
      </c>
      <c r="FQ29" t="e">
        <f>AND('DD Pairs Speed'!I65,"AAAAAD//P6w=")</f>
        <v>#VALUE!</v>
      </c>
      <c r="FR29" t="e">
        <f>AND('DD Pairs Speed'!J65,"AAAAAD//P60=")</f>
        <v>#VALUE!</v>
      </c>
      <c r="FS29" t="e">
        <f>AND('DD Pairs Speed'!K65,"AAAAAD//P64=")</f>
        <v>#VALUE!</v>
      </c>
      <c r="FT29">
        <f>IF('DD Pairs Speed'!66:66,"AAAAAD//P68=",0)</f>
        <v>0</v>
      </c>
      <c r="FU29" t="e">
        <f>AND('DD Pairs Speed'!A66,"AAAAAD//P7A=")</f>
        <v>#VALUE!</v>
      </c>
      <c r="FV29" t="e">
        <f>AND('DD Pairs Speed'!B66,"AAAAAD//P7E=")</f>
        <v>#VALUE!</v>
      </c>
      <c r="FW29" t="e">
        <f>AND('DD Pairs Speed'!C66,"AAAAAD//P7I=")</f>
        <v>#VALUE!</v>
      </c>
      <c r="FX29" t="e">
        <f>AND('DD Pairs Speed'!D66,"AAAAAD//P7M=")</f>
        <v>#VALUE!</v>
      </c>
      <c r="FY29" t="e">
        <f>AND('DD Pairs Speed'!E66,"AAAAAD//P7Q=")</f>
        <v>#VALUE!</v>
      </c>
      <c r="FZ29" t="e">
        <f>AND('DD Pairs Speed'!F66,"AAAAAD//P7U=")</f>
        <v>#VALUE!</v>
      </c>
      <c r="GA29" t="e">
        <f>AND('DD Pairs Speed'!G66,"AAAAAD//P7Y=")</f>
        <v>#VALUE!</v>
      </c>
      <c r="GB29" t="e">
        <f>AND('DD Pairs Speed'!H66,"AAAAAD//P7c=")</f>
        <v>#VALUE!</v>
      </c>
      <c r="GC29" t="e">
        <f>AND('DD Pairs Speed'!I66,"AAAAAD//P7g=")</f>
        <v>#VALUE!</v>
      </c>
      <c r="GD29" t="e">
        <f>AND('DD Pairs Speed'!J66,"AAAAAD//P7k=")</f>
        <v>#VALUE!</v>
      </c>
      <c r="GE29" t="e">
        <f>AND('DD Pairs Speed'!K66,"AAAAAD//P7o=")</f>
        <v>#VALUE!</v>
      </c>
      <c r="GF29">
        <f>IF('DD Pairs Speed'!67:67,"AAAAAD//P7s=",0)</f>
        <v>0</v>
      </c>
      <c r="GG29" t="e">
        <f>AND('DD Pairs Speed'!A67,"AAAAAD//P7w=")</f>
        <v>#VALUE!</v>
      </c>
      <c r="GH29" t="e">
        <f>AND('DD Pairs Speed'!B67,"AAAAAD//P70=")</f>
        <v>#VALUE!</v>
      </c>
      <c r="GI29" t="e">
        <f>AND('DD Pairs Speed'!C67,"AAAAAD//P74=")</f>
        <v>#VALUE!</v>
      </c>
      <c r="GJ29" t="e">
        <f>AND('DD Pairs Speed'!D67,"AAAAAD//P78=")</f>
        <v>#VALUE!</v>
      </c>
      <c r="GK29" t="e">
        <f>AND('DD Pairs Speed'!E67,"AAAAAD//P8A=")</f>
        <v>#VALUE!</v>
      </c>
      <c r="GL29" t="e">
        <f>AND('DD Pairs Speed'!F67,"AAAAAD//P8E=")</f>
        <v>#VALUE!</v>
      </c>
      <c r="GM29" t="e">
        <f>AND('DD Pairs Speed'!G67,"AAAAAD//P8I=")</f>
        <v>#VALUE!</v>
      </c>
      <c r="GN29" t="e">
        <f>AND('DD Pairs Speed'!H67,"AAAAAD//P8M=")</f>
        <v>#VALUE!</v>
      </c>
      <c r="GO29" t="e">
        <f>AND('DD Pairs Speed'!I67,"AAAAAD//P8Q=")</f>
        <v>#VALUE!</v>
      </c>
      <c r="GP29" t="e">
        <f>AND('DD Pairs Speed'!J67,"AAAAAD//P8U=")</f>
        <v>#VALUE!</v>
      </c>
      <c r="GQ29" t="e">
        <f>AND('DD Pairs Speed'!K67,"AAAAAD//P8Y=")</f>
        <v>#VALUE!</v>
      </c>
      <c r="GR29">
        <f>IF('DD Pairs Speed'!68:68,"AAAAAD//P8c=",0)</f>
        <v>0</v>
      </c>
      <c r="GS29" t="e">
        <f>AND('DD Pairs Speed'!A68,"AAAAAD//P8g=")</f>
        <v>#VALUE!</v>
      </c>
      <c r="GT29" t="e">
        <f>AND('DD Pairs Speed'!B68,"AAAAAD//P8k=")</f>
        <v>#VALUE!</v>
      </c>
      <c r="GU29" t="e">
        <f>AND('DD Pairs Speed'!C68,"AAAAAD//P8o=")</f>
        <v>#VALUE!</v>
      </c>
      <c r="GV29" t="e">
        <f>AND('DD Pairs Speed'!D68,"AAAAAD//P8s=")</f>
        <v>#VALUE!</v>
      </c>
      <c r="GW29" t="e">
        <f>AND('DD Pairs Speed'!E68,"AAAAAD//P8w=")</f>
        <v>#VALUE!</v>
      </c>
      <c r="GX29" t="e">
        <f>AND('DD Pairs Speed'!F68,"AAAAAD//P80=")</f>
        <v>#VALUE!</v>
      </c>
      <c r="GY29" t="e">
        <f>AND('DD Pairs Speed'!G68,"AAAAAD//P84=")</f>
        <v>#VALUE!</v>
      </c>
      <c r="GZ29" t="e">
        <f>AND('DD Pairs Speed'!H68,"AAAAAD//P88=")</f>
        <v>#VALUE!</v>
      </c>
      <c r="HA29" t="e">
        <f>AND('DD Pairs Speed'!I68,"AAAAAD//P9A=")</f>
        <v>#VALUE!</v>
      </c>
      <c r="HB29" t="e">
        <f>AND('DD Pairs Speed'!J68,"AAAAAD//P9E=")</f>
        <v>#VALUE!</v>
      </c>
      <c r="HC29" t="e">
        <f>AND('DD Pairs Speed'!K68,"AAAAAD//P9I=")</f>
        <v>#VALUE!</v>
      </c>
      <c r="HD29">
        <f>IF('DD Pairs Speed'!69:69,"AAAAAD//P9M=",0)</f>
        <v>0</v>
      </c>
      <c r="HE29" t="e">
        <f>AND('DD Pairs Speed'!A69,"AAAAAD//P9Q=")</f>
        <v>#VALUE!</v>
      </c>
      <c r="HF29" t="e">
        <f>AND('DD Pairs Speed'!B69,"AAAAAD//P9U=")</f>
        <v>#VALUE!</v>
      </c>
      <c r="HG29" t="e">
        <f>AND('DD Pairs Speed'!C69,"AAAAAD//P9Y=")</f>
        <v>#VALUE!</v>
      </c>
      <c r="HH29" t="e">
        <f>AND('DD Pairs Speed'!D69,"AAAAAD//P9c=")</f>
        <v>#VALUE!</v>
      </c>
      <c r="HI29" t="e">
        <f>AND('DD Pairs Speed'!E69,"AAAAAD//P9g=")</f>
        <v>#VALUE!</v>
      </c>
      <c r="HJ29" t="e">
        <f>AND('DD Pairs Speed'!F69,"AAAAAD//P9k=")</f>
        <v>#VALUE!</v>
      </c>
      <c r="HK29" t="e">
        <f>AND('DD Pairs Speed'!G69,"AAAAAD//P9o=")</f>
        <v>#VALUE!</v>
      </c>
      <c r="HL29" t="e">
        <f>AND('DD Pairs Speed'!H69,"AAAAAD//P9s=")</f>
        <v>#VALUE!</v>
      </c>
      <c r="HM29" t="e">
        <f>AND('DD Pairs Speed'!I69,"AAAAAD//P9w=")</f>
        <v>#VALUE!</v>
      </c>
      <c r="HN29" t="e">
        <f>AND('DD Pairs Speed'!J69,"AAAAAD//P90=")</f>
        <v>#VALUE!</v>
      </c>
      <c r="HO29" t="e">
        <f>AND('DD Pairs Speed'!K69,"AAAAAD//P94=")</f>
        <v>#VALUE!</v>
      </c>
      <c r="HP29">
        <f>IF('DD Pairs Speed'!70:70,"AAAAAD//P98=",0)</f>
        <v>0</v>
      </c>
      <c r="HQ29" t="e">
        <f>AND('DD Pairs Speed'!A70,"AAAAAD//P+A=")</f>
        <v>#VALUE!</v>
      </c>
      <c r="HR29" t="e">
        <f>AND('DD Pairs Speed'!B70,"AAAAAD//P+E=")</f>
        <v>#VALUE!</v>
      </c>
      <c r="HS29" t="e">
        <f>AND('DD Pairs Speed'!C70,"AAAAAD//P+I=")</f>
        <v>#VALUE!</v>
      </c>
      <c r="HT29" t="e">
        <f>AND('DD Pairs Speed'!D70,"AAAAAD//P+M=")</f>
        <v>#VALUE!</v>
      </c>
      <c r="HU29" t="e">
        <f>AND('DD Pairs Speed'!E70,"AAAAAD//P+Q=")</f>
        <v>#VALUE!</v>
      </c>
      <c r="HV29" t="e">
        <f>AND('DD Pairs Speed'!F70,"AAAAAD//P+U=")</f>
        <v>#VALUE!</v>
      </c>
      <c r="HW29" t="e">
        <f>AND('DD Pairs Speed'!G70,"AAAAAD//P+Y=")</f>
        <v>#VALUE!</v>
      </c>
      <c r="HX29" t="e">
        <f>AND('DD Pairs Speed'!H70,"AAAAAD//P+c=")</f>
        <v>#VALUE!</v>
      </c>
      <c r="HY29" t="e">
        <f>AND('DD Pairs Speed'!I70,"AAAAAD//P+g=")</f>
        <v>#VALUE!</v>
      </c>
      <c r="HZ29" t="e">
        <f>AND('DD Pairs Speed'!J70,"AAAAAD//P+k=")</f>
        <v>#VALUE!</v>
      </c>
      <c r="IA29" t="e">
        <f>AND('DD Pairs Speed'!K70,"AAAAAD//P+o=")</f>
        <v>#VALUE!</v>
      </c>
      <c r="IB29">
        <f>IF('DD Pairs Speed'!71:71,"AAAAAD//P+s=",0)</f>
        <v>0</v>
      </c>
      <c r="IC29" t="e">
        <f>AND('DD Pairs Speed'!A71,"AAAAAD//P+w=")</f>
        <v>#VALUE!</v>
      </c>
      <c r="ID29" t="e">
        <f>AND('DD Pairs Speed'!B71,"AAAAAD//P+0=")</f>
        <v>#VALUE!</v>
      </c>
      <c r="IE29" t="e">
        <f>AND('DD Pairs Speed'!C71,"AAAAAD//P+4=")</f>
        <v>#VALUE!</v>
      </c>
      <c r="IF29" t="e">
        <f>AND('DD Pairs Speed'!D71,"AAAAAD//P+8=")</f>
        <v>#VALUE!</v>
      </c>
      <c r="IG29" t="e">
        <f>AND('DD Pairs Speed'!E71,"AAAAAD//P/A=")</f>
        <v>#VALUE!</v>
      </c>
      <c r="IH29" t="e">
        <f>AND('DD Pairs Speed'!F71,"AAAAAD//P/E=")</f>
        <v>#VALUE!</v>
      </c>
      <c r="II29" t="e">
        <f>AND('DD Pairs Speed'!G71,"AAAAAD//P/I=")</f>
        <v>#VALUE!</v>
      </c>
      <c r="IJ29" t="e">
        <f>AND('DD Pairs Speed'!H71,"AAAAAD//P/M=")</f>
        <v>#VALUE!</v>
      </c>
      <c r="IK29" t="e">
        <f>AND('DD Pairs Speed'!I71,"AAAAAD//P/Q=")</f>
        <v>#VALUE!</v>
      </c>
      <c r="IL29" t="e">
        <f>AND('DD Pairs Speed'!J71,"AAAAAD//P/U=")</f>
        <v>#VALUE!</v>
      </c>
      <c r="IM29" t="e">
        <f>AND('DD Pairs Speed'!K71,"AAAAAD//P/Y=")</f>
        <v>#VALUE!</v>
      </c>
      <c r="IN29">
        <f>IF('DD Pairs Speed'!72:72,"AAAAAD//P/c=",0)</f>
        <v>0</v>
      </c>
      <c r="IO29" t="e">
        <f>AND('DD Pairs Speed'!A72,"AAAAAD//P/g=")</f>
        <v>#VALUE!</v>
      </c>
      <c r="IP29" t="e">
        <f>AND('DD Pairs Speed'!B72,"AAAAAD//P/k=")</f>
        <v>#VALUE!</v>
      </c>
      <c r="IQ29" t="e">
        <f>AND('DD Pairs Speed'!C72,"AAAAAD//P/o=")</f>
        <v>#VALUE!</v>
      </c>
      <c r="IR29" t="e">
        <f>AND('DD Pairs Speed'!D72,"AAAAAD//P/s=")</f>
        <v>#VALUE!</v>
      </c>
      <c r="IS29" t="e">
        <f>AND('DD Pairs Speed'!E72,"AAAAAD//P/w=")</f>
        <v>#VALUE!</v>
      </c>
      <c r="IT29" t="e">
        <f>AND('DD Pairs Speed'!F72,"AAAAAD//P/0=")</f>
        <v>#VALUE!</v>
      </c>
      <c r="IU29" t="e">
        <f>AND('DD Pairs Speed'!G72,"AAAAAD//P/4=")</f>
        <v>#VALUE!</v>
      </c>
      <c r="IV29" t="e">
        <f>AND('DD Pairs Speed'!H72,"AAAAAD//P/8=")</f>
        <v>#VALUE!</v>
      </c>
    </row>
    <row r="30" spans="1:256" x14ac:dyDescent="0.25">
      <c r="A30" t="e">
        <f>AND('DD Pairs Speed'!I72,"AAAAAAfOfgA=")</f>
        <v>#VALUE!</v>
      </c>
      <c r="B30" t="e">
        <f>AND('DD Pairs Speed'!J72,"AAAAAAfOfgE=")</f>
        <v>#VALUE!</v>
      </c>
      <c r="C30" t="e">
        <f>AND('DD Pairs Speed'!K72,"AAAAAAfOfgI=")</f>
        <v>#VALUE!</v>
      </c>
      <c r="D30" t="str">
        <f>IF('DD Pairs Speed'!A:A,"AAAAAAfOfgM=",0)</f>
        <v>AAAAAAfOfgM=</v>
      </c>
      <c r="E30" t="e">
        <f>IF('DD Pairs Speed'!B:B,"AAAAAAfOfgQ=",0)</f>
        <v>#VALUE!</v>
      </c>
      <c r="F30" t="e">
        <f>IF('DD Pairs Speed'!C:C,"AAAAAAfOfgU=",0)</f>
        <v>#VALUE!</v>
      </c>
      <c r="G30">
        <f>IF('DD Pairs Speed'!D:D,"AAAAAAfOfgY=",0)</f>
        <v>0</v>
      </c>
      <c r="H30" t="e">
        <f>IF('DD Pairs Speed'!E:E,"AAAAAAfOfgc=",0)</f>
        <v>#VALUE!</v>
      </c>
      <c r="I30">
        <f>IF('DD Pairs Speed'!F:F,"AAAAAAfOfgg=",0)</f>
        <v>0</v>
      </c>
      <c r="J30" t="e">
        <f>IF('DD Pairs Speed'!G:G,"AAAAAAfOfgk=",0)</f>
        <v>#VALUE!</v>
      </c>
      <c r="K30">
        <f>IF('DD Pairs Speed'!H:H,"AAAAAAfOfgo=",0)</f>
        <v>0</v>
      </c>
      <c r="L30" t="e">
        <f>IF('DD Pairs Speed'!I:I,"AAAAAAfOfgs=",0)</f>
        <v>#VALUE!</v>
      </c>
      <c r="M30">
        <f>IF('DD Pairs Speed'!J:J,"AAAAAAfOfgw=",0)</f>
        <v>0</v>
      </c>
      <c r="N30" t="e">
        <f>IF('DD Pairs Speed'!K:K,"AAAAAAfOfg0=",0)</f>
        <v>#VALUE!</v>
      </c>
      <c r="O30">
        <f>IF('Male SR Individual Freestyle'!1:1,"AAAAAAfOfg4=",0)</f>
        <v>0</v>
      </c>
      <c r="P30" t="e">
        <f>AND('Male SR Individual Freestyle'!A1,"AAAAAAfOfg8=")</f>
        <v>#VALUE!</v>
      </c>
      <c r="Q30" t="e">
        <f>AND('Male SR Individual Freestyle'!B1,"AAAAAAfOfhA=")</f>
        <v>#VALUE!</v>
      </c>
      <c r="R30" t="e">
        <f>AND('Male SR Individual Freestyle'!C1,"AAAAAAfOfhE=")</f>
        <v>#VALUE!</v>
      </c>
      <c r="S30" t="e">
        <f>AND('Male SR Individual Freestyle'!D1,"AAAAAAfOfhI=")</f>
        <v>#VALUE!</v>
      </c>
      <c r="T30" t="e">
        <f>AND('Male SR Individual Freestyle'!E1,"AAAAAAfOfhM=")</f>
        <v>#VALUE!</v>
      </c>
      <c r="U30" t="e">
        <f>AND('Male SR Individual Freestyle'!F1,"AAAAAAfOfhQ=")</f>
        <v>#VALUE!</v>
      </c>
      <c r="V30" t="e">
        <f>AND('Male SR Individual Freestyle'!G1,"AAAAAAfOfhU=")</f>
        <v>#VALUE!</v>
      </c>
      <c r="W30" t="e">
        <f>AND('Male SR Individual Freestyle'!H1,"AAAAAAfOfhY=")</f>
        <v>#VALUE!</v>
      </c>
      <c r="X30" t="e">
        <f>AND('Male SR Individual Freestyle'!I1,"AAAAAAfOfhc=")</f>
        <v>#VALUE!</v>
      </c>
      <c r="Y30" t="e">
        <f>AND('Male SR Individual Freestyle'!J1,"AAAAAAfOfhg=")</f>
        <v>#VALUE!</v>
      </c>
      <c r="Z30" t="e">
        <f>AND('Male SR Individual Freestyle'!K1,"AAAAAAfOfhk=")</f>
        <v>#VALUE!</v>
      </c>
      <c r="AA30" t="e">
        <f>AND('Male SR Individual Freestyle'!L1,"AAAAAAfOfho=")</f>
        <v>#VALUE!</v>
      </c>
      <c r="AB30" t="e">
        <f>AND('Male SR Individual Freestyle'!M1,"AAAAAAfOfhs=")</f>
        <v>#VALUE!</v>
      </c>
      <c r="AC30">
        <f>IF('Male SR Individual Freestyle'!2:2,"AAAAAAfOfhw=",0)</f>
        <v>0</v>
      </c>
      <c r="AD30" t="e">
        <f>AND('Male SR Individual Freestyle'!A2,"AAAAAAfOfh0=")</f>
        <v>#VALUE!</v>
      </c>
      <c r="AE30" t="e">
        <f>AND('Male SR Individual Freestyle'!B2,"AAAAAAfOfh4=")</f>
        <v>#VALUE!</v>
      </c>
      <c r="AF30" t="e">
        <f>AND('Male SR Individual Freestyle'!C2,"AAAAAAfOfh8=")</f>
        <v>#VALUE!</v>
      </c>
      <c r="AG30" t="e">
        <f>AND('Male SR Individual Freestyle'!D2,"AAAAAAfOfiA=")</f>
        <v>#VALUE!</v>
      </c>
      <c r="AH30" t="e">
        <f>AND('Male SR Individual Freestyle'!E2,"AAAAAAfOfiE=")</f>
        <v>#VALUE!</v>
      </c>
      <c r="AI30" t="e">
        <f>AND('Male SR Individual Freestyle'!F2,"AAAAAAfOfiI=")</f>
        <v>#VALUE!</v>
      </c>
      <c r="AJ30" t="e">
        <f>AND('Male SR Individual Freestyle'!G2,"AAAAAAfOfiM=")</f>
        <v>#VALUE!</v>
      </c>
      <c r="AK30" t="e">
        <f>AND('Male SR Individual Freestyle'!H2,"AAAAAAfOfiQ=")</f>
        <v>#VALUE!</v>
      </c>
      <c r="AL30" t="e">
        <f>AND('Male SR Individual Freestyle'!I2,"AAAAAAfOfiU=")</f>
        <v>#VALUE!</v>
      </c>
      <c r="AM30" t="e">
        <f>AND('Male SR Individual Freestyle'!J2,"AAAAAAfOfiY=")</f>
        <v>#VALUE!</v>
      </c>
      <c r="AN30" t="e">
        <f>AND('Male SR Individual Freestyle'!K2,"AAAAAAfOfic=")</f>
        <v>#VALUE!</v>
      </c>
      <c r="AO30" t="e">
        <f>AND('Male SR Individual Freestyle'!L2,"AAAAAAfOfig=")</f>
        <v>#VALUE!</v>
      </c>
      <c r="AP30" t="e">
        <f>AND('Male SR Individual Freestyle'!M2,"AAAAAAfOfik=")</f>
        <v>#VALUE!</v>
      </c>
      <c r="AQ30">
        <f>IF('Male SR Individual Freestyle'!3:3,"AAAAAAfOfio=",0)</f>
        <v>0</v>
      </c>
      <c r="AR30" t="e">
        <f>AND('Male SR Individual Freestyle'!A3,"AAAAAAfOfis=")</f>
        <v>#VALUE!</v>
      </c>
      <c r="AS30" t="e">
        <f>AND('Male SR Individual Freestyle'!B3,"AAAAAAfOfiw=")</f>
        <v>#VALUE!</v>
      </c>
      <c r="AT30" t="e">
        <f>AND('Male SR Individual Freestyle'!C3,"AAAAAAfOfi0=")</f>
        <v>#VALUE!</v>
      </c>
      <c r="AU30" t="e">
        <f>AND('Male SR Individual Freestyle'!D3,"AAAAAAfOfi4=")</f>
        <v>#VALUE!</v>
      </c>
      <c r="AV30" t="e">
        <f>AND('Male SR Individual Freestyle'!E3,"AAAAAAfOfi8=")</f>
        <v>#VALUE!</v>
      </c>
      <c r="AW30" t="e">
        <f>AND('Male SR Individual Freestyle'!F3,"AAAAAAfOfjA=")</f>
        <v>#VALUE!</v>
      </c>
      <c r="AX30" t="e">
        <f>AND('Male SR Individual Freestyle'!G3,"AAAAAAfOfjE=")</f>
        <v>#VALUE!</v>
      </c>
      <c r="AY30" t="e">
        <f>AND('Male SR Individual Freestyle'!H3,"AAAAAAfOfjI=")</f>
        <v>#VALUE!</v>
      </c>
      <c r="AZ30" t="e">
        <f>AND('Male SR Individual Freestyle'!I3,"AAAAAAfOfjM=")</f>
        <v>#VALUE!</v>
      </c>
      <c r="BA30" t="e">
        <f>AND('Male SR Individual Freestyle'!J3,"AAAAAAfOfjQ=")</f>
        <v>#VALUE!</v>
      </c>
      <c r="BB30" t="e">
        <f>AND('Male SR Individual Freestyle'!K3,"AAAAAAfOfjU=")</f>
        <v>#VALUE!</v>
      </c>
      <c r="BC30" t="e">
        <f>AND('Male SR Individual Freestyle'!L3,"AAAAAAfOfjY=")</f>
        <v>#VALUE!</v>
      </c>
      <c r="BD30" t="e">
        <f>AND('Male SR Individual Freestyle'!M3,"AAAAAAfOfjc=")</f>
        <v>#VALUE!</v>
      </c>
      <c r="BE30">
        <f>IF('Male SR Individual Freestyle'!16:16,"AAAAAAfOfjg=",0)</f>
        <v>0</v>
      </c>
      <c r="BF30" t="e">
        <f>AND('Male SR Individual Freestyle'!A16,"AAAAAAfOfjk=")</f>
        <v>#VALUE!</v>
      </c>
      <c r="BG30" t="e">
        <f>AND('Male SR Individual Freestyle'!B16,"AAAAAAfOfjo=")</f>
        <v>#VALUE!</v>
      </c>
      <c r="BH30" t="e">
        <f>AND('Male SR Individual Freestyle'!C16,"AAAAAAfOfjs=")</f>
        <v>#VALUE!</v>
      </c>
      <c r="BI30" t="e">
        <f>AND('Male SR Individual Freestyle'!D16,"AAAAAAfOfjw=")</f>
        <v>#VALUE!</v>
      </c>
      <c r="BJ30" t="e">
        <f>AND('Male SR Individual Freestyle'!E16,"AAAAAAfOfj0=")</f>
        <v>#VALUE!</v>
      </c>
      <c r="BK30" t="e">
        <f>AND('Male SR Individual Freestyle'!F16,"AAAAAAfOfj4=")</f>
        <v>#VALUE!</v>
      </c>
      <c r="BL30" t="e">
        <f>AND('Male SR Individual Freestyle'!G16,"AAAAAAfOfj8=")</f>
        <v>#VALUE!</v>
      </c>
      <c r="BM30" t="e">
        <f>AND('Male SR Individual Freestyle'!H16,"AAAAAAfOfkA=")</f>
        <v>#VALUE!</v>
      </c>
      <c r="BN30" t="e">
        <f>AND('Male SR Individual Freestyle'!I16,"AAAAAAfOfkE=")</f>
        <v>#VALUE!</v>
      </c>
      <c r="BO30" t="e">
        <f>AND('Male SR Individual Freestyle'!J16,"AAAAAAfOfkI=")</f>
        <v>#VALUE!</v>
      </c>
      <c r="BP30" t="e">
        <f>AND('Male SR Individual Freestyle'!K16,"AAAAAAfOfkM=")</f>
        <v>#VALUE!</v>
      </c>
      <c r="BQ30" t="e">
        <f>AND('Male SR Individual Freestyle'!L16,"AAAAAAfOfkQ=")</f>
        <v>#VALUE!</v>
      </c>
      <c r="BR30" t="e">
        <f>AND('Male SR Individual Freestyle'!M16,"AAAAAAfOfkU=")</f>
        <v>#VALUE!</v>
      </c>
      <c r="BS30">
        <f>IF('Male SR Individual Freestyle'!17:17,"AAAAAAfOfkY=",0)</f>
        <v>0</v>
      </c>
      <c r="BT30" t="e">
        <f>AND('Male SR Individual Freestyle'!A17,"AAAAAAfOfkc=")</f>
        <v>#VALUE!</v>
      </c>
      <c r="BU30" t="e">
        <f>AND('Male SR Individual Freestyle'!B17,"AAAAAAfOfkg=")</f>
        <v>#VALUE!</v>
      </c>
      <c r="BV30" t="e">
        <f>AND('Male SR Individual Freestyle'!C17,"AAAAAAfOfkk=")</f>
        <v>#VALUE!</v>
      </c>
      <c r="BW30" t="e">
        <f>AND('Male SR Individual Freestyle'!D17,"AAAAAAfOfko=")</f>
        <v>#VALUE!</v>
      </c>
      <c r="BX30" t="e">
        <f>AND('Male SR Individual Freestyle'!E17,"AAAAAAfOfks=")</f>
        <v>#VALUE!</v>
      </c>
      <c r="BY30" t="e">
        <f>AND('Male SR Individual Freestyle'!F17,"AAAAAAfOfkw=")</f>
        <v>#VALUE!</v>
      </c>
      <c r="BZ30" t="e">
        <f>AND('Male SR Individual Freestyle'!G17,"AAAAAAfOfk0=")</f>
        <v>#VALUE!</v>
      </c>
      <c r="CA30" t="e">
        <f>AND('Male SR Individual Freestyle'!H17,"AAAAAAfOfk4=")</f>
        <v>#VALUE!</v>
      </c>
      <c r="CB30" t="e">
        <f>AND('Male SR Individual Freestyle'!I17,"AAAAAAfOfk8=")</f>
        <v>#VALUE!</v>
      </c>
      <c r="CC30" t="e">
        <f>AND('Male SR Individual Freestyle'!J17,"AAAAAAfOflA=")</f>
        <v>#VALUE!</v>
      </c>
      <c r="CD30" t="e">
        <f>AND('Male SR Individual Freestyle'!K17,"AAAAAAfOflE=")</f>
        <v>#VALUE!</v>
      </c>
      <c r="CE30" t="e">
        <f>AND('Male SR Individual Freestyle'!L17,"AAAAAAfOflI=")</f>
        <v>#VALUE!</v>
      </c>
      <c r="CF30" t="e">
        <f>AND('Male SR Individual Freestyle'!M17,"AAAAAAfOflM=")</f>
        <v>#VALUE!</v>
      </c>
      <c r="CG30">
        <f>IF('Male SR Individual Freestyle'!18:18,"AAAAAAfOflQ=",0)</f>
        <v>0</v>
      </c>
      <c r="CH30" t="e">
        <f>AND('Male SR Individual Freestyle'!A18,"AAAAAAfOflU=")</f>
        <v>#VALUE!</v>
      </c>
      <c r="CI30" t="e">
        <f>AND('Male SR Individual Freestyle'!B18,"AAAAAAfOflY=")</f>
        <v>#VALUE!</v>
      </c>
      <c r="CJ30" t="e">
        <f>AND('Male SR Individual Freestyle'!C18,"AAAAAAfOflc=")</f>
        <v>#VALUE!</v>
      </c>
      <c r="CK30" t="e">
        <f>AND('Male SR Individual Freestyle'!D18,"AAAAAAfOflg=")</f>
        <v>#VALUE!</v>
      </c>
      <c r="CL30" t="e">
        <f>AND('Male SR Individual Freestyle'!E18,"AAAAAAfOflk=")</f>
        <v>#VALUE!</v>
      </c>
      <c r="CM30" t="e">
        <f>AND('Male SR Individual Freestyle'!F18,"AAAAAAfOflo=")</f>
        <v>#VALUE!</v>
      </c>
      <c r="CN30" t="e">
        <f>AND('Male SR Individual Freestyle'!G18,"AAAAAAfOfls=")</f>
        <v>#VALUE!</v>
      </c>
      <c r="CO30" t="e">
        <f>AND('Male SR Individual Freestyle'!H18,"AAAAAAfOflw=")</f>
        <v>#VALUE!</v>
      </c>
      <c r="CP30" t="e">
        <f>AND('Male SR Individual Freestyle'!I18,"AAAAAAfOfl0=")</f>
        <v>#VALUE!</v>
      </c>
      <c r="CQ30" t="e">
        <f>AND('Male SR Individual Freestyle'!J18,"AAAAAAfOfl4=")</f>
        <v>#VALUE!</v>
      </c>
      <c r="CR30" t="e">
        <f>AND('Male SR Individual Freestyle'!K18,"AAAAAAfOfl8=")</f>
        <v>#VALUE!</v>
      </c>
      <c r="CS30" t="e">
        <f>AND('Male SR Individual Freestyle'!L18,"AAAAAAfOfmA=")</f>
        <v>#VALUE!</v>
      </c>
      <c r="CT30" t="e">
        <f>AND('Male SR Individual Freestyle'!M18,"AAAAAAfOfmE=")</f>
        <v>#VALUE!</v>
      </c>
      <c r="CU30">
        <f>IF('Male SR Individual Freestyle'!19:19,"AAAAAAfOfmI=",0)</f>
        <v>0</v>
      </c>
      <c r="CV30" t="e">
        <f>AND('Male SR Individual Freestyle'!A19,"AAAAAAfOfmM=")</f>
        <v>#VALUE!</v>
      </c>
      <c r="CW30" t="e">
        <f>AND('Male SR Individual Freestyle'!B19,"AAAAAAfOfmQ=")</f>
        <v>#VALUE!</v>
      </c>
      <c r="CX30" t="e">
        <f>AND('Male SR Individual Freestyle'!C19,"AAAAAAfOfmU=")</f>
        <v>#VALUE!</v>
      </c>
      <c r="CY30" t="e">
        <f>AND('Male SR Individual Freestyle'!D19,"AAAAAAfOfmY=")</f>
        <v>#VALUE!</v>
      </c>
      <c r="CZ30" t="e">
        <f>AND('Male SR Individual Freestyle'!E19,"AAAAAAfOfmc=")</f>
        <v>#VALUE!</v>
      </c>
      <c r="DA30" t="e">
        <f>AND('Male SR Individual Freestyle'!F19,"AAAAAAfOfmg=")</f>
        <v>#VALUE!</v>
      </c>
      <c r="DB30" t="e">
        <f>AND('Male SR Individual Freestyle'!G19,"AAAAAAfOfmk=")</f>
        <v>#VALUE!</v>
      </c>
      <c r="DC30" t="e">
        <f>AND('Male SR Individual Freestyle'!H19,"AAAAAAfOfmo=")</f>
        <v>#VALUE!</v>
      </c>
      <c r="DD30" t="e">
        <f>AND('Male SR Individual Freestyle'!I19,"AAAAAAfOfms=")</f>
        <v>#VALUE!</v>
      </c>
      <c r="DE30" t="e">
        <f>AND('Male SR Individual Freestyle'!J19,"AAAAAAfOfmw=")</f>
        <v>#VALUE!</v>
      </c>
      <c r="DF30" t="e">
        <f>AND('Male SR Individual Freestyle'!K19,"AAAAAAfOfm0=")</f>
        <v>#VALUE!</v>
      </c>
      <c r="DG30" t="e">
        <f>AND('Male SR Individual Freestyle'!L19,"AAAAAAfOfm4=")</f>
        <v>#VALUE!</v>
      </c>
      <c r="DH30" t="e">
        <f>AND('Male SR Individual Freestyle'!M19,"AAAAAAfOfm8=")</f>
        <v>#VALUE!</v>
      </c>
      <c r="DI30">
        <f>IF('Male SR Individual Freestyle'!20:20,"AAAAAAfOfnA=",0)</f>
        <v>0</v>
      </c>
      <c r="DJ30" t="e">
        <f>AND('Male SR Individual Freestyle'!A20,"AAAAAAfOfnE=")</f>
        <v>#VALUE!</v>
      </c>
      <c r="DK30" t="e">
        <f>AND('Male SR Individual Freestyle'!B20,"AAAAAAfOfnI=")</f>
        <v>#VALUE!</v>
      </c>
      <c r="DL30" t="e">
        <f>AND('Male SR Individual Freestyle'!C20,"AAAAAAfOfnM=")</f>
        <v>#VALUE!</v>
      </c>
      <c r="DM30" t="e">
        <f>AND('Male SR Individual Freestyle'!D20,"AAAAAAfOfnQ=")</f>
        <v>#VALUE!</v>
      </c>
      <c r="DN30" t="e">
        <f>AND('Male SR Individual Freestyle'!E20,"AAAAAAfOfnU=")</f>
        <v>#VALUE!</v>
      </c>
      <c r="DO30" t="e">
        <f>AND('Male SR Individual Freestyle'!F20,"AAAAAAfOfnY=")</f>
        <v>#VALUE!</v>
      </c>
      <c r="DP30" t="e">
        <f>AND('Male SR Individual Freestyle'!G20,"AAAAAAfOfnc=")</f>
        <v>#VALUE!</v>
      </c>
      <c r="DQ30" t="e">
        <f>AND('Male SR Individual Freestyle'!H20,"AAAAAAfOfng=")</f>
        <v>#VALUE!</v>
      </c>
      <c r="DR30" t="e">
        <f>AND('Male SR Individual Freestyle'!I20,"AAAAAAfOfnk=")</f>
        <v>#VALUE!</v>
      </c>
      <c r="DS30" t="e">
        <f>AND('Male SR Individual Freestyle'!J20,"AAAAAAfOfno=")</f>
        <v>#VALUE!</v>
      </c>
      <c r="DT30" t="e">
        <f>AND('Male SR Individual Freestyle'!K20,"AAAAAAfOfns=")</f>
        <v>#VALUE!</v>
      </c>
      <c r="DU30" t="e">
        <f>AND('Male SR Individual Freestyle'!L20,"AAAAAAfOfnw=")</f>
        <v>#VALUE!</v>
      </c>
      <c r="DV30" t="e">
        <f>AND('Male SR Individual Freestyle'!M20,"AAAAAAfOfn0=")</f>
        <v>#VALUE!</v>
      </c>
      <c r="DW30">
        <f>IF('Male SR Individual Freestyle'!21:21,"AAAAAAfOfn4=",0)</f>
        <v>0</v>
      </c>
      <c r="DX30" t="e">
        <f>AND('Male SR Individual Freestyle'!A21,"AAAAAAfOfn8=")</f>
        <v>#VALUE!</v>
      </c>
      <c r="DY30" t="e">
        <f>AND('Male SR Individual Freestyle'!B21,"AAAAAAfOfoA=")</f>
        <v>#VALUE!</v>
      </c>
      <c r="DZ30" t="e">
        <f>AND('Male SR Individual Freestyle'!C21,"AAAAAAfOfoE=")</f>
        <v>#VALUE!</v>
      </c>
      <c r="EA30" t="e">
        <f>AND('Male SR Individual Freestyle'!D21,"AAAAAAfOfoI=")</f>
        <v>#VALUE!</v>
      </c>
      <c r="EB30" t="e">
        <f>AND('Male SR Individual Freestyle'!E21,"AAAAAAfOfoM=")</f>
        <v>#VALUE!</v>
      </c>
      <c r="EC30" t="e">
        <f>AND('Male SR Individual Freestyle'!F21,"AAAAAAfOfoQ=")</f>
        <v>#VALUE!</v>
      </c>
      <c r="ED30" t="e">
        <f>AND('Male SR Individual Freestyle'!G21,"AAAAAAfOfoU=")</f>
        <v>#VALUE!</v>
      </c>
      <c r="EE30" t="e">
        <f>AND('Male SR Individual Freestyle'!H21,"AAAAAAfOfoY=")</f>
        <v>#VALUE!</v>
      </c>
      <c r="EF30" t="e">
        <f>AND('Male SR Individual Freestyle'!I21,"AAAAAAfOfoc=")</f>
        <v>#VALUE!</v>
      </c>
      <c r="EG30" t="e">
        <f>AND('Male SR Individual Freestyle'!J21,"AAAAAAfOfog=")</f>
        <v>#VALUE!</v>
      </c>
      <c r="EH30" t="e">
        <f>AND('Male SR Individual Freestyle'!K21,"AAAAAAfOfok=")</f>
        <v>#VALUE!</v>
      </c>
      <c r="EI30" t="e">
        <f>AND('Male SR Individual Freestyle'!L21,"AAAAAAfOfoo=")</f>
        <v>#VALUE!</v>
      </c>
      <c r="EJ30" t="e">
        <f>AND('Male SR Individual Freestyle'!M21,"AAAAAAfOfos=")</f>
        <v>#VALUE!</v>
      </c>
      <c r="EK30">
        <f>IF('Male SR Individual Freestyle'!22:22,"AAAAAAfOfow=",0)</f>
        <v>0</v>
      </c>
      <c r="EL30" t="e">
        <f>AND('Male SR Individual Freestyle'!A22,"AAAAAAfOfo0=")</f>
        <v>#VALUE!</v>
      </c>
      <c r="EM30" t="e">
        <f>AND('Male SR Individual Freestyle'!B22,"AAAAAAfOfo4=")</f>
        <v>#VALUE!</v>
      </c>
      <c r="EN30" t="e">
        <f>AND('Male SR Individual Freestyle'!C22,"AAAAAAfOfo8=")</f>
        <v>#VALUE!</v>
      </c>
      <c r="EO30" t="e">
        <f>AND('Male SR Individual Freestyle'!D22,"AAAAAAfOfpA=")</f>
        <v>#VALUE!</v>
      </c>
      <c r="EP30" t="e">
        <f>AND('Male SR Individual Freestyle'!E22,"AAAAAAfOfpE=")</f>
        <v>#VALUE!</v>
      </c>
      <c r="EQ30" t="e">
        <f>AND('Male SR Individual Freestyle'!F22,"AAAAAAfOfpI=")</f>
        <v>#VALUE!</v>
      </c>
      <c r="ER30" t="e">
        <f>AND('Male SR Individual Freestyle'!G22,"AAAAAAfOfpM=")</f>
        <v>#VALUE!</v>
      </c>
      <c r="ES30" t="e">
        <f>AND('Male SR Individual Freestyle'!H22,"AAAAAAfOfpQ=")</f>
        <v>#VALUE!</v>
      </c>
      <c r="ET30" t="e">
        <f>AND('Male SR Individual Freestyle'!I22,"AAAAAAfOfpU=")</f>
        <v>#VALUE!</v>
      </c>
      <c r="EU30" t="e">
        <f>AND('Male SR Individual Freestyle'!J22,"AAAAAAfOfpY=")</f>
        <v>#VALUE!</v>
      </c>
      <c r="EV30" t="e">
        <f>AND('Male SR Individual Freestyle'!K22,"AAAAAAfOfpc=")</f>
        <v>#VALUE!</v>
      </c>
      <c r="EW30" t="e">
        <f>AND('Male SR Individual Freestyle'!L22,"AAAAAAfOfpg=")</f>
        <v>#VALUE!</v>
      </c>
      <c r="EX30" t="e">
        <f>AND('Male SR Individual Freestyle'!M22,"AAAAAAfOfpk=")</f>
        <v>#VALUE!</v>
      </c>
      <c r="EY30">
        <f>IF('Male SR Individual Freestyle'!23:23,"AAAAAAfOfpo=",0)</f>
        <v>0</v>
      </c>
      <c r="EZ30" t="e">
        <f>AND('Male SR Individual Freestyle'!A23,"AAAAAAfOfps=")</f>
        <v>#VALUE!</v>
      </c>
      <c r="FA30" t="e">
        <f>AND('Male SR Individual Freestyle'!B23,"AAAAAAfOfpw=")</f>
        <v>#VALUE!</v>
      </c>
      <c r="FB30" t="e">
        <f>AND('Male SR Individual Freestyle'!C23,"AAAAAAfOfp0=")</f>
        <v>#VALUE!</v>
      </c>
      <c r="FC30" t="e">
        <f>AND('Male SR Individual Freestyle'!D23,"AAAAAAfOfp4=")</f>
        <v>#VALUE!</v>
      </c>
      <c r="FD30" t="e">
        <f>AND('Male SR Individual Freestyle'!E23,"AAAAAAfOfp8=")</f>
        <v>#VALUE!</v>
      </c>
      <c r="FE30" t="e">
        <f>AND('Male SR Individual Freestyle'!F23,"AAAAAAfOfqA=")</f>
        <v>#VALUE!</v>
      </c>
      <c r="FF30" t="e">
        <f>AND('Male SR Individual Freestyle'!G23,"AAAAAAfOfqE=")</f>
        <v>#VALUE!</v>
      </c>
      <c r="FG30" t="e">
        <f>AND('Male SR Individual Freestyle'!H23,"AAAAAAfOfqI=")</f>
        <v>#VALUE!</v>
      </c>
      <c r="FH30" t="e">
        <f>AND('Male SR Individual Freestyle'!I23,"AAAAAAfOfqM=")</f>
        <v>#VALUE!</v>
      </c>
      <c r="FI30" t="e">
        <f>AND('Male SR Individual Freestyle'!J23,"AAAAAAfOfqQ=")</f>
        <v>#VALUE!</v>
      </c>
      <c r="FJ30" t="e">
        <f>AND('Male SR Individual Freestyle'!K23,"AAAAAAfOfqU=")</f>
        <v>#VALUE!</v>
      </c>
      <c r="FK30" t="e">
        <f>AND('Male SR Individual Freestyle'!L23,"AAAAAAfOfqY=")</f>
        <v>#VALUE!</v>
      </c>
      <c r="FL30" t="e">
        <f>AND('Male SR Individual Freestyle'!M23,"AAAAAAfOfqc=")</f>
        <v>#VALUE!</v>
      </c>
      <c r="FM30">
        <f>IF('Male SR Individual Freestyle'!24:24,"AAAAAAfOfqg=",0)</f>
        <v>0</v>
      </c>
      <c r="FN30" t="e">
        <f>AND('Male SR Individual Freestyle'!A24,"AAAAAAfOfqk=")</f>
        <v>#VALUE!</v>
      </c>
      <c r="FO30" t="e">
        <f>AND('Male SR Individual Freestyle'!B24,"AAAAAAfOfqo=")</f>
        <v>#VALUE!</v>
      </c>
      <c r="FP30" t="e">
        <f>AND('Male SR Individual Freestyle'!C24,"AAAAAAfOfqs=")</f>
        <v>#VALUE!</v>
      </c>
      <c r="FQ30" t="e">
        <f>AND('Male SR Individual Freestyle'!D24,"AAAAAAfOfqw=")</f>
        <v>#VALUE!</v>
      </c>
      <c r="FR30" t="e">
        <f>AND('Male SR Individual Freestyle'!E24,"AAAAAAfOfq0=")</f>
        <v>#VALUE!</v>
      </c>
      <c r="FS30" t="e">
        <f>AND('Male SR Individual Freestyle'!F24,"AAAAAAfOfq4=")</f>
        <v>#VALUE!</v>
      </c>
      <c r="FT30" t="e">
        <f>AND('Male SR Individual Freestyle'!G24,"AAAAAAfOfq8=")</f>
        <v>#VALUE!</v>
      </c>
      <c r="FU30" t="e">
        <f>AND('Male SR Individual Freestyle'!H24,"AAAAAAfOfrA=")</f>
        <v>#VALUE!</v>
      </c>
      <c r="FV30" t="e">
        <f>AND('Male SR Individual Freestyle'!I24,"AAAAAAfOfrE=")</f>
        <v>#VALUE!</v>
      </c>
      <c r="FW30" t="e">
        <f>AND('Male SR Individual Freestyle'!J24,"AAAAAAfOfrI=")</f>
        <v>#VALUE!</v>
      </c>
      <c r="FX30" t="e">
        <f>AND('Male SR Individual Freestyle'!K24,"AAAAAAfOfrM=")</f>
        <v>#VALUE!</v>
      </c>
      <c r="FY30" t="e">
        <f>AND('Male SR Individual Freestyle'!L24,"AAAAAAfOfrQ=")</f>
        <v>#VALUE!</v>
      </c>
      <c r="FZ30" t="e">
        <f>AND('Male SR Individual Freestyle'!M24,"AAAAAAfOfrU=")</f>
        <v>#VALUE!</v>
      </c>
      <c r="GA30">
        <f>IF('Male SR Individual Freestyle'!25:25,"AAAAAAfOfrY=",0)</f>
        <v>0</v>
      </c>
      <c r="GB30" t="e">
        <f>AND('Male SR Individual Freestyle'!A25,"AAAAAAfOfrc=")</f>
        <v>#VALUE!</v>
      </c>
      <c r="GC30" t="e">
        <f>AND('Male SR Individual Freestyle'!B25,"AAAAAAfOfrg=")</f>
        <v>#VALUE!</v>
      </c>
      <c r="GD30" t="e">
        <f>AND('Male SR Individual Freestyle'!C25,"AAAAAAfOfrk=")</f>
        <v>#VALUE!</v>
      </c>
      <c r="GE30" t="e">
        <f>AND('Male SR Individual Freestyle'!D25,"AAAAAAfOfro=")</f>
        <v>#VALUE!</v>
      </c>
      <c r="GF30" t="e">
        <f>AND('Male SR Individual Freestyle'!E25,"AAAAAAfOfrs=")</f>
        <v>#VALUE!</v>
      </c>
      <c r="GG30" t="e">
        <f>AND('Male SR Individual Freestyle'!F25,"AAAAAAfOfrw=")</f>
        <v>#VALUE!</v>
      </c>
      <c r="GH30" t="e">
        <f>AND('Male SR Individual Freestyle'!G25,"AAAAAAfOfr0=")</f>
        <v>#VALUE!</v>
      </c>
      <c r="GI30" t="e">
        <f>AND('Male SR Individual Freestyle'!H25,"AAAAAAfOfr4=")</f>
        <v>#VALUE!</v>
      </c>
      <c r="GJ30" t="e">
        <f>AND('Male SR Individual Freestyle'!I25,"AAAAAAfOfr8=")</f>
        <v>#VALUE!</v>
      </c>
      <c r="GK30" t="e">
        <f>AND('Male SR Individual Freestyle'!J25,"AAAAAAfOfsA=")</f>
        <v>#VALUE!</v>
      </c>
      <c r="GL30" t="e">
        <f>AND('Male SR Individual Freestyle'!K25,"AAAAAAfOfsE=")</f>
        <v>#VALUE!</v>
      </c>
      <c r="GM30" t="e">
        <f>AND('Male SR Individual Freestyle'!L25,"AAAAAAfOfsI=")</f>
        <v>#VALUE!</v>
      </c>
      <c r="GN30" t="e">
        <f>AND('Male SR Individual Freestyle'!M25,"AAAAAAfOfsM=")</f>
        <v>#VALUE!</v>
      </c>
      <c r="GO30">
        <f>IF('Male SR Individual Freestyle'!26:26,"AAAAAAfOfsQ=",0)</f>
        <v>0</v>
      </c>
      <c r="GP30" t="e">
        <f>AND('Male SR Individual Freestyle'!A26,"AAAAAAfOfsU=")</f>
        <v>#VALUE!</v>
      </c>
      <c r="GQ30" t="e">
        <f>AND('Male SR Individual Freestyle'!B26,"AAAAAAfOfsY=")</f>
        <v>#VALUE!</v>
      </c>
      <c r="GR30" t="e">
        <f>AND('Male SR Individual Freestyle'!C26,"AAAAAAfOfsc=")</f>
        <v>#VALUE!</v>
      </c>
      <c r="GS30" t="e">
        <f>AND('Male SR Individual Freestyle'!D26,"AAAAAAfOfsg=")</f>
        <v>#VALUE!</v>
      </c>
      <c r="GT30" t="e">
        <f>AND('Male SR Individual Freestyle'!E26,"AAAAAAfOfsk=")</f>
        <v>#VALUE!</v>
      </c>
      <c r="GU30" t="e">
        <f>AND('Male SR Individual Freestyle'!F26,"AAAAAAfOfso=")</f>
        <v>#VALUE!</v>
      </c>
      <c r="GV30" t="e">
        <f>AND('Male SR Individual Freestyle'!G26,"AAAAAAfOfss=")</f>
        <v>#VALUE!</v>
      </c>
      <c r="GW30" t="e">
        <f>AND('Male SR Individual Freestyle'!H26,"AAAAAAfOfsw=")</f>
        <v>#VALUE!</v>
      </c>
      <c r="GX30" t="e">
        <f>AND('Male SR Individual Freestyle'!I26,"AAAAAAfOfs0=")</f>
        <v>#VALUE!</v>
      </c>
      <c r="GY30" t="e">
        <f>AND('Male SR Individual Freestyle'!J26,"AAAAAAfOfs4=")</f>
        <v>#VALUE!</v>
      </c>
      <c r="GZ30" t="e">
        <f>AND('Male SR Individual Freestyle'!K26,"AAAAAAfOfs8=")</f>
        <v>#VALUE!</v>
      </c>
      <c r="HA30" t="e">
        <f>AND('Male SR Individual Freestyle'!L26,"AAAAAAfOftA=")</f>
        <v>#VALUE!</v>
      </c>
      <c r="HB30" t="e">
        <f>AND('Male SR Individual Freestyle'!M26,"AAAAAAfOftE=")</f>
        <v>#VALUE!</v>
      </c>
      <c r="HC30">
        <f>IF('Male SR Individual Freestyle'!27:27,"AAAAAAfOftI=",0)</f>
        <v>0</v>
      </c>
      <c r="HD30" t="e">
        <f>AND('Male SR Individual Freestyle'!A27,"AAAAAAfOftM=")</f>
        <v>#VALUE!</v>
      </c>
      <c r="HE30" t="e">
        <f>AND('Male SR Individual Freestyle'!B27,"AAAAAAfOftQ=")</f>
        <v>#VALUE!</v>
      </c>
      <c r="HF30" t="e">
        <f>AND('Male SR Individual Freestyle'!C27,"AAAAAAfOftU=")</f>
        <v>#VALUE!</v>
      </c>
      <c r="HG30" t="e">
        <f>AND('Male SR Individual Freestyle'!D27,"AAAAAAfOftY=")</f>
        <v>#VALUE!</v>
      </c>
      <c r="HH30" t="e">
        <f>AND('Male SR Individual Freestyle'!E27,"AAAAAAfOftc=")</f>
        <v>#VALUE!</v>
      </c>
      <c r="HI30" t="e">
        <f>AND('Male SR Individual Freestyle'!F27,"AAAAAAfOftg=")</f>
        <v>#VALUE!</v>
      </c>
      <c r="HJ30" t="e">
        <f>AND('Male SR Individual Freestyle'!G27,"AAAAAAfOftk=")</f>
        <v>#VALUE!</v>
      </c>
      <c r="HK30" t="e">
        <f>AND('Male SR Individual Freestyle'!H27,"AAAAAAfOfto=")</f>
        <v>#VALUE!</v>
      </c>
      <c r="HL30" t="e">
        <f>AND('Male SR Individual Freestyle'!I27,"AAAAAAfOfts=")</f>
        <v>#VALUE!</v>
      </c>
      <c r="HM30" t="e">
        <f>AND('Male SR Individual Freestyle'!J27,"AAAAAAfOftw=")</f>
        <v>#VALUE!</v>
      </c>
      <c r="HN30" t="e">
        <f>AND('Male SR Individual Freestyle'!K27,"AAAAAAfOft0=")</f>
        <v>#VALUE!</v>
      </c>
      <c r="HO30" t="e">
        <f>AND('Male SR Individual Freestyle'!L27,"AAAAAAfOft4=")</f>
        <v>#VALUE!</v>
      </c>
      <c r="HP30" t="e">
        <f>AND('Male SR Individual Freestyle'!M27,"AAAAAAfOft8=")</f>
        <v>#VALUE!</v>
      </c>
      <c r="HQ30">
        <f>IF('Male SR Individual Freestyle'!28:28,"AAAAAAfOfuA=",0)</f>
        <v>0</v>
      </c>
      <c r="HR30" t="e">
        <f>AND('Male SR Individual Freestyle'!A28,"AAAAAAfOfuE=")</f>
        <v>#VALUE!</v>
      </c>
      <c r="HS30" t="e">
        <f>AND('Male SR Individual Freestyle'!B28,"AAAAAAfOfuI=")</f>
        <v>#VALUE!</v>
      </c>
      <c r="HT30" t="e">
        <f>AND('Male SR Individual Freestyle'!C28,"AAAAAAfOfuM=")</f>
        <v>#VALUE!</v>
      </c>
      <c r="HU30" t="e">
        <f>AND('Male SR Individual Freestyle'!D28,"AAAAAAfOfuQ=")</f>
        <v>#VALUE!</v>
      </c>
      <c r="HV30" t="e">
        <f>AND('Male SR Individual Freestyle'!E28,"AAAAAAfOfuU=")</f>
        <v>#VALUE!</v>
      </c>
      <c r="HW30" t="e">
        <f>AND('Male SR Individual Freestyle'!F28,"AAAAAAfOfuY=")</f>
        <v>#VALUE!</v>
      </c>
      <c r="HX30" t="e">
        <f>AND('Male SR Individual Freestyle'!G28,"AAAAAAfOfuc=")</f>
        <v>#VALUE!</v>
      </c>
      <c r="HY30" t="e">
        <f>AND('Male SR Individual Freestyle'!H28,"AAAAAAfOfug=")</f>
        <v>#VALUE!</v>
      </c>
      <c r="HZ30" t="e">
        <f>AND('Male SR Individual Freestyle'!I28,"AAAAAAfOfuk=")</f>
        <v>#VALUE!</v>
      </c>
      <c r="IA30" t="e">
        <f>AND('Male SR Individual Freestyle'!J28,"AAAAAAfOfuo=")</f>
        <v>#VALUE!</v>
      </c>
      <c r="IB30" t="e">
        <f>AND('Male SR Individual Freestyle'!K28,"AAAAAAfOfus=")</f>
        <v>#VALUE!</v>
      </c>
      <c r="IC30" t="e">
        <f>AND('Male SR Individual Freestyle'!L28,"AAAAAAfOfuw=")</f>
        <v>#VALUE!</v>
      </c>
      <c r="ID30" t="e">
        <f>AND('Male SR Individual Freestyle'!M28,"AAAAAAfOfu0=")</f>
        <v>#VALUE!</v>
      </c>
      <c r="IE30">
        <f>IF('Male SR Individual Freestyle'!29:29,"AAAAAAfOfu4=",0)</f>
        <v>0</v>
      </c>
      <c r="IF30" t="e">
        <f>AND('Male SR Individual Freestyle'!A29,"AAAAAAfOfu8=")</f>
        <v>#VALUE!</v>
      </c>
      <c r="IG30" t="e">
        <f>AND('Male SR Individual Freestyle'!B29,"AAAAAAfOfvA=")</f>
        <v>#VALUE!</v>
      </c>
      <c r="IH30" t="e">
        <f>AND('Male SR Individual Freestyle'!C29,"AAAAAAfOfvE=")</f>
        <v>#VALUE!</v>
      </c>
      <c r="II30" t="e">
        <f>AND('Male SR Individual Freestyle'!D29,"AAAAAAfOfvI=")</f>
        <v>#VALUE!</v>
      </c>
      <c r="IJ30" t="e">
        <f>AND('Male SR Individual Freestyle'!E29,"AAAAAAfOfvM=")</f>
        <v>#VALUE!</v>
      </c>
      <c r="IK30" t="e">
        <f>AND('Male SR Individual Freestyle'!F29,"AAAAAAfOfvQ=")</f>
        <v>#VALUE!</v>
      </c>
      <c r="IL30" t="e">
        <f>AND('Male SR Individual Freestyle'!G29,"AAAAAAfOfvU=")</f>
        <v>#VALUE!</v>
      </c>
      <c r="IM30" t="e">
        <f>AND('Male SR Individual Freestyle'!H29,"AAAAAAfOfvY=")</f>
        <v>#VALUE!</v>
      </c>
      <c r="IN30" t="e">
        <f>AND('Male SR Individual Freestyle'!I29,"AAAAAAfOfvc=")</f>
        <v>#VALUE!</v>
      </c>
      <c r="IO30" t="e">
        <f>AND('Male SR Individual Freestyle'!J29,"AAAAAAfOfvg=")</f>
        <v>#VALUE!</v>
      </c>
      <c r="IP30" t="e">
        <f>AND('Male SR Individual Freestyle'!K29,"AAAAAAfOfvk=")</f>
        <v>#VALUE!</v>
      </c>
      <c r="IQ30" t="e">
        <f>AND('Male SR Individual Freestyle'!L29,"AAAAAAfOfvo=")</f>
        <v>#VALUE!</v>
      </c>
      <c r="IR30" t="e">
        <f>AND('Male SR Individual Freestyle'!M29,"AAAAAAfOfvs=")</f>
        <v>#VALUE!</v>
      </c>
      <c r="IS30">
        <f>IF('Male SR Individual Freestyle'!30:30,"AAAAAAfOfvw=",0)</f>
        <v>0</v>
      </c>
      <c r="IT30" t="e">
        <f>AND('Male SR Individual Freestyle'!A30,"AAAAAAfOfv0=")</f>
        <v>#VALUE!</v>
      </c>
      <c r="IU30" t="e">
        <f>AND('Male SR Individual Freestyle'!B30,"AAAAAAfOfv4=")</f>
        <v>#VALUE!</v>
      </c>
      <c r="IV30" t="e">
        <f>AND('Male SR Individual Freestyle'!C30,"AAAAAAfOfv8=")</f>
        <v>#VALUE!</v>
      </c>
    </row>
    <row r="31" spans="1:256" x14ac:dyDescent="0.25">
      <c r="A31" t="e">
        <f>AND('Male SR Individual Freestyle'!D30,"AAAAAF4f7gA=")</f>
        <v>#VALUE!</v>
      </c>
      <c r="B31" t="e">
        <f>AND('Male SR Individual Freestyle'!E30,"AAAAAF4f7gE=")</f>
        <v>#VALUE!</v>
      </c>
      <c r="C31" t="e">
        <f>AND('Male SR Individual Freestyle'!F30,"AAAAAF4f7gI=")</f>
        <v>#VALUE!</v>
      </c>
      <c r="D31" t="e">
        <f>AND('Male SR Individual Freestyle'!G30,"AAAAAF4f7gM=")</f>
        <v>#VALUE!</v>
      </c>
      <c r="E31" t="e">
        <f>AND('Male SR Individual Freestyle'!H30,"AAAAAF4f7gQ=")</f>
        <v>#VALUE!</v>
      </c>
      <c r="F31" t="e">
        <f>AND('Male SR Individual Freestyle'!I30,"AAAAAF4f7gU=")</f>
        <v>#VALUE!</v>
      </c>
      <c r="G31" t="e">
        <f>AND('Male SR Individual Freestyle'!J30,"AAAAAF4f7gY=")</f>
        <v>#VALUE!</v>
      </c>
      <c r="H31" t="e">
        <f>AND('Male SR Individual Freestyle'!K30,"AAAAAF4f7gc=")</f>
        <v>#VALUE!</v>
      </c>
      <c r="I31" t="e">
        <f>AND('Male SR Individual Freestyle'!L30,"AAAAAF4f7gg=")</f>
        <v>#VALUE!</v>
      </c>
      <c r="J31" t="e">
        <f>AND('Male SR Individual Freestyle'!M30,"AAAAAF4f7gk=")</f>
        <v>#VALUE!</v>
      </c>
      <c r="K31">
        <f>IF('Male SR Individual Freestyle'!31:31,"AAAAAF4f7go=",0)</f>
        <v>0</v>
      </c>
      <c r="L31" t="e">
        <f>AND('Male SR Individual Freestyle'!A31,"AAAAAF4f7gs=")</f>
        <v>#VALUE!</v>
      </c>
      <c r="M31" t="e">
        <f>AND('Male SR Individual Freestyle'!B31,"AAAAAF4f7gw=")</f>
        <v>#VALUE!</v>
      </c>
      <c r="N31" t="e">
        <f>AND('Male SR Individual Freestyle'!C31,"AAAAAF4f7g0=")</f>
        <v>#VALUE!</v>
      </c>
      <c r="O31" t="e">
        <f>AND('Male SR Individual Freestyle'!D31,"AAAAAF4f7g4=")</f>
        <v>#VALUE!</v>
      </c>
      <c r="P31" t="e">
        <f>AND('Male SR Individual Freestyle'!E31,"AAAAAF4f7g8=")</f>
        <v>#VALUE!</v>
      </c>
      <c r="Q31" t="e">
        <f>AND('Male SR Individual Freestyle'!F31,"AAAAAF4f7hA=")</f>
        <v>#VALUE!</v>
      </c>
      <c r="R31" t="e">
        <f>AND('Male SR Individual Freestyle'!G31,"AAAAAF4f7hE=")</f>
        <v>#VALUE!</v>
      </c>
      <c r="S31" t="e">
        <f>AND('Male SR Individual Freestyle'!H31,"AAAAAF4f7hI=")</f>
        <v>#VALUE!</v>
      </c>
      <c r="T31" t="e">
        <f>AND('Male SR Individual Freestyle'!I31,"AAAAAF4f7hM=")</f>
        <v>#VALUE!</v>
      </c>
      <c r="U31" t="e">
        <f>AND('Male SR Individual Freestyle'!J31,"AAAAAF4f7hQ=")</f>
        <v>#VALUE!</v>
      </c>
      <c r="V31" t="e">
        <f>AND('Male SR Individual Freestyle'!K31,"AAAAAF4f7hU=")</f>
        <v>#VALUE!</v>
      </c>
      <c r="W31" t="e">
        <f>AND('Male SR Individual Freestyle'!L31,"AAAAAF4f7hY=")</f>
        <v>#VALUE!</v>
      </c>
      <c r="X31" t="e">
        <f>AND('Male SR Individual Freestyle'!M31,"AAAAAF4f7hc=")</f>
        <v>#VALUE!</v>
      </c>
      <c r="Y31">
        <f>IF('Male SR Individual Freestyle'!32:32,"AAAAAF4f7hg=",0)</f>
        <v>0</v>
      </c>
      <c r="Z31" t="e">
        <f>AND('Male SR Individual Freestyle'!A32,"AAAAAF4f7hk=")</f>
        <v>#VALUE!</v>
      </c>
      <c r="AA31" t="e">
        <f>AND('Male SR Individual Freestyle'!B32,"AAAAAF4f7ho=")</f>
        <v>#VALUE!</v>
      </c>
      <c r="AB31" t="e">
        <f>AND('Male SR Individual Freestyle'!C32,"AAAAAF4f7hs=")</f>
        <v>#VALUE!</v>
      </c>
      <c r="AC31" t="e">
        <f>AND('Male SR Individual Freestyle'!D32,"AAAAAF4f7hw=")</f>
        <v>#VALUE!</v>
      </c>
      <c r="AD31" t="e">
        <f>AND('Male SR Individual Freestyle'!E32,"AAAAAF4f7h0=")</f>
        <v>#VALUE!</v>
      </c>
      <c r="AE31" t="e">
        <f>AND('Male SR Individual Freestyle'!F32,"AAAAAF4f7h4=")</f>
        <v>#VALUE!</v>
      </c>
      <c r="AF31" t="e">
        <f>AND('Male SR Individual Freestyle'!G32,"AAAAAF4f7h8=")</f>
        <v>#VALUE!</v>
      </c>
      <c r="AG31" t="e">
        <f>AND('Male SR Individual Freestyle'!H32,"AAAAAF4f7iA=")</f>
        <v>#VALUE!</v>
      </c>
      <c r="AH31" t="e">
        <f>AND('Male SR Individual Freestyle'!I32,"AAAAAF4f7iE=")</f>
        <v>#VALUE!</v>
      </c>
      <c r="AI31" t="e">
        <f>AND('Male SR Individual Freestyle'!J32,"AAAAAF4f7iI=")</f>
        <v>#VALUE!</v>
      </c>
      <c r="AJ31" t="e">
        <f>AND('Male SR Individual Freestyle'!K32,"AAAAAF4f7iM=")</f>
        <v>#VALUE!</v>
      </c>
      <c r="AK31" t="e">
        <f>AND('Male SR Individual Freestyle'!L32,"AAAAAF4f7iQ=")</f>
        <v>#VALUE!</v>
      </c>
      <c r="AL31" t="e">
        <f>AND('Male SR Individual Freestyle'!M32,"AAAAAF4f7iU=")</f>
        <v>#VALUE!</v>
      </c>
      <c r="AM31">
        <f>IF('Male SR Individual Freestyle'!33:33,"AAAAAF4f7iY=",0)</f>
        <v>0</v>
      </c>
      <c r="AN31" t="e">
        <f>AND('Male SR Individual Freestyle'!A33,"AAAAAF4f7ic=")</f>
        <v>#VALUE!</v>
      </c>
      <c r="AO31" t="e">
        <f>AND('Male SR Individual Freestyle'!B33,"AAAAAF4f7ig=")</f>
        <v>#VALUE!</v>
      </c>
      <c r="AP31" t="e">
        <f>AND('Male SR Individual Freestyle'!C33,"AAAAAF4f7ik=")</f>
        <v>#VALUE!</v>
      </c>
      <c r="AQ31" t="e">
        <f>AND('Male SR Individual Freestyle'!D33,"AAAAAF4f7io=")</f>
        <v>#VALUE!</v>
      </c>
      <c r="AR31" t="e">
        <f>AND('Male SR Individual Freestyle'!E33,"AAAAAF4f7is=")</f>
        <v>#VALUE!</v>
      </c>
      <c r="AS31" t="e">
        <f>AND('Male SR Individual Freestyle'!F33,"AAAAAF4f7iw=")</f>
        <v>#VALUE!</v>
      </c>
      <c r="AT31" t="e">
        <f>AND('Male SR Individual Freestyle'!G33,"AAAAAF4f7i0=")</f>
        <v>#VALUE!</v>
      </c>
      <c r="AU31" t="e">
        <f>AND('Male SR Individual Freestyle'!H33,"AAAAAF4f7i4=")</f>
        <v>#VALUE!</v>
      </c>
      <c r="AV31" t="e">
        <f>AND('Male SR Individual Freestyle'!I33,"AAAAAF4f7i8=")</f>
        <v>#VALUE!</v>
      </c>
      <c r="AW31" t="e">
        <f>AND('Male SR Individual Freestyle'!J33,"AAAAAF4f7jA=")</f>
        <v>#VALUE!</v>
      </c>
      <c r="AX31" t="e">
        <f>AND('Male SR Individual Freestyle'!K33,"AAAAAF4f7jE=")</f>
        <v>#VALUE!</v>
      </c>
      <c r="AY31" t="e">
        <f>AND('Male SR Individual Freestyle'!L33,"AAAAAF4f7jI=")</f>
        <v>#VALUE!</v>
      </c>
      <c r="AZ31" t="e">
        <f>AND('Male SR Individual Freestyle'!M33,"AAAAAF4f7jM=")</f>
        <v>#VALUE!</v>
      </c>
      <c r="BA31">
        <f>IF('Male SR Individual Freestyle'!34:34,"AAAAAF4f7jQ=",0)</f>
        <v>0</v>
      </c>
      <c r="BB31" t="e">
        <f>AND('Male SR Individual Freestyle'!A34,"AAAAAF4f7jU=")</f>
        <v>#VALUE!</v>
      </c>
      <c r="BC31" t="e">
        <f>AND('Male SR Individual Freestyle'!B34,"AAAAAF4f7jY=")</f>
        <v>#VALUE!</v>
      </c>
      <c r="BD31" t="e">
        <f>AND('Male SR Individual Freestyle'!C34,"AAAAAF4f7jc=")</f>
        <v>#VALUE!</v>
      </c>
      <c r="BE31" t="e">
        <f>AND('Male SR Individual Freestyle'!D34,"AAAAAF4f7jg=")</f>
        <v>#VALUE!</v>
      </c>
      <c r="BF31" t="e">
        <f>AND('Male SR Individual Freestyle'!E34,"AAAAAF4f7jk=")</f>
        <v>#VALUE!</v>
      </c>
      <c r="BG31" t="e">
        <f>AND('Male SR Individual Freestyle'!F34,"AAAAAF4f7jo=")</f>
        <v>#VALUE!</v>
      </c>
      <c r="BH31" t="e">
        <f>AND('Male SR Individual Freestyle'!G34,"AAAAAF4f7js=")</f>
        <v>#VALUE!</v>
      </c>
      <c r="BI31" t="e">
        <f>AND('Male SR Individual Freestyle'!H34,"AAAAAF4f7jw=")</f>
        <v>#VALUE!</v>
      </c>
      <c r="BJ31" t="e">
        <f>AND('Male SR Individual Freestyle'!I34,"AAAAAF4f7j0=")</f>
        <v>#VALUE!</v>
      </c>
      <c r="BK31" t="e">
        <f>AND('Male SR Individual Freestyle'!J34,"AAAAAF4f7j4=")</f>
        <v>#VALUE!</v>
      </c>
      <c r="BL31" t="e">
        <f>AND('Male SR Individual Freestyle'!K34,"AAAAAF4f7j8=")</f>
        <v>#VALUE!</v>
      </c>
      <c r="BM31" t="e">
        <f>AND('Male SR Individual Freestyle'!L34,"AAAAAF4f7kA=")</f>
        <v>#VALUE!</v>
      </c>
      <c r="BN31" t="e">
        <f>AND('Male SR Individual Freestyle'!M34,"AAAAAF4f7kE=")</f>
        <v>#VALUE!</v>
      </c>
      <c r="BO31">
        <f>IF('Male SR Individual Freestyle'!35:35,"AAAAAF4f7kI=",0)</f>
        <v>0</v>
      </c>
      <c r="BP31" t="e">
        <f>AND('Male SR Individual Freestyle'!A35,"AAAAAF4f7kM=")</f>
        <v>#VALUE!</v>
      </c>
      <c r="BQ31" t="e">
        <f>AND('Male SR Individual Freestyle'!B35,"AAAAAF4f7kQ=")</f>
        <v>#VALUE!</v>
      </c>
      <c r="BR31" t="e">
        <f>AND('Male SR Individual Freestyle'!C35,"AAAAAF4f7kU=")</f>
        <v>#VALUE!</v>
      </c>
      <c r="BS31" t="e">
        <f>AND('Male SR Individual Freestyle'!D35,"AAAAAF4f7kY=")</f>
        <v>#VALUE!</v>
      </c>
      <c r="BT31" t="e">
        <f>AND('Male SR Individual Freestyle'!E35,"AAAAAF4f7kc=")</f>
        <v>#VALUE!</v>
      </c>
      <c r="BU31" t="e">
        <f>AND('Male SR Individual Freestyle'!F35,"AAAAAF4f7kg=")</f>
        <v>#VALUE!</v>
      </c>
      <c r="BV31" t="e">
        <f>AND('Male SR Individual Freestyle'!G35,"AAAAAF4f7kk=")</f>
        <v>#VALUE!</v>
      </c>
      <c r="BW31" t="e">
        <f>AND('Male SR Individual Freestyle'!H35,"AAAAAF4f7ko=")</f>
        <v>#VALUE!</v>
      </c>
      <c r="BX31" t="e">
        <f>AND('Male SR Individual Freestyle'!I35,"AAAAAF4f7ks=")</f>
        <v>#VALUE!</v>
      </c>
      <c r="BY31" t="e">
        <f>AND('Male SR Individual Freestyle'!J35,"AAAAAF4f7kw=")</f>
        <v>#VALUE!</v>
      </c>
      <c r="BZ31" t="e">
        <f>AND('Male SR Individual Freestyle'!K35,"AAAAAF4f7k0=")</f>
        <v>#VALUE!</v>
      </c>
      <c r="CA31" t="e">
        <f>AND('Male SR Individual Freestyle'!L35,"AAAAAF4f7k4=")</f>
        <v>#VALUE!</v>
      </c>
      <c r="CB31" t="e">
        <f>AND('Male SR Individual Freestyle'!M35,"AAAAAF4f7k8=")</f>
        <v>#VALUE!</v>
      </c>
      <c r="CC31">
        <f>IF('Male SR Individual Freestyle'!36:36,"AAAAAF4f7lA=",0)</f>
        <v>0</v>
      </c>
      <c r="CD31" t="e">
        <f>AND('Male SR Individual Freestyle'!A36,"AAAAAF4f7lE=")</f>
        <v>#VALUE!</v>
      </c>
      <c r="CE31" t="e">
        <f>AND('Male SR Individual Freestyle'!B36,"AAAAAF4f7lI=")</f>
        <v>#VALUE!</v>
      </c>
      <c r="CF31" t="e">
        <f>AND('Male SR Individual Freestyle'!C36,"AAAAAF4f7lM=")</f>
        <v>#VALUE!</v>
      </c>
      <c r="CG31" t="e">
        <f>AND('Male SR Individual Freestyle'!D36,"AAAAAF4f7lQ=")</f>
        <v>#VALUE!</v>
      </c>
      <c r="CH31" t="e">
        <f>AND('Male SR Individual Freestyle'!E36,"AAAAAF4f7lU=")</f>
        <v>#VALUE!</v>
      </c>
      <c r="CI31" t="e">
        <f>AND('Male SR Individual Freestyle'!F36,"AAAAAF4f7lY=")</f>
        <v>#VALUE!</v>
      </c>
      <c r="CJ31" t="e">
        <f>AND('Male SR Individual Freestyle'!G36,"AAAAAF4f7lc=")</f>
        <v>#VALUE!</v>
      </c>
      <c r="CK31" t="e">
        <f>AND('Male SR Individual Freestyle'!H36,"AAAAAF4f7lg=")</f>
        <v>#VALUE!</v>
      </c>
      <c r="CL31" t="e">
        <f>AND('Male SR Individual Freestyle'!I36,"AAAAAF4f7lk=")</f>
        <v>#VALUE!</v>
      </c>
      <c r="CM31" t="e">
        <f>AND('Male SR Individual Freestyle'!J36,"AAAAAF4f7lo=")</f>
        <v>#VALUE!</v>
      </c>
      <c r="CN31" t="e">
        <f>AND('Male SR Individual Freestyle'!K36,"AAAAAF4f7ls=")</f>
        <v>#VALUE!</v>
      </c>
      <c r="CO31" t="e">
        <f>AND('Male SR Individual Freestyle'!L36,"AAAAAF4f7lw=")</f>
        <v>#VALUE!</v>
      </c>
      <c r="CP31" t="e">
        <f>AND('Male SR Individual Freestyle'!M36,"AAAAAF4f7l0=")</f>
        <v>#VALUE!</v>
      </c>
      <c r="CQ31">
        <f>IF('Male SR Individual Freestyle'!37:37,"AAAAAF4f7l4=",0)</f>
        <v>0</v>
      </c>
      <c r="CR31" t="e">
        <f>AND('Male SR Individual Freestyle'!A37,"AAAAAF4f7l8=")</f>
        <v>#VALUE!</v>
      </c>
      <c r="CS31" t="e">
        <f>AND('Male SR Individual Freestyle'!B37,"AAAAAF4f7mA=")</f>
        <v>#VALUE!</v>
      </c>
      <c r="CT31" t="e">
        <f>AND('Male SR Individual Freestyle'!C37,"AAAAAF4f7mE=")</f>
        <v>#VALUE!</v>
      </c>
      <c r="CU31" t="e">
        <f>AND('Male SR Individual Freestyle'!D37,"AAAAAF4f7mI=")</f>
        <v>#VALUE!</v>
      </c>
      <c r="CV31" t="e">
        <f>AND('Male SR Individual Freestyle'!E37,"AAAAAF4f7mM=")</f>
        <v>#VALUE!</v>
      </c>
      <c r="CW31" t="e">
        <f>AND('Male SR Individual Freestyle'!F37,"AAAAAF4f7mQ=")</f>
        <v>#VALUE!</v>
      </c>
      <c r="CX31" t="e">
        <f>AND('Male SR Individual Freestyle'!G37,"AAAAAF4f7mU=")</f>
        <v>#VALUE!</v>
      </c>
      <c r="CY31" t="e">
        <f>AND('Male SR Individual Freestyle'!H37,"AAAAAF4f7mY=")</f>
        <v>#VALUE!</v>
      </c>
      <c r="CZ31" t="e">
        <f>AND('Male SR Individual Freestyle'!I37,"AAAAAF4f7mc=")</f>
        <v>#VALUE!</v>
      </c>
      <c r="DA31" t="e">
        <f>AND('Male SR Individual Freestyle'!J37,"AAAAAF4f7mg=")</f>
        <v>#VALUE!</v>
      </c>
      <c r="DB31" t="e">
        <f>AND('Male SR Individual Freestyle'!K37,"AAAAAF4f7mk=")</f>
        <v>#VALUE!</v>
      </c>
      <c r="DC31" t="e">
        <f>AND('Male SR Individual Freestyle'!L37,"AAAAAF4f7mo=")</f>
        <v>#VALUE!</v>
      </c>
      <c r="DD31" t="e">
        <f>AND('Male SR Individual Freestyle'!M37,"AAAAAF4f7ms=")</f>
        <v>#VALUE!</v>
      </c>
      <c r="DE31">
        <f>IF('Male SR Individual Freestyle'!38:38,"AAAAAF4f7mw=",0)</f>
        <v>0</v>
      </c>
      <c r="DF31" t="e">
        <f>AND('Male SR Individual Freestyle'!A38,"AAAAAF4f7m0=")</f>
        <v>#VALUE!</v>
      </c>
      <c r="DG31" t="e">
        <f>AND('Male SR Individual Freestyle'!B38,"AAAAAF4f7m4=")</f>
        <v>#VALUE!</v>
      </c>
      <c r="DH31" t="e">
        <f>AND('Male SR Individual Freestyle'!C38,"AAAAAF4f7m8=")</f>
        <v>#VALUE!</v>
      </c>
      <c r="DI31" t="e">
        <f>AND('Male SR Individual Freestyle'!D38,"AAAAAF4f7nA=")</f>
        <v>#VALUE!</v>
      </c>
      <c r="DJ31" t="e">
        <f>AND('Male SR Individual Freestyle'!E38,"AAAAAF4f7nE=")</f>
        <v>#VALUE!</v>
      </c>
      <c r="DK31" t="e">
        <f>AND('Male SR Individual Freestyle'!F38,"AAAAAF4f7nI=")</f>
        <v>#VALUE!</v>
      </c>
      <c r="DL31" t="e">
        <f>AND('Male SR Individual Freestyle'!G38,"AAAAAF4f7nM=")</f>
        <v>#VALUE!</v>
      </c>
      <c r="DM31" t="e">
        <f>AND('Male SR Individual Freestyle'!H38,"AAAAAF4f7nQ=")</f>
        <v>#VALUE!</v>
      </c>
      <c r="DN31" t="e">
        <f>AND('Male SR Individual Freestyle'!I38,"AAAAAF4f7nU=")</f>
        <v>#VALUE!</v>
      </c>
      <c r="DO31" t="e">
        <f>AND('Male SR Individual Freestyle'!J38,"AAAAAF4f7nY=")</f>
        <v>#VALUE!</v>
      </c>
      <c r="DP31" t="e">
        <f>AND('Male SR Individual Freestyle'!K38,"AAAAAF4f7nc=")</f>
        <v>#VALUE!</v>
      </c>
      <c r="DQ31" t="e">
        <f>AND('Male SR Individual Freestyle'!L38,"AAAAAF4f7ng=")</f>
        <v>#VALUE!</v>
      </c>
      <c r="DR31" t="e">
        <f>AND('Male SR Individual Freestyle'!M38,"AAAAAF4f7nk=")</f>
        <v>#VALUE!</v>
      </c>
      <c r="DS31">
        <f>IF('Male SR Individual Freestyle'!39:39,"AAAAAF4f7no=",0)</f>
        <v>0</v>
      </c>
      <c r="DT31" t="e">
        <f>AND('Male SR Individual Freestyle'!A39,"AAAAAF4f7ns=")</f>
        <v>#VALUE!</v>
      </c>
      <c r="DU31" t="e">
        <f>AND('Male SR Individual Freestyle'!B39,"AAAAAF4f7nw=")</f>
        <v>#VALUE!</v>
      </c>
      <c r="DV31" t="e">
        <f>AND('Male SR Individual Freestyle'!C39,"AAAAAF4f7n0=")</f>
        <v>#VALUE!</v>
      </c>
      <c r="DW31" t="e">
        <f>AND('Male SR Individual Freestyle'!D39,"AAAAAF4f7n4=")</f>
        <v>#VALUE!</v>
      </c>
      <c r="DX31" t="e">
        <f>AND('Male SR Individual Freestyle'!E39,"AAAAAF4f7n8=")</f>
        <v>#VALUE!</v>
      </c>
      <c r="DY31" t="e">
        <f>AND('Male SR Individual Freestyle'!F39,"AAAAAF4f7oA=")</f>
        <v>#VALUE!</v>
      </c>
      <c r="DZ31" t="e">
        <f>AND('Male SR Individual Freestyle'!G39,"AAAAAF4f7oE=")</f>
        <v>#VALUE!</v>
      </c>
      <c r="EA31" t="e">
        <f>AND('Male SR Individual Freestyle'!H39,"AAAAAF4f7oI=")</f>
        <v>#VALUE!</v>
      </c>
      <c r="EB31" t="e">
        <f>AND('Male SR Individual Freestyle'!I39,"AAAAAF4f7oM=")</f>
        <v>#VALUE!</v>
      </c>
      <c r="EC31" t="e">
        <f>AND('Male SR Individual Freestyle'!J39,"AAAAAF4f7oQ=")</f>
        <v>#VALUE!</v>
      </c>
      <c r="ED31" t="e">
        <f>AND('Male SR Individual Freestyle'!K39,"AAAAAF4f7oU=")</f>
        <v>#VALUE!</v>
      </c>
      <c r="EE31" t="e">
        <f>AND('Male SR Individual Freestyle'!L39,"AAAAAF4f7oY=")</f>
        <v>#VALUE!</v>
      </c>
      <c r="EF31" t="e">
        <f>AND('Male SR Individual Freestyle'!M39,"AAAAAF4f7oc=")</f>
        <v>#VALUE!</v>
      </c>
      <c r="EG31">
        <f>IF('Male SR Individual Freestyle'!40:40,"AAAAAF4f7og=",0)</f>
        <v>0</v>
      </c>
      <c r="EH31" t="e">
        <f>AND('Male SR Individual Freestyle'!A40,"AAAAAF4f7ok=")</f>
        <v>#VALUE!</v>
      </c>
      <c r="EI31" t="e">
        <f>AND('Male SR Individual Freestyle'!B40,"AAAAAF4f7oo=")</f>
        <v>#VALUE!</v>
      </c>
      <c r="EJ31" t="e">
        <f>AND('Male SR Individual Freestyle'!C40,"AAAAAF4f7os=")</f>
        <v>#VALUE!</v>
      </c>
      <c r="EK31" t="e">
        <f>AND('Male SR Individual Freestyle'!D40,"AAAAAF4f7ow=")</f>
        <v>#VALUE!</v>
      </c>
      <c r="EL31" t="e">
        <f>AND('Male SR Individual Freestyle'!E40,"AAAAAF4f7o0=")</f>
        <v>#VALUE!</v>
      </c>
      <c r="EM31" t="e">
        <f>AND('Male SR Individual Freestyle'!F40,"AAAAAF4f7o4=")</f>
        <v>#VALUE!</v>
      </c>
      <c r="EN31" t="e">
        <f>AND('Male SR Individual Freestyle'!G40,"AAAAAF4f7o8=")</f>
        <v>#VALUE!</v>
      </c>
      <c r="EO31" t="e">
        <f>AND('Male SR Individual Freestyle'!H40,"AAAAAF4f7pA=")</f>
        <v>#VALUE!</v>
      </c>
      <c r="EP31" t="e">
        <f>AND('Male SR Individual Freestyle'!I40,"AAAAAF4f7pE=")</f>
        <v>#VALUE!</v>
      </c>
      <c r="EQ31" t="e">
        <f>AND('Male SR Individual Freestyle'!J40,"AAAAAF4f7pI=")</f>
        <v>#VALUE!</v>
      </c>
      <c r="ER31" t="e">
        <f>AND('Male SR Individual Freestyle'!K40,"AAAAAF4f7pM=")</f>
        <v>#VALUE!</v>
      </c>
      <c r="ES31" t="e">
        <f>AND('Male SR Individual Freestyle'!L40,"AAAAAF4f7pQ=")</f>
        <v>#VALUE!</v>
      </c>
      <c r="ET31" t="e">
        <f>AND('Male SR Individual Freestyle'!M40,"AAAAAF4f7pU=")</f>
        <v>#VALUE!</v>
      </c>
      <c r="EU31">
        <f>IF('Male SR Individual Freestyle'!41:41,"AAAAAF4f7pY=",0)</f>
        <v>0</v>
      </c>
      <c r="EV31" t="e">
        <f>AND('Male SR Individual Freestyle'!A41,"AAAAAF4f7pc=")</f>
        <v>#VALUE!</v>
      </c>
      <c r="EW31" t="e">
        <f>AND('Male SR Individual Freestyle'!B41,"AAAAAF4f7pg=")</f>
        <v>#VALUE!</v>
      </c>
      <c r="EX31" t="e">
        <f>AND('Male SR Individual Freestyle'!C41,"AAAAAF4f7pk=")</f>
        <v>#VALUE!</v>
      </c>
      <c r="EY31" t="e">
        <f>AND('Male SR Individual Freestyle'!D41,"AAAAAF4f7po=")</f>
        <v>#VALUE!</v>
      </c>
      <c r="EZ31" t="e">
        <f>AND('Male SR Individual Freestyle'!E41,"AAAAAF4f7ps=")</f>
        <v>#VALUE!</v>
      </c>
      <c r="FA31" t="e">
        <f>AND('Male SR Individual Freestyle'!F41,"AAAAAF4f7pw=")</f>
        <v>#VALUE!</v>
      </c>
      <c r="FB31" t="e">
        <f>AND('Male SR Individual Freestyle'!G41,"AAAAAF4f7p0=")</f>
        <v>#VALUE!</v>
      </c>
      <c r="FC31" t="e">
        <f>AND('Male SR Individual Freestyle'!H41,"AAAAAF4f7p4=")</f>
        <v>#VALUE!</v>
      </c>
      <c r="FD31" t="e">
        <f>AND('Male SR Individual Freestyle'!I41,"AAAAAF4f7p8=")</f>
        <v>#VALUE!</v>
      </c>
      <c r="FE31" t="e">
        <f>AND('Male SR Individual Freestyle'!J41,"AAAAAF4f7qA=")</f>
        <v>#VALUE!</v>
      </c>
      <c r="FF31" t="e">
        <f>AND('Male SR Individual Freestyle'!K41,"AAAAAF4f7qE=")</f>
        <v>#VALUE!</v>
      </c>
      <c r="FG31" t="e">
        <f>AND('Male SR Individual Freestyle'!L41,"AAAAAF4f7qI=")</f>
        <v>#VALUE!</v>
      </c>
      <c r="FH31" t="e">
        <f>AND('Male SR Individual Freestyle'!M41,"AAAAAF4f7qM=")</f>
        <v>#VALUE!</v>
      </c>
      <c r="FI31">
        <f>IF('Male SR Individual Freestyle'!42:42,"AAAAAF4f7qQ=",0)</f>
        <v>0</v>
      </c>
      <c r="FJ31" t="e">
        <f>AND('Male SR Individual Freestyle'!A42,"AAAAAF4f7qU=")</f>
        <v>#VALUE!</v>
      </c>
      <c r="FK31" t="e">
        <f>AND('Male SR Individual Freestyle'!B42,"AAAAAF4f7qY=")</f>
        <v>#VALUE!</v>
      </c>
      <c r="FL31" t="e">
        <f>AND('Male SR Individual Freestyle'!C42,"AAAAAF4f7qc=")</f>
        <v>#VALUE!</v>
      </c>
      <c r="FM31" t="e">
        <f>AND('Male SR Individual Freestyle'!D42,"AAAAAF4f7qg=")</f>
        <v>#VALUE!</v>
      </c>
      <c r="FN31" t="e">
        <f>AND('Male SR Individual Freestyle'!E42,"AAAAAF4f7qk=")</f>
        <v>#VALUE!</v>
      </c>
      <c r="FO31" t="e">
        <f>AND('Male SR Individual Freestyle'!F42,"AAAAAF4f7qo=")</f>
        <v>#VALUE!</v>
      </c>
      <c r="FP31" t="e">
        <f>AND('Male SR Individual Freestyle'!G42,"AAAAAF4f7qs=")</f>
        <v>#VALUE!</v>
      </c>
      <c r="FQ31" t="e">
        <f>AND('Male SR Individual Freestyle'!H42,"AAAAAF4f7qw=")</f>
        <v>#VALUE!</v>
      </c>
      <c r="FR31" t="e">
        <f>AND('Male SR Individual Freestyle'!I42,"AAAAAF4f7q0=")</f>
        <v>#VALUE!</v>
      </c>
      <c r="FS31" t="e">
        <f>AND('Male SR Individual Freestyle'!J42,"AAAAAF4f7q4=")</f>
        <v>#VALUE!</v>
      </c>
      <c r="FT31" t="e">
        <f>AND('Male SR Individual Freestyle'!K42,"AAAAAF4f7q8=")</f>
        <v>#VALUE!</v>
      </c>
      <c r="FU31" t="e">
        <f>AND('Male SR Individual Freestyle'!L42,"AAAAAF4f7rA=")</f>
        <v>#VALUE!</v>
      </c>
      <c r="FV31" t="e">
        <f>AND('Male SR Individual Freestyle'!M42,"AAAAAF4f7rE=")</f>
        <v>#VALUE!</v>
      </c>
      <c r="FW31">
        <f>IF('Male SR Individual Freestyle'!43:43,"AAAAAF4f7rI=",0)</f>
        <v>0</v>
      </c>
      <c r="FX31" t="e">
        <f>AND('Male SR Individual Freestyle'!A43,"AAAAAF4f7rM=")</f>
        <v>#VALUE!</v>
      </c>
      <c r="FY31" t="e">
        <f>AND('Male SR Individual Freestyle'!B43,"AAAAAF4f7rQ=")</f>
        <v>#VALUE!</v>
      </c>
      <c r="FZ31" t="e">
        <f>AND('Male SR Individual Freestyle'!C43,"AAAAAF4f7rU=")</f>
        <v>#VALUE!</v>
      </c>
      <c r="GA31" t="e">
        <f>AND('Male SR Individual Freestyle'!D43,"AAAAAF4f7rY=")</f>
        <v>#VALUE!</v>
      </c>
      <c r="GB31" t="e">
        <f>AND('Male SR Individual Freestyle'!E43,"AAAAAF4f7rc=")</f>
        <v>#VALUE!</v>
      </c>
      <c r="GC31" t="e">
        <f>AND('Male SR Individual Freestyle'!F43,"AAAAAF4f7rg=")</f>
        <v>#VALUE!</v>
      </c>
      <c r="GD31" t="e">
        <f>AND('Male SR Individual Freestyle'!G43,"AAAAAF4f7rk=")</f>
        <v>#VALUE!</v>
      </c>
      <c r="GE31" t="e">
        <f>AND('Male SR Individual Freestyle'!H43,"AAAAAF4f7ro=")</f>
        <v>#VALUE!</v>
      </c>
      <c r="GF31" t="e">
        <f>AND('Male SR Individual Freestyle'!I43,"AAAAAF4f7rs=")</f>
        <v>#VALUE!</v>
      </c>
      <c r="GG31" t="e">
        <f>AND('Male SR Individual Freestyle'!J43,"AAAAAF4f7rw=")</f>
        <v>#VALUE!</v>
      </c>
      <c r="GH31" t="e">
        <f>AND('Male SR Individual Freestyle'!K43,"AAAAAF4f7r0=")</f>
        <v>#VALUE!</v>
      </c>
      <c r="GI31" t="e">
        <f>AND('Male SR Individual Freestyle'!L43,"AAAAAF4f7r4=")</f>
        <v>#VALUE!</v>
      </c>
      <c r="GJ31" t="e">
        <f>AND('Male SR Individual Freestyle'!M43,"AAAAAF4f7r8=")</f>
        <v>#VALUE!</v>
      </c>
      <c r="GK31">
        <f>IF('Male SR Individual Freestyle'!44:44,"AAAAAF4f7sA=",0)</f>
        <v>0</v>
      </c>
      <c r="GL31" t="e">
        <f>AND('Male SR Individual Freestyle'!A44,"AAAAAF4f7sE=")</f>
        <v>#VALUE!</v>
      </c>
      <c r="GM31" t="e">
        <f>AND('Male SR Individual Freestyle'!B44,"AAAAAF4f7sI=")</f>
        <v>#VALUE!</v>
      </c>
      <c r="GN31" t="e">
        <f>AND('Male SR Individual Freestyle'!C44,"AAAAAF4f7sM=")</f>
        <v>#VALUE!</v>
      </c>
      <c r="GO31" t="e">
        <f>AND('Male SR Individual Freestyle'!D44,"AAAAAF4f7sQ=")</f>
        <v>#VALUE!</v>
      </c>
      <c r="GP31" t="e">
        <f>AND('Male SR Individual Freestyle'!E44,"AAAAAF4f7sU=")</f>
        <v>#VALUE!</v>
      </c>
      <c r="GQ31" t="e">
        <f>AND('Male SR Individual Freestyle'!F44,"AAAAAF4f7sY=")</f>
        <v>#VALUE!</v>
      </c>
      <c r="GR31" t="e">
        <f>AND('Male SR Individual Freestyle'!G44,"AAAAAF4f7sc=")</f>
        <v>#VALUE!</v>
      </c>
      <c r="GS31" t="e">
        <f>AND('Male SR Individual Freestyle'!H44,"AAAAAF4f7sg=")</f>
        <v>#VALUE!</v>
      </c>
      <c r="GT31" t="e">
        <f>AND('Male SR Individual Freestyle'!I44,"AAAAAF4f7sk=")</f>
        <v>#VALUE!</v>
      </c>
      <c r="GU31" t="e">
        <f>AND('Male SR Individual Freestyle'!J44,"AAAAAF4f7so=")</f>
        <v>#VALUE!</v>
      </c>
      <c r="GV31" t="e">
        <f>AND('Male SR Individual Freestyle'!K44,"AAAAAF4f7ss=")</f>
        <v>#VALUE!</v>
      </c>
      <c r="GW31" t="e">
        <f>AND('Male SR Individual Freestyle'!L44,"AAAAAF4f7sw=")</f>
        <v>#VALUE!</v>
      </c>
      <c r="GX31" t="e">
        <f>AND('Male SR Individual Freestyle'!M44,"AAAAAF4f7s0=")</f>
        <v>#VALUE!</v>
      </c>
      <c r="GY31">
        <f>IF('Male SR Individual Freestyle'!45:45,"AAAAAF4f7s4=",0)</f>
        <v>0</v>
      </c>
      <c r="GZ31" t="e">
        <f>AND('Male SR Individual Freestyle'!A45,"AAAAAF4f7s8=")</f>
        <v>#VALUE!</v>
      </c>
      <c r="HA31" t="e">
        <f>AND('Male SR Individual Freestyle'!B45,"AAAAAF4f7tA=")</f>
        <v>#VALUE!</v>
      </c>
      <c r="HB31" t="e">
        <f>AND('Male SR Individual Freestyle'!C45,"AAAAAF4f7tE=")</f>
        <v>#VALUE!</v>
      </c>
      <c r="HC31" t="e">
        <f>AND('Male SR Individual Freestyle'!D45,"AAAAAF4f7tI=")</f>
        <v>#VALUE!</v>
      </c>
      <c r="HD31" t="e">
        <f>AND('Male SR Individual Freestyle'!E45,"AAAAAF4f7tM=")</f>
        <v>#VALUE!</v>
      </c>
      <c r="HE31" t="e">
        <f>AND('Male SR Individual Freestyle'!F45,"AAAAAF4f7tQ=")</f>
        <v>#VALUE!</v>
      </c>
      <c r="HF31" t="e">
        <f>AND('Male SR Individual Freestyle'!G45,"AAAAAF4f7tU=")</f>
        <v>#VALUE!</v>
      </c>
      <c r="HG31" t="e">
        <f>AND('Male SR Individual Freestyle'!H45,"AAAAAF4f7tY=")</f>
        <v>#VALUE!</v>
      </c>
      <c r="HH31" t="e">
        <f>AND('Male SR Individual Freestyle'!I45,"AAAAAF4f7tc=")</f>
        <v>#VALUE!</v>
      </c>
      <c r="HI31" t="e">
        <f>AND('Male SR Individual Freestyle'!J45,"AAAAAF4f7tg=")</f>
        <v>#VALUE!</v>
      </c>
      <c r="HJ31" t="e">
        <f>AND('Male SR Individual Freestyle'!K45,"AAAAAF4f7tk=")</f>
        <v>#VALUE!</v>
      </c>
      <c r="HK31" t="e">
        <f>AND('Male SR Individual Freestyle'!L45,"AAAAAF4f7to=")</f>
        <v>#VALUE!</v>
      </c>
      <c r="HL31" t="e">
        <f>AND('Male SR Individual Freestyle'!M45,"AAAAAF4f7ts=")</f>
        <v>#VALUE!</v>
      </c>
      <c r="HM31">
        <f>IF('Male SR Individual Freestyle'!46:46,"AAAAAF4f7tw=",0)</f>
        <v>0</v>
      </c>
      <c r="HN31" t="e">
        <f>AND('Male SR Individual Freestyle'!A46,"AAAAAF4f7t0=")</f>
        <v>#VALUE!</v>
      </c>
      <c r="HO31" t="e">
        <f>AND('Male SR Individual Freestyle'!B46,"AAAAAF4f7t4=")</f>
        <v>#VALUE!</v>
      </c>
      <c r="HP31" t="e">
        <f>AND('Male SR Individual Freestyle'!C46,"AAAAAF4f7t8=")</f>
        <v>#VALUE!</v>
      </c>
      <c r="HQ31" t="e">
        <f>AND('Male SR Individual Freestyle'!D46,"AAAAAF4f7uA=")</f>
        <v>#VALUE!</v>
      </c>
      <c r="HR31" t="e">
        <f>AND('Male SR Individual Freestyle'!E46,"AAAAAF4f7uE=")</f>
        <v>#VALUE!</v>
      </c>
      <c r="HS31" t="e">
        <f>AND('Male SR Individual Freestyle'!F46,"AAAAAF4f7uI=")</f>
        <v>#VALUE!</v>
      </c>
      <c r="HT31" t="e">
        <f>AND('Male SR Individual Freestyle'!G46,"AAAAAF4f7uM=")</f>
        <v>#VALUE!</v>
      </c>
      <c r="HU31" t="e">
        <f>AND('Male SR Individual Freestyle'!H46,"AAAAAF4f7uQ=")</f>
        <v>#VALUE!</v>
      </c>
      <c r="HV31" t="e">
        <f>AND('Male SR Individual Freestyle'!I46,"AAAAAF4f7uU=")</f>
        <v>#VALUE!</v>
      </c>
      <c r="HW31" t="e">
        <f>AND('Male SR Individual Freestyle'!J46,"AAAAAF4f7uY=")</f>
        <v>#VALUE!</v>
      </c>
      <c r="HX31" t="e">
        <f>AND('Male SR Individual Freestyle'!K46,"AAAAAF4f7uc=")</f>
        <v>#VALUE!</v>
      </c>
      <c r="HY31" t="e">
        <f>AND('Male SR Individual Freestyle'!L46,"AAAAAF4f7ug=")</f>
        <v>#VALUE!</v>
      </c>
      <c r="HZ31" t="e">
        <f>AND('Male SR Individual Freestyle'!M46,"AAAAAF4f7uk=")</f>
        <v>#VALUE!</v>
      </c>
      <c r="IA31">
        <f>IF('Male SR Individual Freestyle'!47:47,"AAAAAF4f7uo=",0)</f>
        <v>0</v>
      </c>
      <c r="IB31" t="e">
        <f>AND('Male SR Individual Freestyle'!A47,"AAAAAF4f7us=")</f>
        <v>#VALUE!</v>
      </c>
      <c r="IC31" t="e">
        <f>AND('Male SR Individual Freestyle'!B47,"AAAAAF4f7uw=")</f>
        <v>#VALUE!</v>
      </c>
      <c r="ID31" t="e">
        <f>AND('Male SR Individual Freestyle'!C47,"AAAAAF4f7u0=")</f>
        <v>#VALUE!</v>
      </c>
      <c r="IE31" t="e">
        <f>AND('Male SR Individual Freestyle'!D47,"AAAAAF4f7u4=")</f>
        <v>#VALUE!</v>
      </c>
      <c r="IF31" t="e">
        <f>AND('Male SR Individual Freestyle'!E47,"AAAAAF4f7u8=")</f>
        <v>#VALUE!</v>
      </c>
      <c r="IG31" t="e">
        <f>AND('Male SR Individual Freestyle'!F47,"AAAAAF4f7vA=")</f>
        <v>#VALUE!</v>
      </c>
      <c r="IH31" t="e">
        <f>AND('Male SR Individual Freestyle'!G47,"AAAAAF4f7vE=")</f>
        <v>#VALUE!</v>
      </c>
      <c r="II31" t="e">
        <f>AND('Male SR Individual Freestyle'!H47,"AAAAAF4f7vI=")</f>
        <v>#VALUE!</v>
      </c>
      <c r="IJ31" t="e">
        <f>AND('Male SR Individual Freestyle'!I47,"AAAAAF4f7vM=")</f>
        <v>#VALUE!</v>
      </c>
      <c r="IK31" t="e">
        <f>AND('Male SR Individual Freestyle'!J47,"AAAAAF4f7vQ=")</f>
        <v>#VALUE!</v>
      </c>
      <c r="IL31" t="e">
        <f>AND('Male SR Individual Freestyle'!K47,"AAAAAF4f7vU=")</f>
        <v>#VALUE!</v>
      </c>
      <c r="IM31" t="e">
        <f>AND('Male SR Individual Freestyle'!L47,"AAAAAF4f7vY=")</f>
        <v>#VALUE!</v>
      </c>
      <c r="IN31" t="e">
        <f>AND('Male SR Individual Freestyle'!M47,"AAAAAF4f7vc=")</f>
        <v>#VALUE!</v>
      </c>
      <c r="IO31">
        <f>IF('Male SR Individual Freestyle'!48:48,"AAAAAF4f7vg=",0)</f>
        <v>0</v>
      </c>
      <c r="IP31" t="e">
        <f>AND('Male SR Individual Freestyle'!A48,"AAAAAF4f7vk=")</f>
        <v>#VALUE!</v>
      </c>
      <c r="IQ31" t="e">
        <f>AND('Male SR Individual Freestyle'!B48,"AAAAAF4f7vo=")</f>
        <v>#VALUE!</v>
      </c>
      <c r="IR31" t="e">
        <f>AND('Male SR Individual Freestyle'!C48,"AAAAAF4f7vs=")</f>
        <v>#VALUE!</v>
      </c>
      <c r="IS31" t="e">
        <f>AND('Male SR Individual Freestyle'!D48,"AAAAAF4f7vw=")</f>
        <v>#VALUE!</v>
      </c>
      <c r="IT31" t="e">
        <f>AND('Male SR Individual Freestyle'!E48,"AAAAAF4f7v0=")</f>
        <v>#VALUE!</v>
      </c>
      <c r="IU31" t="e">
        <f>AND('Male SR Individual Freestyle'!F48,"AAAAAF4f7v4=")</f>
        <v>#VALUE!</v>
      </c>
      <c r="IV31" t="e">
        <f>AND('Male SR Individual Freestyle'!G48,"AAAAAF4f7v8=")</f>
        <v>#VALUE!</v>
      </c>
    </row>
    <row r="32" spans="1:256" x14ac:dyDescent="0.25">
      <c r="A32" t="e">
        <f>AND('Male SR Individual Freestyle'!H48,"AAAAADz8/wA=")</f>
        <v>#VALUE!</v>
      </c>
      <c r="B32" t="e">
        <f>AND('Male SR Individual Freestyle'!I48,"AAAAADz8/wE=")</f>
        <v>#VALUE!</v>
      </c>
      <c r="C32" t="e">
        <f>AND('Male SR Individual Freestyle'!J48,"AAAAADz8/wI=")</f>
        <v>#VALUE!</v>
      </c>
      <c r="D32" t="e">
        <f>AND('Male SR Individual Freestyle'!K48,"AAAAADz8/wM=")</f>
        <v>#VALUE!</v>
      </c>
      <c r="E32" t="e">
        <f>AND('Male SR Individual Freestyle'!L48,"AAAAADz8/wQ=")</f>
        <v>#VALUE!</v>
      </c>
      <c r="F32" t="e">
        <f>AND('Male SR Individual Freestyle'!M48,"AAAAADz8/wU=")</f>
        <v>#VALUE!</v>
      </c>
      <c r="G32">
        <f>IF('Male SR Individual Freestyle'!49:49,"AAAAADz8/wY=",0)</f>
        <v>0</v>
      </c>
      <c r="H32" t="e">
        <f>AND('Male SR Individual Freestyle'!A49,"AAAAADz8/wc=")</f>
        <v>#VALUE!</v>
      </c>
      <c r="I32" t="e">
        <f>AND('Male SR Individual Freestyle'!B49,"AAAAADz8/wg=")</f>
        <v>#VALUE!</v>
      </c>
      <c r="J32" t="e">
        <f>AND('Male SR Individual Freestyle'!C49,"AAAAADz8/wk=")</f>
        <v>#VALUE!</v>
      </c>
      <c r="K32" t="e">
        <f>AND('Male SR Individual Freestyle'!D49,"AAAAADz8/wo=")</f>
        <v>#VALUE!</v>
      </c>
      <c r="L32" t="e">
        <f>AND('Male SR Individual Freestyle'!E49,"AAAAADz8/ws=")</f>
        <v>#VALUE!</v>
      </c>
      <c r="M32" t="e">
        <f>AND('Male SR Individual Freestyle'!F49,"AAAAADz8/ww=")</f>
        <v>#VALUE!</v>
      </c>
      <c r="N32" t="e">
        <f>AND('Male SR Individual Freestyle'!G49,"AAAAADz8/w0=")</f>
        <v>#VALUE!</v>
      </c>
      <c r="O32" t="e">
        <f>AND('Male SR Individual Freestyle'!H49,"AAAAADz8/w4=")</f>
        <v>#VALUE!</v>
      </c>
      <c r="P32" t="e">
        <f>AND('Male SR Individual Freestyle'!I49,"AAAAADz8/w8=")</f>
        <v>#VALUE!</v>
      </c>
      <c r="Q32" t="e">
        <f>AND('Male SR Individual Freestyle'!J49,"AAAAADz8/xA=")</f>
        <v>#VALUE!</v>
      </c>
      <c r="R32" t="e">
        <f>AND('Male SR Individual Freestyle'!K49,"AAAAADz8/xE=")</f>
        <v>#VALUE!</v>
      </c>
      <c r="S32" t="e">
        <f>AND('Male SR Individual Freestyle'!L49,"AAAAADz8/xI=")</f>
        <v>#VALUE!</v>
      </c>
      <c r="T32" t="e">
        <f>AND('Male SR Individual Freestyle'!M49,"AAAAADz8/xM=")</f>
        <v>#VALUE!</v>
      </c>
      <c r="U32">
        <f>IF('Male SR Individual Freestyle'!50:50,"AAAAADz8/xQ=",0)</f>
        <v>0</v>
      </c>
      <c r="V32" t="e">
        <f>AND('Male SR Individual Freestyle'!A50,"AAAAADz8/xU=")</f>
        <v>#VALUE!</v>
      </c>
      <c r="W32" t="e">
        <f>AND('Male SR Individual Freestyle'!B50,"AAAAADz8/xY=")</f>
        <v>#VALUE!</v>
      </c>
      <c r="X32" t="e">
        <f>AND('Male SR Individual Freestyle'!C50,"AAAAADz8/xc=")</f>
        <v>#VALUE!</v>
      </c>
      <c r="Y32" t="e">
        <f>AND('Male SR Individual Freestyle'!D50,"AAAAADz8/xg=")</f>
        <v>#VALUE!</v>
      </c>
      <c r="Z32" t="e">
        <f>AND('Male SR Individual Freestyle'!E50,"AAAAADz8/xk=")</f>
        <v>#VALUE!</v>
      </c>
      <c r="AA32" t="e">
        <f>AND('Male SR Individual Freestyle'!F50,"AAAAADz8/xo=")</f>
        <v>#VALUE!</v>
      </c>
      <c r="AB32" t="e">
        <f>AND('Male SR Individual Freestyle'!G50,"AAAAADz8/xs=")</f>
        <v>#VALUE!</v>
      </c>
      <c r="AC32" t="e">
        <f>AND('Male SR Individual Freestyle'!H50,"AAAAADz8/xw=")</f>
        <v>#VALUE!</v>
      </c>
      <c r="AD32" t="e">
        <f>AND('Male SR Individual Freestyle'!I50,"AAAAADz8/x0=")</f>
        <v>#VALUE!</v>
      </c>
      <c r="AE32" t="e">
        <f>AND('Male SR Individual Freestyle'!J50,"AAAAADz8/x4=")</f>
        <v>#VALUE!</v>
      </c>
      <c r="AF32" t="e">
        <f>AND('Male SR Individual Freestyle'!K50,"AAAAADz8/x8=")</f>
        <v>#VALUE!</v>
      </c>
      <c r="AG32" t="e">
        <f>AND('Male SR Individual Freestyle'!L50,"AAAAADz8/yA=")</f>
        <v>#VALUE!</v>
      </c>
      <c r="AH32" t="e">
        <f>AND('Male SR Individual Freestyle'!M50,"AAAAADz8/yE=")</f>
        <v>#VALUE!</v>
      </c>
      <c r="AI32">
        <f>IF('Male SR Individual Freestyle'!51:51,"AAAAADz8/yI=",0)</f>
        <v>0</v>
      </c>
      <c r="AJ32" t="e">
        <f>AND('Male SR Individual Freestyle'!A51,"AAAAADz8/yM=")</f>
        <v>#VALUE!</v>
      </c>
      <c r="AK32" t="e">
        <f>AND('Male SR Individual Freestyle'!B51,"AAAAADz8/yQ=")</f>
        <v>#VALUE!</v>
      </c>
      <c r="AL32" t="e">
        <f>AND('Male SR Individual Freestyle'!C51,"AAAAADz8/yU=")</f>
        <v>#VALUE!</v>
      </c>
      <c r="AM32" t="e">
        <f>AND('Male SR Individual Freestyle'!D51,"AAAAADz8/yY=")</f>
        <v>#VALUE!</v>
      </c>
      <c r="AN32" t="e">
        <f>AND('Male SR Individual Freestyle'!E51,"AAAAADz8/yc=")</f>
        <v>#VALUE!</v>
      </c>
      <c r="AO32" t="e">
        <f>AND('Male SR Individual Freestyle'!F51,"AAAAADz8/yg=")</f>
        <v>#VALUE!</v>
      </c>
      <c r="AP32" t="e">
        <f>AND('Male SR Individual Freestyle'!G51,"AAAAADz8/yk=")</f>
        <v>#VALUE!</v>
      </c>
      <c r="AQ32" t="e">
        <f>AND('Male SR Individual Freestyle'!H51,"AAAAADz8/yo=")</f>
        <v>#VALUE!</v>
      </c>
      <c r="AR32" t="e">
        <f>AND('Male SR Individual Freestyle'!I51,"AAAAADz8/ys=")</f>
        <v>#VALUE!</v>
      </c>
      <c r="AS32" t="e">
        <f>AND('Male SR Individual Freestyle'!J51,"AAAAADz8/yw=")</f>
        <v>#VALUE!</v>
      </c>
      <c r="AT32" t="e">
        <f>AND('Male SR Individual Freestyle'!K51,"AAAAADz8/y0=")</f>
        <v>#VALUE!</v>
      </c>
      <c r="AU32" t="e">
        <f>AND('Male SR Individual Freestyle'!L51,"AAAAADz8/y4=")</f>
        <v>#VALUE!</v>
      </c>
      <c r="AV32" t="e">
        <f>AND('Male SR Individual Freestyle'!M51,"AAAAADz8/y8=")</f>
        <v>#VALUE!</v>
      </c>
      <c r="AW32">
        <f>IF('Male SR Individual Freestyle'!52:52,"AAAAADz8/zA=",0)</f>
        <v>0</v>
      </c>
      <c r="AX32" t="e">
        <f>AND('Male SR Individual Freestyle'!A52,"AAAAADz8/zE=")</f>
        <v>#VALUE!</v>
      </c>
      <c r="AY32" t="e">
        <f>AND('Male SR Individual Freestyle'!B52,"AAAAADz8/zI=")</f>
        <v>#VALUE!</v>
      </c>
      <c r="AZ32" t="e">
        <f>AND('Male SR Individual Freestyle'!C52,"AAAAADz8/zM=")</f>
        <v>#VALUE!</v>
      </c>
      <c r="BA32" t="e">
        <f>AND('Male SR Individual Freestyle'!D52,"AAAAADz8/zQ=")</f>
        <v>#VALUE!</v>
      </c>
      <c r="BB32" t="e">
        <f>AND('Male SR Individual Freestyle'!E52,"AAAAADz8/zU=")</f>
        <v>#VALUE!</v>
      </c>
      <c r="BC32" t="e">
        <f>AND('Male SR Individual Freestyle'!F52,"AAAAADz8/zY=")</f>
        <v>#VALUE!</v>
      </c>
      <c r="BD32" t="e">
        <f>AND('Male SR Individual Freestyle'!G52,"AAAAADz8/zc=")</f>
        <v>#VALUE!</v>
      </c>
      <c r="BE32" t="e">
        <f>AND('Male SR Individual Freestyle'!H52,"AAAAADz8/zg=")</f>
        <v>#VALUE!</v>
      </c>
      <c r="BF32" t="e">
        <f>AND('Male SR Individual Freestyle'!I52,"AAAAADz8/zk=")</f>
        <v>#VALUE!</v>
      </c>
      <c r="BG32" t="e">
        <f>AND('Male SR Individual Freestyle'!J52,"AAAAADz8/zo=")</f>
        <v>#VALUE!</v>
      </c>
      <c r="BH32" t="e">
        <f>AND('Male SR Individual Freestyle'!K52,"AAAAADz8/zs=")</f>
        <v>#VALUE!</v>
      </c>
      <c r="BI32" t="e">
        <f>AND('Male SR Individual Freestyle'!L52,"AAAAADz8/zw=")</f>
        <v>#VALUE!</v>
      </c>
      <c r="BJ32" t="e">
        <f>AND('Male SR Individual Freestyle'!M52,"AAAAADz8/z0=")</f>
        <v>#VALUE!</v>
      </c>
      <c r="BK32">
        <f>IF('Male SR Individual Freestyle'!53:53,"AAAAADz8/z4=",0)</f>
        <v>0</v>
      </c>
      <c r="BL32" t="e">
        <f>AND('Male SR Individual Freestyle'!A53,"AAAAADz8/z8=")</f>
        <v>#VALUE!</v>
      </c>
      <c r="BM32" t="e">
        <f>AND('Male SR Individual Freestyle'!B53,"AAAAADz8/0A=")</f>
        <v>#VALUE!</v>
      </c>
      <c r="BN32" t="e">
        <f>AND('Male SR Individual Freestyle'!C53,"AAAAADz8/0E=")</f>
        <v>#VALUE!</v>
      </c>
      <c r="BO32" t="e">
        <f>AND('Male SR Individual Freestyle'!D53,"AAAAADz8/0I=")</f>
        <v>#VALUE!</v>
      </c>
      <c r="BP32" t="e">
        <f>AND('Male SR Individual Freestyle'!E53,"AAAAADz8/0M=")</f>
        <v>#VALUE!</v>
      </c>
      <c r="BQ32" t="e">
        <f>AND('Male SR Individual Freestyle'!F53,"AAAAADz8/0Q=")</f>
        <v>#VALUE!</v>
      </c>
      <c r="BR32" t="e">
        <f>AND('Male SR Individual Freestyle'!G53,"AAAAADz8/0U=")</f>
        <v>#VALUE!</v>
      </c>
      <c r="BS32" t="e">
        <f>AND('Male SR Individual Freestyle'!H53,"AAAAADz8/0Y=")</f>
        <v>#VALUE!</v>
      </c>
      <c r="BT32" t="e">
        <f>AND('Male SR Individual Freestyle'!I53,"AAAAADz8/0c=")</f>
        <v>#VALUE!</v>
      </c>
      <c r="BU32" t="e">
        <f>AND('Male SR Individual Freestyle'!J53,"AAAAADz8/0g=")</f>
        <v>#VALUE!</v>
      </c>
      <c r="BV32" t="e">
        <f>AND('Male SR Individual Freestyle'!K53,"AAAAADz8/0k=")</f>
        <v>#VALUE!</v>
      </c>
      <c r="BW32" t="e">
        <f>AND('Male SR Individual Freestyle'!L53,"AAAAADz8/0o=")</f>
        <v>#VALUE!</v>
      </c>
      <c r="BX32" t="e">
        <f>AND('Male SR Individual Freestyle'!M53,"AAAAADz8/0s=")</f>
        <v>#VALUE!</v>
      </c>
      <c r="BY32">
        <f>IF('Male SR Individual Freestyle'!54:54,"AAAAADz8/0w=",0)</f>
        <v>0</v>
      </c>
      <c r="BZ32" t="e">
        <f>AND('Male SR Individual Freestyle'!A54,"AAAAADz8/00=")</f>
        <v>#VALUE!</v>
      </c>
      <c r="CA32" t="e">
        <f>AND('Male SR Individual Freestyle'!B54,"AAAAADz8/04=")</f>
        <v>#VALUE!</v>
      </c>
      <c r="CB32" t="e">
        <f>AND('Male SR Individual Freestyle'!C54,"AAAAADz8/08=")</f>
        <v>#VALUE!</v>
      </c>
      <c r="CC32" t="e">
        <f>AND('Male SR Individual Freestyle'!D54,"AAAAADz8/1A=")</f>
        <v>#VALUE!</v>
      </c>
      <c r="CD32" t="e">
        <f>AND('Male SR Individual Freestyle'!E54,"AAAAADz8/1E=")</f>
        <v>#VALUE!</v>
      </c>
      <c r="CE32" t="e">
        <f>AND('Male SR Individual Freestyle'!F54,"AAAAADz8/1I=")</f>
        <v>#VALUE!</v>
      </c>
      <c r="CF32" t="e">
        <f>AND('Male SR Individual Freestyle'!G54,"AAAAADz8/1M=")</f>
        <v>#VALUE!</v>
      </c>
      <c r="CG32" t="e">
        <f>AND('Male SR Individual Freestyle'!H54,"AAAAADz8/1Q=")</f>
        <v>#VALUE!</v>
      </c>
      <c r="CH32" t="e">
        <f>AND('Male SR Individual Freestyle'!I54,"AAAAADz8/1U=")</f>
        <v>#VALUE!</v>
      </c>
      <c r="CI32" t="e">
        <f>AND('Male SR Individual Freestyle'!J54,"AAAAADz8/1Y=")</f>
        <v>#VALUE!</v>
      </c>
      <c r="CJ32" t="e">
        <f>AND('Male SR Individual Freestyle'!K54,"AAAAADz8/1c=")</f>
        <v>#VALUE!</v>
      </c>
      <c r="CK32" t="e">
        <f>AND('Male SR Individual Freestyle'!L54,"AAAAADz8/1g=")</f>
        <v>#VALUE!</v>
      </c>
      <c r="CL32" t="e">
        <f>AND('Male SR Individual Freestyle'!M54,"AAAAADz8/1k=")</f>
        <v>#VALUE!</v>
      </c>
      <c r="CM32">
        <f>IF('Male SR Individual Freestyle'!55:55,"AAAAADz8/1o=",0)</f>
        <v>0</v>
      </c>
      <c r="CN32" t="e">
        <f>AND('Male SR Individual Freestyle'!A55,"AAAAADz8/1s=")</f>
        <v>#VALUE!</v>
      </c>
      <c r="CO32" t="e">
        <f>AND('Male SR Individual Freestyle'!B55,"AAAAADz8/1w=")</f>
        <v>#VALUE!</v>
      </c>
      <c r="CP32" t="e">
        <f>AND('Male SR Individual Freestyle'!C55,"AAAAADz8/10=")</f>
        <v>#VALUE!</v>
      </c>
      <c r="CQ32" t="e">
        <f>AND('Male SR Individual Freestyle'!D55,"AAAAADz8/14=")</f>
        <v>#VALUE!</v>
      </c>
      <c r="CR32" t="e">
        <f>AND('Male SR Individual Freestyle'!E55,"AAAAADz8/18=")</f>
        <v>#VALUE!</v>
      </c>
      <c r="CS32" t="e">
        <f>AND('Male SR Individual Freestyle'!F55,"AAAAADz8/2A=")</f>
        <v>#VALUE!</v>
      </c>
      <c r="CT32" t="e">
        <f>AND('Male SR Individual Freestyle'!G55,"AAAAADz8/2E=")</f>
        <v>#VALUE!</v>
      </c>
      <c r="CU32" t="e">
        <f>AND('Male SR Individual Freestyle'!H55,"AAAAADz8/2I=")</f>
        <v>#VALUE!</v>
      </c>
      <c r="CV32" t="e">
        <f>AND('Male SR Individual Freestyle'!I55,"AAAAADz8/2M=")</f>
        <v>#VALUE!</v>
      </c>
      <c r="CW32" t="e">
        <f>AND('Male SR Individual Freestyle'!J55,"AAAAADz8/2Q=")</f>
        <v>#VALUE!</v>
      </c>
      <c r="CX32" t="e">
        <f>AND('Male SR Individual Freestyle'!K55,"AAAAADz8/2U=")</f>
        <v>#VALUE!</v>
      </c>
      <c r="CY32" t="e">
        <f>AND('Male SR Individual Freestyle'!L55,"AAAAADz8/2Y=")</f>
        <v>#VALUE!</v>
      </c>
      <c r="CZ32" t="e">
        <f>AND('Male SR Individual Freestyle'!M55,"AAAAADz8/2c=")</f>
        <v>#VALUE!</v>
      </c>
      <c r="DA32">
        <f>IF('Male SR Individual Freestyle'!56:56,"AAAAADz8/2g=",0)</f>
        <v>0</v>
      </c>
      <c r="DB32" t="e">
        <f>AND('Male SR Individual Freestyle'!A56,"AAAAADz8/2k=")</f>
        <v>#VALUE!</v>
      </c>
      <c r="DC32" t="e">
        <f>AND('Male SR Individual Freestyle'!B56,"AAAAADz8/2o=")</f>
        <v>#VALUE!</v>
      </c>
      <c r="DD32" t="e">
        <f>AND('Male SR Individual Freestyle'!C56,"AAAAADz8/2s=")</f>
        <v>#VALUE!</v>
      </c>
      <c r="DE32" t="e">
        <f>AND('Male SR Individual Freestyle'!D56,"AAAAADz8/2w=")</f>
        <v>#VALUE!</v>
      </c>
      <c r="DF32" t="e">
        <f>AND('Male SR Individual Freestyle'!E56,"AAAAADz8/20=")</f>
        <v>#VALUE!</v>
      </c>
      <c r="DG32" t="e">
        <f>AND('Male SR Individual Freestyle'!F56,"AAAAADz8/24=")</f>
        <v>#VALUE!</v>
      </c>
      <c r="DH32" t="e">
        <f>AND('Male SR Individual Freestyle'!G56,"AAAAADz8/28=")</f>
        <v>#VALUE!</v>
      </c>
      <c r="DI32" t="e">
        <f>AND('Male SR Individual Freestyle'!H56,"AAAAADz8/3A=")</f>
        <v>#VALUE!</v>
      </c>
      <c r="DJ32" t="e">
        <f>AND('Male SR Individual Freestyle'!I56,"AAAAADz8/3E=")</f>
        <v>#VALUE!</v>
      </c>
      <c r="DK32" t="e">
        <f>AND('Male SR Individual Freestyle'!J56,"AAAAADz8/3I=")</f>
        <v>#VALUE!</v>
      </c>
      <c r="DL32" t="e">
        <f>AND('Male SR Individual Freestyle'!K56,"AAAAADz8/3M=")</f>
        <v>#VALUE!</v>
      </c>
      <c r="DM32" t="e">
        <f>AND('Male SR Individual Freestyle'!L56,"AAAAADz8/3Q=")</f>
        <v>#VALUE!</v>
      </c>
      <c r="DN32" t="e">
        <f>AND('Male SR Individual Freestyle'!M56,"AAAAADz8/3U=")</f>
        <v>#VALUE!</v>
      </c>
      <c r="DO32">
        <f>IF('Male SR Individual Freestyle'!57:57,"AAAAADz8/3Y=",0)</f>
        <v>0</v>
      </c>
      <c r="DP32" t="e">
        <f>AND('Male SR Individual Freestyle'!A57,"AAAAADz8/3c=")</f>
        <v>#VALUE!</v>
      </c>
      <c r="DQ32" t="e">
        <f>AND('Male SR Individual Freestyle'!B57,"AAAAADz8/3g=")</f>
        <v>#VALUE!</v>
      </c>
      <c r="DR32" t="e">
        <f>AND('Male SR Individual Freestyle'!C57,"AAAAADz8/3k=")</f>
        <v>#VALUE!</v>
      </c>
      <c r="DS32" t="e">
        <f>AND('Male SR Individual Freestyle'!D57,"AAAAADz8/3o=")</f>
        <v>#VALUE!</v>
      </c>
      <c r="DT32" t="e">
        <f>AND('Male SR Individual Freestyle'!E57,"AAAAADz8/3s=")</f>
        <v>#VALUE!</v>
      </c>
      <c r="DU32" t="e">
        <f>AND('Male SR Individual Freestyle'!F57,"AAAAADz8/3w=")</f>
        <v>#VALUE!</v>
      </c>
      <c r="DV32" t="e">
        <f>AND('Male SR Individual Freestyle'!G57,"AAAAADz8/30=")</f>
        <v>#VALUE!</v>
      </c>
      <c r="DW32" t="e">
        <f>AND('Male SR Individual Freestyle'!H57,"AAAAADz8/34=")</f>
        <v>#VALUE!</v>
      </c>
      <c r="DX32" t="e">
        <f>AND('Male SR Individual Freestyle'!I57,"AAAAADz8/38=")</f>
        <v>#VALUE!</v>
      </c>
      <c r="DY32" t="e">
        <f>AND('Male SR Individual Freestyle'!J57,"AAAAADz8/4A=")</f>
        <v>#VALUE!</v>
      </c>
      <c r="DZ32" t="e">
        <f>AND('Male SR Individual Freestyle'!K57,"AAAAADz8/4E=")</f>
        <v>#VALUE!</v>
      </c>
      <c r="EA32" t="e">
        <f>AND('Male SR Individual Freestyle'!L57,"AAAAADz8/4I=")</f>
        <v>#VALUE!</v>
      </c>
      <c r="EB32" t="e">
        <f>AND('Male SR Individual Freestyle'!M57,"AAAAADz8/4M=")</f>
        <v>#VALUE!</v>
      </c>
      <c r="EC32">
        <f>IF('Male SR Individual Freestyle'!58:58,"AAAAADz8/4Q=",0)</f>
        <v>0</v>
      </c>
      <c r="ED32" t="e">
        <f>AND('Male SR Individual Freestyle'!A58,"AAAAADz8/4U=")</f>
        <v>#VALUE!</v>
      </c>
      <c r="EE32" t="e">
        <f>AND('Male SR Individual Freestyle'!B58,"AAAAADz8/4Y=")</f>
        <v>#VALUE!</v>
      </c>
      <c r="EF32" t="e">
        <f>AND('Male SR Individual Freestyle'!C58,"AAAAADz8/4c=")</f>
        <v>#VALUE!</v>
      </c>
      <c r="EG32" t="e">
        <f>AND('Male SR Individual Freestyle'!D58,"AAAAADz8/4g=")</f>
        <v>#VALUE!</v>
      </c>
      <c r="EH32" t="e">
        <f>AND('Male SR Individual Freestyle'!E58,"AAAAADz8/4k=")</f>
        <v>#VALUE!</v>
      </c>
      <c r="EI32" t="e">
        <f>AND('Male SR Individual Freestyle'!F58,"AAAAADz8/4o=")</f>
        <v>#VALUE!</v>
      </c>
      <c r="EJ32" t="e">
        <f>AND('Male SR Individual Freestyle'!G58,"AAAAADz8/4s=")</f>
        <v>#VALUE!</v>
      </c>
      <c r="EK32" t="e">
        <f>AND('Male SR Individual Freestyle'!H58,"AAAAADz8/4w=")</f>
        <v>#VALUE!</v>
      </c>
      <c r="EL32" t="e">
        <f>AND('Male SR Individual Freestyle'!I58,"AAAAADz8/40=")</f>
        <v>#VALUE!</v>
      </c>
      <c r="EM32" t="e">
        <f>AND('Male SR Individual Freestyle'!J58,"AAAAADz8/44=")</f>
        <v>#VALUE!</v>
      </c>
      <c r="EN32" t="e">
        <f>AND('Male SR Individual Freestyle'!K58,"AAAAADz8/48=")</f>
        <v>#VALUE!</v>
      </c>
      <c r="EO32" t="e">
        <f>AND('Male SR Individual Freestyle'!L58,"AAAAADz8/5A=")</f>
        <v>#VALUE!</v>
      </c>
      <c r="EP32" t="e">
        <f>AND('Male SR Individual Freestyle'!M58,"AAAAADz8/5E=")</f>
        <v>#VALUE!</v>
      </c>
      <c r="EQ32">
        <f>IF('Male SR Individual Freestyle'!59:59,"AAAAADz8/5I=",0)</f>
        <v>0</v>
      </c>
      <c r="ER32" t="e">
        <f>AND('Male SR Individual Freestyle'!A59,"AAAAADz8/5M=")</f>
        <v>#VALUE!</v>
      </c>
      <c r="ES32" t="e">
        <f>AND('Male SR Individual Freestyle'!B59,"AAAAADz8/5Q=")</f>
        <v>#VALUE!</v>
      </c>
      <c r="ET32" t="e">
        <f>AND('Male SR Individual Freestyle'!C59,"AAAAADz8/5U=")</f>
        <v>#VALUE!</v>
      </c>
      <c r="EU32" t="e">
        <f>AND('Male SR Individual Freestyle'!D59,"AAAAADz8/5Y=")</f>
        <v>#VALUE!</v>
      </c>
      <c r="EV32" t="e">
        <f>AND('Male SR Individual Freestyle'!E59,"AAAAADz8/5c=")</f>
        <v>#VALUE!</v>
      </c>
      <c r="EW32" t="e">
        <f>AND('Male SR Individual Freestyle'!F59,"AAAAADz8/5g=")</f>
        <v>#VALUE!</v>
      </c>
      <c r="EX32" t="e">
        <f>AND('Male SR Individual Freestyle'!G59,"AAAAADz8/5k=")</f>
        <v>#VALUE!</v>
      </c>
      <c r="EY32" t="e">
        <f>AND('Male SR Individual Freestyle'!H59,"AAAAADz8/5o=")</f>
        <v>#VALUE!</v>
      </c>
      <c r="EZ32" t="e">
        <f>AND('Male SR Individual Freestyle'!I59,"AAAAADz8/5s=")</f>
        <v>#VALUE!</v>
      </c>
      <c r="FA32" t="e">
        <f>AND('Male SR Individual Freestyle'!J59,"AAAAADz8/5w=")</f>
        <v>#VALUE!</v>
      </c>
      <c r="FB32" t="e">
        <f>AND('Male SR Individual Freestyle'!K59,"AAAAADz8/50=")</f>
        <v>#VALUE!</v>
      </c>
      <c r="FC32" t="e">
        <f>AND('Male SR Individual Freestyle'!L59,"AAAAADz8/54=")</f>
        <v>#VALUE!</v>
      </c>
      <c r="FD32" t="e">
        <f>AND('Male SR Individual Freestyle'!M59,"AAAAADz8/58=")</f>
        <v>#VALUE!</v>
      </c>
      <c r="FE32">
        <f>IF('Male SR Individual Freestyle'!60:60,"AAAAADz8/6A=",0)</f>
        <v>0</v>
      </c>
      <c r="FF32" t="e">
        <f>AND('Male SR Individual Freestyle'!A60,"AAAAADz8/6E=")</f>
        <v>#VALUE!</v>
      </c>
      <c r="FG32" t="e">
        <f>AND('Male SR Individual Freestyle'!B60,"AAAAADz8/6I=")</f>
        <v>#VALUE!</v>
      </c>
      <c r="FH32" t="e">
        <f>AND('Male SR Individual Freestyle'!C60,"AAAAADz8/6M=")</f>
        <v>#VALUE!</v>
      </c>
      <c r="FI32" t="e">
        <f>AND('Male SR Individual Freestyle'!D60,"AAAAADz8/6Q=")</f>
        <v>#VALUE!</v>
      </c>
      <c r="FJ32" t="e">
        <f>AND('Male SR Individual Freestyle'!E60,"AAAAADz8/6U=")</f>
        <v>#VALUE!</v>
      </c>
      <c r="FK32" t="e">
        <f>AND('Male SR Individual Freestyle'!F60,"AAAAADz8/6Y=")</f>
        <v>#VALUE!</v>
      </c>
      <c r="FL32" t="e">
        <f>AND('Male SR Individual Freestyle'!G60,"AAAAADz8/6c=")</f>
        <v>#VALUE!</v>
      </c>
      <c r="FM32" t="e">
        <f>AND('Male SR Individual Freestyle'!H60,"AAAAADz8/6g=")</f>
        <v>#VALUE!</v>
      </c>
      <c r="FN32" t="e">
        <f>AND('Male SR Individual Freestyle'!I60,"AAAAADz8/6k=")</f>
        <v>#VALUE!</v>
      </c>
      <c r="FO32" t="e">
        <f>AND('Male SR Individual Freestyle'!J60,"AAAAADz8/6o=")</f>
        <v>#VALUE!</v>
      </c>
      <c r="FP32" t="e">
        <f>AND('Male SR Individual Freestyle'!K60,"AAAAADz8/6s=")</f>
        <v>#VALUE!</v>
      </c>
      <c r="FQ32" t="e">
        <f>AND('Male SR Individual Freestyle'!L60,"AAAAADz8/6w=")</f>
        <v>#VALUE!</v>
      </c>
      <c r="FR32" t="e">
        <f>AND('Male SR Individual Freestyle'!M60,"AAAAADz8/60=")</f>
        <v>#VALUE!</v>
      </c>
      <c r="FS32">
        <f>IF('Male SR Individual Freestyle'!61:61,"AAAAADz8/64=",0)</f>
        <v>0</v>
      </c>
      <c r="FT32" t="e">
        <f>AND('Male SR Individual Freestyle'!A61,"AAAAADz8/68=")</f>
        <v>#VALUE!</v>
      </c>
      <c r="FU32" t="e">
        <f>AND('Male SR Individual Freestyle'!B61,"AAAAADz8/7A=")</f>
        <v>#VALUE!</v>
      </c>
      <c r="FV32" t="e">
        <f>AND('Male SR Individual Freestyle'!C61,"AAAAADz8/7E=")</f>
        <v>#VALUE!</v>
      </c>
      <c r="FW32" t="e">
        <f>AND('Male SR Individual Freestyle'!D61,"AAAAADz8/7I=")</f>
        <v>#VALUE!</v>
      </c>
      <c r="FX32" t="e">
        <f>AND('Male SR Individual Freestyle'!E61,"AAAAADz8/7M=")</f>
        <v>#VALUE!</v>
      </c>
      <c r="FY32" t="e">
        <f>AND('Male SR Individual Freestyle'!F61,"AAAAADz8/7Q=")</f>
        <v>#VALUE!</v>
      </c>
      <c r="FZ32" t="e">
        <f>AND('Male SR Individual Freestyle'!G61,"AAAAADz8/7U=")</f>
        <v>#VALUE!</v>
      </c>
      <c r="GA32" t="e">
        <f>AND('Male SR Individual Freestyle'!H61,"AAAAADz8/7Y=")</f>
        <v>#VALUE!</v>
      </c>
      <c r="GB32" t="e">
        <f>AND('Male SR Individual Freestyle'!I61,"AAAAADz8/7c=")</f>
        <v>#VALUE!</v>
      </c>
      <c r="GC32" t="e">
        <f>AND('Male SR Individual Freestyle'!J61,"AAAAADz8/7g=")</f>
        <v>#VALUE!</v>
      </c>
      <c r="GD32" t="e">
        <f>AND('Male SR Individual Freestyle'!K61,"AAAAADz8/7k=")</f>
        <v>#VALUE!</v>
      </c>
      <c r="GE32" t="e">
        <f>AND('Male SR Individual Freestyle'!L61,"AAAAADz8/7o=")</f>
        <v>#VALUE!</v>
      </c>
      <c r="GF32" t="e">
        <f>AND('Male SR Individual Freestyle'!M61,"AAAAADz8/7s=")</f>
        <v>#VALUE!</v>
      </c>
      <c r="GG32">
        <f>IF('Male SR Individual Freestyle'!62:62,"AAAAADz8/7w=",0)</f>
        <v>0</v>
      </c>
      <c r="GH32" t="e">
        <f>AND('Male SR Individual Freestyle'!A62,"AAAAADz8/70=")</f>
        <v>#VALUE!</v>
      </c>
      <c r="GI32" t="e">
        <f>AND('Male SR Individual Freestyle'!B62,"AAAAADz8/74=")</f>
        <v>#VALUE!</v>
      </c>
      <c r="GJ32" t="e">
        <f>AND('Male SR Individual Freestyle'!C62,"AAAAADz8/78=")</f>
        <v>#VALUE!</v>
      </c>
      <c r="GK32" t="e">
        <f>AND('Male SR Individual Freestyle'!D62,"AAAAADz8/8A=")</f>
        <v>#VALUE!</v>
      </c>
      <c r="GL32" t="e">
        <f>AND('Male SR Individual Freestyle'!E62,"AAAAADz8/8E=")</f>
        <v>#VALUE!</v>
      </c>
      <c r="GM32" t="e">
        <f>AND('Male SR Individual Freestyle'!F62,"AAAAADz8/8I=")</f>
        <v>#VALUE!</v>
      </c>
      <c r="GN32" t="e">
        <f>AND('Male SR Individual Freestyle'!G62,"AAAAADz8/8M=")</f>
        <v>#VALUE!</v>
      </c>
      <c r="GO32" t="e">
        <f>AND('Male SR Individual Freestyle'!H62,"AAAAADz8/8Q=")</f>
        <v>#VALUE!</v>
      </c>
      <c r="GP32" t="e">
        <f>AND('Male SR Individual Freestyle'!I62,"AAAAADz8/8U=")</f>
        <v>#VALUE!</v>
      </c>
      <c r="GQ32" t="e">
        <f>AND('Male SR Individual Freestyle'!J62,"AAAAADz8/8Y=")</f>
        <v>#VALUE!</v>
      </c>
      <c r="GR32" t="e">
        <f>AND('Male SR Individual Freestyle'!K62,"AAAAADz8/8c=")</f>
        <v>#VALUE!</v>
      </c>
      <c r="GS32" t="e">
        <f>AND('Male SR Individual Freestyle'!L62,"AAAAADz8/8g=")</f>
        <v>#VALUE!</v>
      </c>
      <c r="GT32" t="e">
        <f>AND('Male SR Individual Freestyle'!M62,"AAAAADz8/8k=")</f>
        <v>#VALUE!</v>
      </c>
      <c r="GU32">
        <f>IF('Male SR Individual Freestyle'!63:63,"AAAAADz8/8o=",0)</f>
        <v>0</v>
      </c>
      <c r="GV32" t="e">
        <f>AND('Male SR Individual Freestyle'!A63,"AAAAADz8/8s=")</f>
        <v>#VALUE!</v>
      </c>
      <c r="GW32" t="e">
        <f>AND('Male SR Individual Freestyle'!B63,"AAAAADz8/8w=")</f>
        <v>#VALUE!</v>
      </c>
      <c r="GX32" t="e">
        <f>AND('Male SR Individual Freestyle'!C63,"AAAAADz8/80=")</f>
        <v>#VALUE!</v>
      </c>
      <c r="GY32" t="e">
        <f>AND('Male SR Individual Freestyle'!D63,"AAAAADz8/84=")</f>
        <v>#VALUE!</v>
      </c>
      <c r="GZ32" t="e">
        <f>AND('Male SR Individual Freestyle'!E63,"AAAAADz8/88=")</f>
        <v>#VALUE!</v>
      </c>
      <c r="HA32" t="e">
        <f>AND('Male SR Individual Freestyle'!F63,"AAAAADz8/9A=")</f>
        <v>#VALUE!</v>
      </c>
      <c r="HB32" t="e">
        <f>AND('Male SR Individual Freestyle'!G63,"AAAAADz8/9E=")</f>
        <v>#VALUE!</v>
      </c>
      <c r="HC32" t="e">
        <f>AND('Male SR Individual Freestyle'!H63,"AAAAADz8/9I=")</f>
        <v>#VALUE!</v>
      </c>
      <c r="HD32" t="e">
        <f>AND('Male SR Individual Freestyle'!I63,"AAAAADz8/9M=")</f>
        <v>#VALUE!</v>
      </c>
      <c r="HE32" t="e">
        <f>AND('Male SR Individual Freestyle'!J63,"AAAAADz8/9Q=")</f>
        <v>#VALUE!</v>
      </c>
      <c r="HF32" t="e">
        <f>AND('Male SR Individual Freestyle'!K63,"AAAAADz8/9U=")</f>
        <v>#VALUE!</v>
      </c>
      <c r="HG32" t="e">
        <f>AND('Male SR Individual Freestyle'!L63,"AAAAADz8/9Y=")</f>
        <v>#VALUE!</v>
      </c>
      <c r="HH32" t="e">
        <f>AND('Male SR Individual Freestyle'!M63,"AAAAADz8/9c=")</f>
        <v>#VALUE!</v>
      </c>
      <c r="HI32">
        <f>IF('Male SR Individual Freestyle'!64:64,"AAAAADz8/9g=",0)</f>
        <v>0</v>
      </c>
      <c r="HJ32" t="e">
        <f>AND('Male SR Individual Freestyle'!A64,"AAAAADz8/9k=")</f>
        <v>#VALUE!</v>
      </c>
      <c r="HK32" t="e">
        <f>AND('Male SR Individual Freestyle'!B64,"AAAAADz8/9o=")</f>
        <v>#VALUE!</v>
      </c>
      <c r="HL32" t="e">
        <f>AND('Male SR Individual Freestyle'!C64,"AAAAADz8/9s=")</f>
        <v>#VALUE!</v>
      </c>
      <c r="HM32" t="e">
        <f>AND('Male SR Individual Freestyle'!D64,"AAAAADz8/9w=")</f>
        <v>#VALUE!</v>
      </c>
      <c r="HN32" t="e">
        <f>AND('Male SR Individual Freestyle'!E64,"AAAAADz8/90=")</f>
        <v>#VALUE!</v>
      </c>
      <c r="HO32" t="e">
        <f>AND('Male SR Individual Freestyle'!F64,"AAAAADz8/94=")</f>
        <v>#VALUE!</v>
      </c>
      <c r="HP32" t="e">
        <f>AND('Male SR Individual Freestyle'!G64,"AAAAADz8/98=")</f>
        <v>#VALUE!</v>
      </c>
      <c r="HQ32" t="e">
        <f>AND('Male SR Individual Freestyle'!H64,"AAAAADz8/+A=")</f>
        <v>#VALUE!</v>
      </c>
      <c r="HR32" t="e">
        <f>AND('Male SR Individual Freestyle'!I64,"AAAAADz8/+E=")</f>
        <v>#VALUE!</v>
      </c>
      <c r="HS32" t="e">
        <f>AND('Male SR Individual Freestyle'!J64,"AAAAADz8/+I=")</f>
        <v>#VALUE!</v>
      </c>
      <c r="HT32" t="e">
        <f>AND('Male SR Individual Freestyle'!K64,"AAAAADz8/+M=")</f>
        <v>#VALUE!</v>
      </c>
      <c r="HU32" t="e">
        <f>AND('Male SR Individual Freestyle'!L64,"AAAAADz8/+Q=")</f>
        <v>#VALUE!</v>
      </c>
      <c r="HV32" t="e">
        <f>AND('Male SR Individual Freestyle'!M64,"AAAAADz8/+U=")</f>
        <v>#VALUE!</v>
      </c>
      <c r="HW32">
        <f>IF('Male SR Individual Freestyle'!65:65,"AAAAADz8/+Y=",0)</f>
        <v>0</v>
      </c>
      <c r="HX32" t="e">
        <f>AND('Male SR Individual Freestyle'!A65,"AAAAADz8/+c=")</f>
        <v>#VALUE!</v>
      </c>
      <c r="HY32" t="e">
        <f>AND('Male SR Individual Freestyle'!B65,"AAAAADz8/+g=")</f>
        <v>#VALUE!</v>
      </c>
      <c r="HZ32" t="e">
        <f>AND('Male SR Individual Freestyle'!C65,"AAAAADz8/+k=")</f>
        <v>#VALUE!</v>
      </c>
      <c r="IA32" t="e">
        <f>AND('Male SR Individual Freestyle'!D65,"AAAAADz8/+o=")</f>
        <v>#VALUE!</v>
      </c>
      <c r="IB32" t="e">
        <f>AND('Male SR Individual Freestyle'!E65,"AAAAADz8/+s=")</f>
        <v>#VALUE!</v>
      </c>
      <c r="IC32" t="e">
        <f>AND('Male SR Individual Freestyle'!F65,"AAAAADz8/+w=")</f>
        <v>#VALUE!</v>
      </c>
      <c r="ID32" t="e">
        <f>AND('Male SR Individual Freestyle'!G65,"AAAAADz8/+0=")</f>
        <v>#VALUE!</v>
      </c>
      <c r="IE32" t="e">
        <f>AND('Male SR Individual Freestyle'!H65,"AAAAADz8/+4=")</f>
        <v>#VALUE!</v>
      </c>
      <c r="IF32" t="e">
        <f>AND('Male SR Individual Freestyle'!I65,"AAAAADz8/+8=")</f>
        <v>#VALUE!</v>
      </c>
      <c r="IG32" t="e">
        <f>AND('Male SR Individual Freestyle'!J65,"AAAAADz8//A=")</f>
        <v>#VALUE!</v>
      </c>
      <c r="IH32" t="e">
        <f>AND('Male SR Individual Freestyle'!K65,"AAAAADz8//E=")</f>
        <v>#VALUE!</v>
      </c>
      <c r="II32" t="e">
        <f>AND('Male SR Individual Freestyle'!L65,"AAAAADz8//I=")</f>
        <v>#VALUE!</v>
      </c>
      <c r="IJ32" t="e">
        <f>AND('Male SR Individual Freestyle'!M65,"AAAAADz8//M=")</f>
        <v>#VALUE!</v>
      </c>
      <c r="IK32">
        <f>IF('Male SR Individual Freestyle'!66:66,"AAAAADz8//Q=",0)</f>
        <v>0</v>
      </c>
      <c r="IL32" t="e">
        <f>AND('Male SR Individual Freestyle'!A66,"AAAAADz8//U=")</f>
        <v>#VALUE!</v>
      </c>
      <c r="IM32" t="e">
        <f>AND('Male SR Individual Freestyle'!B66,"AAAAADz8//Y=")</f>
        <v>#VALUE!</v>
      </c>
      <c r="IN32" t="e">
        <f>AND('Male SR Individual Freestyle'!C66,"AAAAADz8//c=")</f>
        <v>#VALUE!</v>
      </c>
      <c r="IO32" t="e">
        <f>AND('Male SR Individual Freestyle'!D66,"AAAAADz8//g=")</f>
        <v>#VALUE!</v>
      </c>
      <c r="IP32" t="e">
        <f>AND('Male SR Individual Freestyle'!E66,"AAAAADz8//k=")</f>
        <v>#VALUE!</v>
      </c>
      <c r="IQ32" t="e">
        <f>AND('Male SR Individual Freestyle'!F66,"AAAAADz8//o=")</f>
        <v>#VALUE!</v>
      </c>
      <c r="IR32" t="e">
        <f>AND('Male SR Individual Freestyle'!G66,"AAAAADz8//s=")</f>
        <v>#VALUE!</v>
      </c>
      <c r="IS32" t="e">
        <f>AND('Male SR Individual Freestyle'!H66,"AAAAADz8//w=")</f>
        <v>#VALUE!</v>
      </c>
      <c r="IT32" t="e">
        <f>AND('Male SR Individual Freestyle'!I66,"AAAAADz8//0=")</f>
        <v>#VALUE!</v>
      </c>
      <c r="IU32" t="e">
        <f>AND('Male SR Individual Freestyle'!J66,"AAAAADz8//4=")</f>
        <v>#VALUE!</v>
      </c>
      <c r="IV32" t="e">
        <f>AND('Male SR Individual Freestyle'!K66,"AAAAADz8//8=")</f>
        <v>#VALUE!</v>
      </c>
    </row>
    <row r="33" spans="1:256" x14ac:dyDescent="0.25">
      <c r="A33" t="e">
        <f>AND('Male SR Individual Freestyle'!L66,"AAAAAD/2/QA=")</f>
        <v>#VALUE!</v>
      </c>
      <c r="B33" t="e">
        <f>AND('Male SR Individual Freestyle'!M66,"AAAAAD/2/QE=")</f>
        <v>#VALUE!</v>
      </c>
      <c r="C33" t="e">
        <f>IF('Male SR Individual Freestyle'!67:67,"AAAAAD/2/QI=",0)</f>
        <v>#VALUE!</v>
      </c>
      <c r="D33" t="e">
        <f>AND('Male SR Individual Freestyle'!A67,"AAAAAD/2/QM=")</f>
        <v>#VALUE!</v>
      </c>
      <c r="E33" t="e">
        <f>AND('Male SR Individual Freestyle'!B67,"AAAAAD/2/QQ=")</f>
        <v>#VALUE!</v>
      </c>
      <c r="F33" t="e">
        <f>AND('Male SR Individual Freestyle'!C67,"AAAAAD/2/QU=")</f>
        <v>#VALUE!</v>
      </c>
      <c r="G33" t="e">
        <f>AND('Male SR Individual Freestyle'!D67,"AAAAAD/2/QY=")</f>
        <v>#VALUE!</v>
      </c>
      <c r="H33" t="e">
        <f>AND('Male SR Individual Freestyle'!E67,"AAAAAD/2/Qc=")</f>
        <v>#VALUE!</v>
      </c>
      <c r="I33" t="e">
        <f>AND('Male SR Individual Freestyle'!F67,"AAAAAD/2/Qg=")</f>
        <v>#VALUE!</v>
      </c>
      <c r="J33" t="e">
        <f>AND('Male SR Individual Freestyle'!G67,"AAAAAD/2/Qk=")</f>
        <v>#VALUE!</v>
      </c>
      <c r="K33" t="e">
        <f>AND('Male SR Individual Freestyle'!H67,"AAAAAD/2/Qo=")</f>
        <v>#VALUE!</v>
      </c>
      <c r="L33" t="e">
        <f>AND('Male SR Individual Freestyle'!I67,"AAAAAD/2/Qs=")</f>
        <v>#VALUE!</v>
      </c>
      <c r="M33" t="e">
        <f>AND('Male SR Individual Freestyle'!J67,"AAAAAD/2/Qw=")</f>
        <v>#VALUE!</v>
      </c>
      <c r="N33" t="e">
        <f>AND('Male SR Individual Freestyle'!K67,"AAAAAD/2/Q0=")</f>
        <v>#VALUE!</v>
      </c>
      <c r="O33" t="e">
        <f>AND('Male SR Individual Freestyle'!L67,"AAAAAD/2/Q4=")</f>
        <v>#VALUE!</v>
      </c>
      <c r="P33" t="e">
        <f>AND('Male SR Individual Freestyle'!M67,"AAAAAD/2/Q8=")</f>
        <v>#VALUE!</v>
      </c>
      <c r="Q33">
        <f>IF('Male SR Individual Freestyle'!68:68,"AAAAAD/2/RA=",0)</f>
        <v>0</v>
      </c>
      <c r="R33" t="e">
        <f>AND('Male SR Individual Freestyle'!A68,"AAAAAD/2/RE=")</f>
        <v>#VALUE!</v>
      </c>
      <c r="S33" t="e">
        <f>AND('Male SR Individual Freestyle'!B68,"AAAAAD/2/RI=")</f>
        <v>#VALUE!</v>
      </c>
      <c r="T33" t="e">
        <f>AND('Male SR Individual Freestyle'!C68,"AAAAAD/2/RM=")</f>
        <v>#VALUE!</v>
      </c>
      <c r="U33" t="e">
        <f>AND('Male SR Individual Freestyle'!D68,"AAAAAD/2/RQ=")</f>
        <v>#VALUE!</v>
      </c>
      <c r="V33" t="e">
        <f>AND('Male SR Individual Freestyle'!E68,"AAAAAD/2/RU=")</f>
        <v>#VALUE!</v>
      </c>
      <c r="W33" t="e">
        <f>AND('Male SR Individual Freestyle'!F68,"AAAAAD/2/RY=")</f>
        <v>#VALUE!</v>
      </c>
      <c r="X33" t="e">
        <f>AND('Male SR Individual Freestyle'!G68,"AAAAAD/2/Rc=")</f>
        <v>#VALUE!</v>
      </c>
      <c r="Y33" t="e">
        <f>AND('Male SR Individual Freestyle'!H68,"AAAAAD/2/Rg=")</f>
        <v>#VALUE!</v>
      </c>
      <c r="Z33" t="e">
        <f>AND('Male SR Individual Freestyle'!I68,"AAAAAD/2/Rk=")</f>
        <v>#VALUE!</v>
      </c>
      <c r="AA33" t="e">
        <f>AND('Male SR Individual Freestyle'!J68,"AAAAAD/2/Ro=")</f>
        <v>#VALUE!</v>
      </c>
      <c r="AB33" t="e">
        <f>AND('Male SR Individual Freestyle'!K68,"AAAAAD/2/Rs=")</f>
        <v>#VALUE!</v>
      </c>
      <c r="AC33" t="e">
        <f>AND('Male SR Individual Freestyle'!L68,"AAAAAD/2/Rw=")</f>
        <v>#VALUE!</v>
      </c>
      <c r="AD33" t="e">
        <f>AND('Male SR Individual Freestyle'!M68,"AAAAAD/2/R0=")</f>
        <v>#VALUE!</v>
      </c>
      <c r="AE33">
        <f>IF('Male SR Individual Freestyle'!71:71,"AAAAAD/2/R4=",0)</f>
        <v>0</v>
      </c>
      <c r="AF33" t="e">
        <f>AND('Male SR Individual Freestyle'!A71,"AAAAAD/2/R8=")</f>
        <v>#VALUE!</v>
      </c>
      <c r="AG33" t="e">
        <f>AND('Male SR Individual Freestyle'!B71,"AAAAAD/2/SA=")</f>
        <v>#VALUE!</v>
      </c>
      <c r="AH33" t="e">
        <f>AND('Male SR Individual Freestyle'!C71,"AAAAAD/2/SE=")</f>
        <v>#VALUE!</v>
      </c>
      <c r="AI33" t="e">
        <f>AND('Male SR Individual Freestyle'!D71,"AAAAAD/2/SI=")</f>
        <v>#VALUE!</v>
      </c>
      <c r="AJ33" t="e">
        <f>AND('Male SR Individual Freestyle'!E71,"AAAAAD/2/SM=")</f>
        <v>#VALUE!</v>
      </c>
      <c r="AK33" t="e">
        <f>AND('Male SR Individual Freestyle'!F71,"AAAAAD/2/SQ=")</f>
        <v>#VALUE!</v>
      </c>
      <c r="AL33" t="e">
        <f>AND('Male SR Individual Freestyle'!G71,"AAAAAD/2/SU=")</f>
        <v>#VALUE!</v>
      </c>
      <c r="AM33" t="e">
        <f>AND('Male SR Individual Freestyle'!H71,"AAAAAD/2/SY=")</f>
        <v>#VALUE!</v>
      </c>
      <c r="AN33" t="e">
        <f>AND('Male SR Individual Freestyle'!I71,"AAAAAD/2/Sc=")</f>
        <v>#VALUE!</v>
      </c>
      <c r="AO33" t="e">
        <f>AND('Male SR Individual Freestyle'!J71,"AAAAAD/2/Sg=")</f>
        <v>#VALUE!</v>
      </c>
      <c r="AP33" t="e">
        <f>AND('Male SR Individual Freestyle'!K71,"AAAAAD/2/Sk=")</f>
        <v>#VALUE!</v>
      </c>
      <c r="AQ33" t="e">
        <f>AND('Male SR Individual Freestyle'!L71,"AAAAAD/2/So=")</f>
        <v>#VALUE!</v>
      </c>
      <c r="AR33" t="e">
        <f>AND('Male SR Individual Freestyle'!M71,"AAAAAD/2/Ss=")</f>
        <v>#VALUE!</v>
      </c>
      <c r="AS33">
        <f>IF('Male SR Individual Freestyle'!72:72,"AAAAAD/2/Sw=",0)</f>
        <v>0</v>
      </c>
      <c r="AT33" t="e">
        <f>AND('Male SR Individual Freestyle'!H72,"AAAAAD/2/S0=")</f>
        <v>#VALUE!</v>
      </c>
      <c r="AU33" t="e">
        <f>AND('Male SR Individual Freestyle'!I72,"AAAAAD/2/S4=")</f>
        <v>#VALUE!</v>
      </c>
      <c r="AV33" t="e">
        <f>AND('Male SR Individual Freestyle'!J72,"AAAAAD/2/S8=")</f>
        <v>#VALUE!</v>
      </c>
      <c r="AW33" t="e">
        <f>AND('Male SR Individual Freestyle'!K72,"AAAAAD/2/TA=")</f>
        <v>#VALUE!</v>
      </c>
      <c r="AX33" t="e">
        <f>AND('Male SR Individual Freestyle'!L72,"AAAAAD/2/TE=")</f>
        <v>#VALUE!</v>
      </c>
      <c r="AY33" t="e">
        <f>AND('Male SR Individual Freestyle'!M72,"AAAAAD/2/TI=")</f>
        <v>#VALUE!</v>
      </c>
      <c r="AZ33" t="e">
        <f>AND('Male SR Individual Freestyle'!G72,"AAAAAD/2/TM=")</f>
        <v>#VALUE!</v>
      </c>
      <c r="BA33" t="e">
        <f>AND('Male SR Individual Freestyle'!A79,"AAAAAD/2/TQ=")</f>
        <v>#VALUE!</v>
      </c>
      <c r="BB33" t="e">
        <f>AND('Male SR Individual Freestyle'!B79,"AAAAAD/2/TU=")</f>
        <v>#VALUE!</v>
      </c>
      <c r="BC33" t="e">
        <f>AND('Male SR Individual Freestyle'!C79,"AAAAAD/2/TY=")</f>
        <v>#VALUE!</v>
      </c>
      <c r="BD33" t="e">
        <f>AND('Male SR Individual Freestyle'!D79,"AAAAAD/2/Tc=")</f>
        <v>#VALUE!</v>
      </c>
      <c r="BE33" t="e">
        <f>AND('Male SR Individual Freestyle'!E79,"AAAAAD/2/Tg=")</f>
        <v>#VALUE!</v>
      </c>
      <c r="BF33" t="e">
        <f>AND('Male SR Individual Freestyle'!F79,"AAAAAD/2/Tk=")</f>
        <v>#VALUE!</v>
      </c>
      <c r="BG33">
        <f>IF('Male SR Individual Freestyle'!73:73,"AAAAAD/2/To=",0)</f>
        <v>0</v>
      </c>
      <c r="BH33" t="e">
        <f>AND('Male SR Individual Freestyle'!H73,"AAAAAD/2/Ts=")</f>
        <v>#VALUE!</v>
      </c>
      <c r="BI33" t="e">
        <f>AND('Male SR Individual Freestyle'!I73,"AAAAAD/2/Tw=")</f>
        <v>#VALUE!</v>
      </c>
      <c r="BJ33" t="e">
        <f>AND('Male SR Individual Freestyle'!J73,"AAAAAD/2/T0=")</f>
        <v>#VALUE!</v>
      </c>
      <c r="BK33" t="e">
        <f>AND('Male SR Individual Freestyle'!K73,"AAAAAD/2/T4=")</f>
        <v>#VALUE!</v>
      </c>
      <c r="BL33" t="e">
        <f>AND('Male SR Individual Freestyle'!L73,"AAAAAD/2/T8=")</f>
        <v>#VALUE!</v>
      </c>
      <c r="BM33" t="e">
        <f>AND('Male SR Individual Freestyle'!M73,"AAAAAD/2/UA=")</f>
        <v>#VALUE!</v>
      </c>
      <c r="BN33" t="e">
        <f>AND('Male SR Individual Freestyle'!G73,"AAAAAD/2/UE=")</f>
        <v>#VALUE!</v>
      </c>
      <c r="BO33" t="e">
        <f>AND('Male SR Individual Freestyle'!A80,"AAAAAD/2/UI=")</f>
        <v>#VALUE!</v>
      </c>
      <c r="BP33" t="e">
        <f>AND('Male SR Individual Freestyle'!B80,"AAAAAD/2/UM=")</f>
        <v>#VALUE!</v>
      </c>
      <c r="BQ33" t="e">
        <f>AND('Male SR Individual Freestyle'!C80,"AAAAAD/2/UQ=")</f>
        <v>#VALUE!</v>
      </c>
      <c r="BR33" t="e">
        <f>AND('Male SR Individual Freestyle'!D80,"AAAAAD/2/UU=")</f>
        <v>#VALUE!</v>
      </c>
      <c r="BS33" t="e">
        <f>AND('Male SR Individual Freestyle'!E80,"AAAAAD/2/UY=")</f>
        <v>#VALUE!</v>
      </c>
      <c r="BT33" t="e">
        <f>AND('Male SR Individual Freestyle'!F80,"AAAAAD/2/Uc=")</f>
        <v>#VALUE!</v>
      </c>
      <c r="BU33">
        <f>IF('Male SR Individual Freestyle'!74:74,"AAAAAD/2/Ug=",0)</f>
        <v>0</v>
      </c>
      <c r="BV33" t="e">
        <f>AND('Male SR Individual Freestyle'!H74,"AAAAAD/2/Uk=")</f>
        <v>#VALUE!</v>
      </c>
      <c r="BW33" t="e">
        <f>AND('Male SR Individual Freestyle'!I74,"AAAAAD/2/Uo=")</f>
        <v>#VALUE!</v>
      </c>
      <c r="BX33" t="e">
        <f>AND('Male SR Individual Freestyle'!J74,"AAAAAD/2/Us=")</f>
        <v>#VALUE!</v>
      </c>
      <c r="BY33" t="e">
        <f>AND('Male SR Individual Freestyle'!K74,"AAAAAD/2/Uw=")</f>
        <v>#VALUE!</v>
      </c>
      <c r="BZ33" t="e">
        <f>AND('Male SR Individual Freestyle'!L74,"AAAAAD/2/U0=")</f>
        <v>#VALUE!</v>
      </c>
      <c r="CA33" t="e">
        <f>AND('Male SR Individual Freestyle'!M74,"AAAAAD/2/U4=")</f>
        <v>#VALUE!</v>
      </c>
      <c r="CB33" t="e">
        <f>AND('Male SR Individual Freestyle'!G74,"AAAAAD/2/U8=")</f>
        <v>#VALUE!</v>
      </c>
      <c r="CC33" t="e">
        <f>AND('Male SR Individual Freestyle'!A81,"AAAAAD/2/VA=")</f>
        <v>#VALUE!</v>
      </c>
      <c r="CD33" t="e">
        <f>AND('Male SR Individual Freestyle'!B81,"AAAAAD/2/VE=")</f>
        <v>#VALUE!</v>
      </c>
      <c r="CE33" t="e">
        <f>AND('Male SR Individual Freestyle'!C81,"AAAAAD/2/VI=")</f>
        <v>#VALUE!</v>
      </c>
      <c r="CF33" t="e">
        <f>AND('Male SR Individual Freestyle'!D81,"AAAAAD/2/VM=")</f>
        <v>#VALUE!</v>
      </c>
      <c r="CG33" t="e">
        <f>AND('Male SR Individual Freestyle'!E81,"AAAAAD/2/VQ=")</f>
        <v>#VALUE!</v>
      </c>
      <c r="CH33" t="e">
        <f>AND('Male SR Individual Freestyle'!F81,"AAAAAD/2/VU=")</f>
        <v>#VALUE!</v>
      </c>
      <c r="CI33">
        <f>IF('Male SR Individual Freestyle'!75:75,"AAAAAD/2/VY=",0)</f>
        <v>0</v>
      </c>
      <c r="CJ33" t="e">
        <f>AND('Male SR Individual Freestyle'!H75,"AAAAAD/2/Vc=")</f>
        <v>#VALUE!</v>
      </c>
      <c r="CK33" t="e">
        <f>AND('Male SR Individual Freestyle'!I75,"AAAAAD/2/Vg=")</f>
        <v>#VALUE!</v>
      </c>
      <c r="CL33" t="e">
        <f>AND('Male SR Individual Freestyle'!J75,"AAAAAD/2/Vk=")</f>
        <v>#VALUE!</v>
      </c>
      <c r="CM33" t="e">
        <f>AND('Male SR Individual Freestyle'!K75,"AAAAAD/2/Vo=")</f>
        <v>#VALUE!</v>
      </c>
      <c r="CN33" t="e">
        <f>AND('Male SR Individual Freestyle'!L75,"AAAAAD/2/Vs=")</f>
        <v>#VALUE!</v>
      </c>
      <c r="CO33" t="e">
        <f>AND('Male SR Individual Freestyle'!M75,"AAAAAD/2/Vw=")</f>
        <v>#VALUE!</v>
      </c>
      <c r="CP33" t="e">
        <f>AND('Male SR Individual Freestyle'!G75,"AAAAAD/2/V0=")</f>
        <v>#VALUE!</v>
      </c>
      <c r="CQ33" t="e">
        <f>AND('Male SR Individual Freestyle'!A82,"AAAAAD/2/V4=")</f>
        <v>#VALUE!</v>
      </c>
      <c r="CR33" t="e">
        <f>AND('Male SR Individual Freestyle'!B82,"AAAAAD/2/V8=")</f>
        <v>#VALUE!</v>
      </c>
      <c r="CS33" t="e">
        <f>AND('Male SR Individual Freestyle'!C82,"AAAAAD/2/WA=")</f>
        <v>#VALUE!</v>
      </c>
      <c r="CT33" t="e">
        <f>AND('Male SR Individual Freestyle'!D82,"AAAAAD/2/WE=")</f>
        <v>#VALUE!</v>
      </c>
      <c r="CU33" t="e">
        <f>AND('Male SR Individual Freestyle'!E82,"AAAAAD/2/WI=")</f>
        <v>#VALUE!</v>
      </c>
      <c r="CV33" t="e">
        <f>AND('Male SR Individual Freestyle'!F82,"AAAAAD/2/WM=")</f>
        <v>#VALUE!</v>
      </c>
      <c r="CW33">
        <f>IF('Male SR Individual Freestyle'!76:76,"AAAAAD/2/WQ=",0)</f>
        <v>0</v>
      </c>
      <c r="CX33" t="e">
        <f>AND('Male SR Individual Freestyle'!H76,"AAAAAD/2/WU=")</f>
        <v>#VALUE!</v>
      </c>
      <c r="CY33" t="e">
        <f>AND('Male SR Individual Freestyle'!I76,"AAAAAD/2/WY=")</f>
        <v>#VALUE!</v>
      </c>
      <c r="CZ33" t="e">
        <f>AND('Male SR Individual Freestyle'!J76,"AAAAAD/2/Wc=")</f>
        <v>#VALUE!</v>
      </c>
      <c r="DA33" t="e">
        <f>AND('Male SR Individual Freestyle'!K76,"AAAAAD/2/Wg=")</f>
        <v>#VALUE!</v>
      </c>
      <c r="DB33" t="e">
        <f>AND('Male SR Individual Freestyle'!L76,"AAAAAD/2/Wk=")</f>
        <v>#VALUE!</v>
      </c>
      <c r="DC33" t="e">
        <f>AND('Male SR Individual Freestyle'!M76,"AAAAAD/2/Wo=")</f>
        <v>#VALUE!</v>
      </c>
      <c r="DD33" t="e">
        <f>AND('Male SR Individual Freestyle'!G76,"AAAAAD/2/Ws=")</f>
        <v>#VALUE!</v>
      </c>
      <c r="DE33" t="e">
        <f>AND('Male SR Individual Freestyle'!A83,"AAAAAD/2/Ww=")</f>
        <v>#VALUE!</v>
      </c>
      <c r="DF33" t="e">
        <f>AND('Male SR Individual Freestyle'!B83,"AAAAAD/2/W0=")</f>
        <v>#VALUE!</v>
      </c>
      <c r="DG33" t="e">
        <f>AND('Male SR Individual Freestyle'!C83,"AAAAAD/2/W4=")</f>
        <v>#VALUE!</v>
      </c>
      <c r="DH33" t="e">
        <f>AND('Male SR Individual Freestyle'!D83,"AAAAAD/2/W8=")</f>
        <v>#VALUE!</v>
      </c>
      <c r="DI33" t="e">
        <f>AND('Male SR Individual Freestyle'!E83,"AAAAAD/2/XA=")</f>
        <v>#VALUE!</v>
      </c>
      <c r="DJ33" t="e">
        <f>AND('Male SR Individual Freestyle'!F83,"AAAAAD/2/XE=")</f>
        <v>#VALUE!</v>
      </c>
      <c r="DK33">
        <f>IF('Male SR Individual Freestyle'!77:77,"AAAAAD/2/XI=",0)</f>
        <v>0</v>
      </c>
      <c r="DL33" t="e">
        <f>AND('Male SR Individual Freestyle'!H77,"AAAAAD/2/XM=")</f>
        <v>#VALUE!</v>
      </c>
      <c r="DM33" t="e">
        <f>AND('Male SR Individual Freestyle'!I77,"AAAAAD/2/XQ=")</f>
        <v>#VALUE!</v>
      </c>
      <c r="DN33" t="e">
        <f>AND('Male SR Individual Freestyle'!J77,"AAAAAD/2/XU=")</f>
        <v>#VALUE!</v>
      </c>
      <c r="DO33" t="e">
        <f>AND('Male SR Individual Freestyle'!K77,"AAAAAD/2/XY=")</f>
        <v>#VALUE!</v>
      </c>
      <c r="DP33" t="e">
        <f>AND('Male SR Individual Freestyle'!L77,"AAAAAD/2/Xc=")</f>
        <v>#VALUE!</v>
      </c>
      <c r="DQ33" t="e">
        <f>AND('Male SR Individual Freestyle'!M77,"AAAAAD/2/Xg=")</f>
        <v>#VALUE!</v>
      </c>
      <c r="DR33" t="e">
        <f>AND('Male SR Individual Freestyle'!G77,"AAAAAD/2/Xk=")</f>
        <v>#VALUE!</v>
      </c>
      <c r="DS33" t="e">
        <f>AND('Male SR Individual Freestyle'!A84,"AAAAAD/2/Xo=")</f>
        <v>#VALUE!</v>
      </c>
      <c r="DT33" t="e">
        <f>AND('Male SR Individual Freestyle'!B84,"AAAAAD/2/Xs=")</f>
        <v>#VALUE!</v>
      </c>
      <c r="DU33" t="e">
        <f>AND('Male SR Individual Freestyle'!C84,"AAAAAD/2/Xw=")</f>
        <v>#VALUE!</v>
      </c>
      <c r="DV33" t="e">
        <f>AND('Male SR Individual Freestyle'!D84,"AAAAAD/2/X0=")</f>
        <v>#VALUE!</v>
      </c>
      <c r="DW33" t="e">
        <f>AND('Male SR Individual Freestyle'!E84,"AAAAAD/2/X4=")</f>
        <v>#VALUE!</v>
      </c>
      <c r="DX33" t="e">
        <f>AND('Male SR Individual Freestyle'!F84,"AAAAAD/2/X8=")</f>
        <v>#VALUE!</v>
      </c>
      <c r="DY33">
        <f>IF('Male SR Individual Freestyle'!78:78,"AAAAAD/2/YA=",0)</f>
        <v>0</v>
      </c>
      <c r="DZ33" t="e">
        <f>AND('Male SR Individual Freestyle'!H78,"AAAAAD/2/YE=")</f>
        <v>#VALUE!</v>
      </c>
      <c r="EA33" t="e">
        <f>AND('Male SR Individual Freestyle'!I78,"AAAAAD/2/YI=")</f>
        <v>#VALUE!</v>
      </c>
      <c r="EB33" t="e">
        <f>AND('Male SR Individual Freestyle'!J78,"AAAAAD/2/YM=")</f>
        <v>#VALUE!</v>
      </c>
      <c r="EC33" t="e">
        <f>AND('Male SR Individual Freestyle'!K78,"AAAAAD/2/YQ=")</f>
        <v>#VALUE!</v>
      </c>
      <c r="ED33" t="e">
        <f>AND('Male SR Individual Freestyle'!L78,"AAAAAD/2/YU=")</f>
        <v>#VALUE!</v>
      </c>
      <c r="EE33" t="e">
        <f>AND('Male SR Individual Freestyle'!M78,"AAAAAD/2/YY=")</f>
        <v>#VALUE!</v>
      </c>
      <c r="EF33" t="e">
        <f>AND('Male SR Individual Freestyle'!G78,"AAAAAD/2/Yc=")</f>
        <v>#VALUE!</v>
      </c>
      <c r="EG33" t="e">
        <f>AND('Male SR Individual Freestyle'!A85,"AAAAAD/2/Yg=")</f>
        <v>#VALUE!</v>
      </c>
      <c r="EH33" t="e">
        <f>AND('Male SR Individual Freestyle'!B85,"AAAAAD/2/Yk=")</f>
        <v>#VALUE!</v>
      </c>
      <c r="EI33" t="e">
        <f>AND('Male SR Individual Freestyle'!C85,"AAAAAD/2/Yo=")</f>
        <v>#VALUE!</v>
      </c>
      <c r="EJ33" t="e">
        <f>AND('Male SR Individual Freestyle'!D85,"AAAAAD/2/Ys=")</f>
        <v>#VALUE!</v>
      </c>
      <c r="EK33" t="e">
        <f>AND('Male SR Individual Freestyle'!E85,"AAAAAD/2/Yw=")</f>
        <v>#VALUE!</v>
      </c>
      <c r="EL33" t="e">
        <f>AND('Male SR Individual Freestyle'!F85,"AAAAAD/2/Y0=")</f>
        <v>#VALUE!</v>
      </c>
      <c r="EM33" t="str">
        <f>IF('Male SR Individual Freestyle'!A:A,"AAAAAD/2/Y4=",0)</f>
        <v>AAAAAD/2/Y4=</v>
      </c>
      <c r="EN33" t="e">
        <f>IF('Male SR Individual Freestyle'!B:B,"AAAAAD/2/Y8=",0)</f>
        <v>#VALUE!</v>
      </c>
      <c r="EO33" t="e">
        <f>IF('Male SR Individual Freestyle'!C:C,"AAAAAD/2/ZA=",0)</f>
        <v>#VALUE!</v>
      </c>
      <c r="EP33">
        <f>IF('Male SR Individual Freestyle'!D:D,"AAAAAD/2/ZE=",0)</f>
        <v>0</v>
      </c>
      <c r="EQ33" t="e">
        <f>IF('Male SR Individual Freestyle'!E:E,"AAAAAD/2/ZI=",0)</f>
        <v>#VALUE!</v>
      </c>
      <c r="ER33" t="e">
        <f>IF('Male SR Individual Freestyle'!F:F,"AAAAAD/2/ZM=",0)</f>
        <v>#VALUE!</v>
      </c>
      <c r="ES33">
        <f>IF('Male SR Individual Freestyle'!G:G,"AAAAAD/2/ZQ=",0)</f>
        <v>0</v>
      </c>
      <c r="ET33" t="str">
        <f>IF('Male SR Individual Freestyle'!H:H,"AAAAAD/2/ZU=",0)</f>
        <v>AAAAAD/2/ZU=</v>
      </c>
      <c r="EU33" t="e">
        <f>IF('Male SR Individual Freestyle'!I:I,"AAAAAD/2/ZY=",0)</f>
        <v>#VALUE!</v>
      </c>
      <c r="EV33" t="e">
        <f>IF('Male SR Individual Freestyle'!J:J,"AAAAAD/2/Zc=",0)</f>
        <v>#VALUE!</v>
      </c>
      <c r="EW33">
        <f>IF('Male SR Individual Freestyle'!K:K,"AAAAAD/2/Zg=",0)</f>
        <v>0</v>
      </c>
      <c r="EX33" t="e">
        <f>IF('Male SR Individual Freestyle'!L:L,"AAAAAD/2/Zk=",0)</f>
        <v>#VALUE!</v>
      </c>
      <c r="EY33" t="e">
        <f>IF('Male SR Individual Freestyle'!M:M,"AAAAAD/2/Zo=",0)</f>
        <v>#VALUE!</v>
      </c>
      <c r="EZ33">
        <f>IF('Female SR Individual Freestyle'!1:1,"AAAAAD/2/Zs=",0)</f>
        <v>0</v>
      </c>
      <c r="FA33" t="e">
        <f>AND('Female SR Individual Freestyle'!A1,"AAAAAD/2/Zw=")</f>
        <v>#VALUE!</v>
      </c>
      <c r="FB33" t="e">
        <f>AND('Female SR Individual Freestyle'!B1,"AAAAAD/2/Z0=")</f>
        <v>#VALUE!</v>
      </c>
      <c r="FC33" t="e">
        <f>AND('Female SR Individual Freestyle'!C1,"AAAAAD/2/Z4=")</f>
        <v>#VALUE!</v>
      </c>
      <c r="FD33" t="e">
        <f>AND('Female SR Individual Freestyle'!D1,"AAAAAD/2/Z8=")</f>
        <v>#VALUE!</v>
      </c>
      <c r="FE33" t="e">
        <f>AND('Female SR Individual Freestyle'!E1,"AAAAAD/2/aA=")</f>
        <v>#VALUE!</v>
      </c>
      <c r="FF33" t="e">
        <f>AND('Female SR Individual Freestyle'!F1,"AAAAAD/2/aE=")</f>
        <v>#VALUE!</v>
      </c>
      <c r="FG33" t="e">
        <f>AND('Female SR Individual Freestyle'!G1,"AAAAAD/2/aI=")</f>
        <v>#VALUE!</v>
      </c>
      <c r="FH33" t="e">
        <f>AND('Female SR Individual Freestyle'!H1,"AAAAAD/2/aM=")</f>
        <v>#VALUE!</v>
      </c>
      <c r="FI33" t="e">
        <f>AND('Female SR Individual Freestyle'!I1,"AAAAAD/2/aQ=")</f>
        <v>#VALUE!</v>
      </c>
      <c r="FJ33" t="e">
        <f>AND('Female SR Individual Freestyle'!J1,"AAAAAD/2/aU=")</f>
        <v>#VALUE!</v>
      </c>
      <c r="FK33" t="e">
        <f>AND('Female SR Individual Freestyle'!K1,"AAAAAD/2/aY=")</f>
        <v>#VALUE!</v>
      </c>
      <c r="FL33" t="e">
        <f>AND('Female SR Individual Freestyle'!L1,"AAAAAD/2/ac=")</f>
        <v>#VALUE!</v>
      </c>
      <c r="FM33" t="e">
        <f>AND('Female SR Individual Freestyle'!M1,"AAAAAD/2/ag=")</f>
        <v>#VALUE!</v>
      </c>
      <c r="FN33">
        <f>IF('Female SR Individual Freestyle'!2:2,"AAAAAD/2/ak=",0)</f>
        <v>0</v>
      </c>
      <c r="FO33" t="e">
        <f>AND('Female SR Individual Freestyle'!A2,"AAAAAD/2/ao=")</f>
        <v>#VALUE!</v>
      </c>
      <c r="FP33" t="e">
        <f>AND('Female SR Individual Freestyle'!B2,"AAAAAD/2/as=")</f>
        <v>#VALUE!</v>
      </c>
      <c r="FQ33" t="e">
        <f>AND('Female SR Individual Freestyle'!C2,"AAAAAD/2/aw=")</f>
        <v>#VALUE!</v>
      </c>
      <c r="FR33" t="e">
        <f>AND('Female SR Individual Freestyle'!D2,"AAAAAD/2/a0=")</f>
        <v>#VALUE!</v>
      </c>
      <c r="FS33" t="e">
        <f>AND('Female SR Individual Freestyle'!E2,"AAAAAD/2/a4=")</f>
        <v>#VALUE!</v>
      </c>
      <c r="FT33" t="e">
        <f>AND('Female SR Individual Freestyle'!F2,"AAAAAD/2/a8=")</f>
        <v>#VALUE!</v>
      </c>
      <c r="FU33" t="e">
        <f>AND('Female SR Individual Freestyle'!G2,"AAAAAD/2/bA=")</f>
        <v>#VALUE!</v>
      </c>
      <c r="FV33" t="e">
        <f>AND('Female SR Individual Freestyle'!H2,"AAAAAD/2/bE=")</f>
        <v>#VALUE!</v>
      </c>
      <c r="FW33" t="e">
        <f>AND('Female SR Individual Freestyle'!I2,"AAAAAD/2/bI=")</f>
        <v>#VALUE!</v>
      </c>
      <c r="FX33" t="e">
        <f>AND('Female SR Individual Freestyle'!J2,"AAAAAD/2/bM=")</f>
        <v>#VALUE!</v>
      </c>
      <c r="FY33" t="e">
        <f>AND('Female SR Individual Freestyle'!K2,"AAAAAD/2/bQ=")</f>
        <v>#VALUE!</v>
      </c>
      <c r="FZ33" t="e">
        <f>AND('Female SR Individual Freestyle'!L2,"AAAAAD/2/bU=")</f>
        <v>#VALUE!</v>
      </c>
      <c r="GA33" t="e">
        <f>AND('Female SR Individual Freestyle'!M2,"AAAAAD/2/bY=")</f>
        <v>#VALUE!</v>
      </c>
      <c r="GB33">
        <f>IF('Female SR Individual Freestyle'!3:3,"AAAAAD/2/bc=",0)</f>
        <v>0</v>
      </c>
      <c r="GC33" t="e">
        <f>AND('Female SR Individual Freestyle'!A3,"AAAAAD/2/bg=")</f>
        <v>#VALUE!</v>
      </c>
      <c r="GD33" t="e">
        <f>AND('Female SR Individual Freestyle'!B3,"AAAAAD/2/bk=")</f>
        <v>#VALUE!</v>
      </c>
      <c r="GE33" t="e">
        <f>AND('Female SR Individual Freestyle'!C3,"AAAAAD/2/bo=")</f>
        <v>#VALUE!</v>
      </c>
      <c r="GF33" t="e">
        <f>AND('Female SR Individual Freestyle'!D3,"AAAAAD/2/bs=")</f>
        <v>#VALUE!</v>
      </c>
      <c r="GG33" t="e">
        <f>AND('Female SR Individual Freestyle'!E3,"AAAAAD/2/bw=")</f>
        <v>#VALUE!</v>
      </c>
      <c r="GH33" t="e">
        <f>AND('Female SR Individual Freestyle'!F3,"AAAAAD/2/b0=")</f>
        <v>#VALUE!</v>
      </c>
      <c r="GI33" t="e">
        <f>AND('Female SR Individual Freestyle'!G3,"AAAAAD/2/b4=")</f>
        <v>#VALUE!</v>
      </c>
      <c r="GJ33" t="e">
        <f>AND('Female SR Individual Freestyle'!H3,"AAAAAD/2/b8=")</f>
        <v>#VALUE!</v>
      </c>
      <c r="GK33" t="e">
        <f>AND('Female SR Individual Freestyle'!I3,"AAAAAD/2/cA=")</f>
        <v>#VALUE!</v>
      </c>
      <c r="GL33" t="e">
        <f>AND('Female SR Individual Freestyle'!J3,"AAAAAD/2/cE=")</f>
        <v>#VALUE!</v>
      </c>
      <c r="GM33" t="e">
        <f>AND('Female SR Individual Freestyle'!K3,"AAAAAD/2/cI=")</f>
        <v>#VALUE!</v>
      </c>
      <c r="GN33" t="e">
        <f>AND('Female SR Individual Freestyle'!L3,"AAAAAD/2/cM=")</f>
        <v>#VALUE!</v>
      </c>
      <c r="GO33" t="e">
        <f>AND('Female SR Individual Freestyle'!M3,"AAAAAD/2/cQ=")</f>
        <v>#VALUE!</v>
      </c>
      <c r="GP33">
        <f>IF('Female SR Individual Freestyle'!4:4,"AAAAAD/2/cU=",0)</f>
        <v>0</v>
      </c>
      <c r="GQ33" t="e">
        <f>AND('Female SR Individual Freestyle'!A4,"AAAAAD/2/cY=")</f>
        <v>#VALUE!</v>
      </c>
      <c r="GR33" t="e">
        <f>AND('Female SR Individual Freestyle'!B4,"AAAAAD/2/cc=")</f>
        <v>#VALUE!</v>
      </c>
      <c r="GS33" t="e">
        <f>AND('Female SR Individual Freestyle'!C4,"AAAAAD/2/cg=")</f>
        <v>#VALUE!</v>
      </c>
      <c r="GT33" t="e">
        <f>AND('Female SR Individual Freestyle'!D4,"AAAAAD/2/ck=")</f>
        <v>#VALUE!</v>
      </c>
      <c r="GU33" t="e">
        <f>AND('Female SR Individual Freestyle'!E4,"AAAAAD/2/co=")</f>
        <v>#VALUE!</v>
      </c>
      <c r="GV33" t="e">
        <f>AND('Female SR Individual Freestyle'!F4,"AAAAAD/2/cs=")</f>
        <v>#VALUE!</v>
      </c>
      <c r="GW33" t="e">
        <f>AND('Female SR Individual Freestyle'!G4,"AAAAAD/2/cw=")</f>
        <v>#VALUE!</v>
      </c>
      <c r="GX33" t="e">
        <f>AND('Female SR Individual Freestyle'!H4,"AAAAAD/2/c0=")</f>
        <v>#VALUE!</v>
      </c>
      <c r="GY33" t="e">
        <f>AND('Female SR Individual Freestyle'!I4,"AAAAAD/2/c4=")</f>
        <v>#VALUE!</v>
      </c>
      <c r="GZ33" t="e">
        <f>AND('Female SR Individual Freestyle'!J4,"AAAAAD/2/c8=")</f>
        <v>#VALUE!</v>
      </c>
      <c r="HA33" t="e">
        <f>AND('Female SR Individual Freestyle'!K4,"AAAAAD/2/dA=")</f>
        <v>#VALUE!</v>
      </c>
      <c r="HB33" t="e">
        <f>AND('Female SR Individual Freestyle'!L4,"AAAAAD/2/dE=")</f>
        <v>#VALUE!</v>
      </c>
      <c r="HC33" t="e">
        <f>AND('Female SR Individual Freestyle'!M4,"AAAAAD/2/dI=")</f>
        <v>#VALUE!</v>
      </c>
      <c r="HD33">
        <f>IF('Female SR Individual Freestyle'!5:5,"AAAAAD/2/dM=",0)</f>
        <v>0</v>
      </c>
      <c r="HE33" t="e">
        <f>AND('Female SR Individual Freestyle'!A5,"AAAAAD/2/dQ=")</f>
        <v>#VALUE!</v>
      </c>
      <c r="HF33" t="e">
        <f>AND('Female SR Individual Freestyle'!B5,"AAAAAD/2/dU=")</f>
        <v>#VALUE!</v>
      </c>
      <c r="HG33" t="e">
        <f>AND('Female SR Individual Freestyle'!C5,"AAAAAD/2/dY=")</f>
        <v>#VALUE!</v>
      </c>
      <c r="HH33" t="e">
        <f>AND('Female SR Individual Freestyle'!D5,"AAAAAD/2/dc=")</f>
        <v>#VALUE!</v>
      </c>
      <c r="HI33" t="e">
        <f>AND('Female SR Individual Freestyle'!E5,"AAAAAD/2/dg=")</f>
        <v>#VALUE!</v>
      </c>
      <c r="HJ33" t="e">
        <f>AND('Female SR Individual Freestyle'!F5,"AAAAAD/2/dk=")</f>
        <v>#VALUE!</v>
      </c>
      <c r="HK33" t="e">
        <f>AND('Female SR Individual Freestyle'!G5,"AAAAAD/2/do=")</f>
        <v>#VALUE!</v>
      </c>
      <c r="HL33" t="e">
        <f>AND('Female SR Individual Freestyle'!H5,"AAAAAD/2/ds=")</f>
        <v>#VALUE!</v>
      </c>
      <c r="HM33" t="e">
        <f>AND('Female SR Individual Freestyle'!I5,"AAAAAD/2/dw=")</f>
        <v>#VALUE!</v>
      </c>
      <c r="HN33" t="e">
        <f>AND('Female SR Individual Freestyle'!J5,"AAAAAD/2/d0=")</f>
        <v>#VALUE!</v>
      </c>
      <c r="HO33" t="e">
        <f>AND('Female SR Individual Freestyle'!K5,"AAAAAD/2/d4=")</f>
        <v>#VALUE!</v>
      </c>
      <c r="HP33" t="e">
        <f>AND('Female SR Individual Freestyle'!L5,"AAAAAD/2/d8=")</f>
        <v>#VALUE!</v>
      </c>
      <c r="HQ33" t="e">
        <f>AND('Female SR Individual Freestyle'!M5,"AAAAAD/2/eA=")</f>
        <v>#VALUE!</v>
      </c>
      <c r="HR33">
        <f>IF('Female SR Individual Freestyle'!6:6,"AAAAAD/2/eE=",0)</f>
        <v>0</v>
      </c>
      <c r="HS33" t="e">
        <f>AND('Female SR Individual Freestyle'!A6,"AAAAAD/2/eI=")</f>
        <v>#VALUE!</v>
      </c>
      <c r="HT33" t="e">
        <f>AND('Female SR Individual Freestyle'!B6,"AAAAAD/2/eM=")</f>
        <v>#VALUE!</v>
      </c>
      <c r="HU33" t="e">
        <f>AND('Female SR Individual Freestyle'!C6,"AAAAAD/2/eQ=")</f>
        <v>#VALUE!</v>
      </c>
      <c r="HV33" t="e">
        <f>AND('Female SR Individual Freestyle'!D6,"AAAAAD/2/eU=")</f>
        <v>#VALUE!</v>
      </c>
      <c r="HW33" t="e">
        <f>AND('Female SR Individual Freestyle'!E6,"AAAAAD/2/eY=")</f>
        <v>#VALUE!</v>
      </c>
      <c r="HX33" t="e">
        <f>AND('Female SR Individual Freestyle'!F6,"AAAAAD/2/ec=")</f>
        <v>#VALUE!</v>
      </c>
      <c r="HY33" t="e">
        <f>AND('Female SR Individual Freestyle'!G6,"AAAAAD/2/eg=")</f>
        <v>#VALUE!</v>
      </c>
      <c r="HZ33" t="e">
        <f>AND('Female SR Individual Freestyle'!H6,"AAAAAD/2/ek=")</f>
        <v>#VALUE!</v>
      </c>
      <c r="IA33" t="e">
        <f>AND('Female SR Individual Freestyle'!I6,"AAAAAD/2/eo=")</f>
        <v>#VALUE!</v>
      </c>
      <c r="IB33" t="e">
        <f>AND('Female SR Individual Freestyle'!J6,"AAAAAD/2/es=")</f>
        <v>#VALUE!</v>
      </c>
      <c r="IC33" t="e">
        <f>AND('Female SR Individual Freestyle'!K6,"AAAAAD/2/ew=")</f>
        <v>#VALUE!</v>
      </c>
      <c r="ID33" t="e">
        <f>AND('Female SR Individual Freestyle'!L6,"AAAAAD/2/e0=")</f>
        <v>#VALUE!</v>
      </c>
      <c r="IE33" t="e">
        <f>AND('Female SR Individual Freestyle'!M6,"AAAAAD/2/e4=")</f>
        <v>#VALUE!</v>
      </c>
      <c r="IF33">
        <f>IF('Female SR Individual Freestyle'!7:7,"AAAAAD/2/e8=",0)</f>
        <v>0</v>
      </c>
      <c r="IG33" t="e">
        <f>AND('Female SR Individual Freestyle'!A7,"AAAAAD/2/fA=")</f>
        <v>#VALUE!</v>
      </c>
      <c r="IH33" t="e">
        <f>AND('Female SR Individual Freestyle'!B7,"AAAAAD/2/fE=")</f>
        <v>#VALUE!</v>
      </c>
      <c r="II33" t="e">
        <f>AND('Female SR Individual Freestyle'!C7,"AAAAAD/2/fI=")</f>
        <v>#VALUE!</v>
      </c>
      <c r="IJ33" t="e">
        <f>AND('Female SR Individual Freestyle'!D7,"AAAAAD/2/fM=")</f>
        <v>#VALUE!</v>
      </c>
      <c r="IK33" t="e">
        <f>AND('Female SR Individual Freestyle'!E7,"AAAAAD/2/fQ=")</f>
        <v>#VALUE!</v>
      </c>
      <c r="IL33" t="e">
        <f>AND('Female SR Individual Freestyle'!F7,"AAAAAD/2/fU=")</f>
        <v>#VALUE!</v>
      </c>
      <c r="IM33" t="e">
        <f>AND('Female SR Individual Freestyle'!G7,"AAAAAD/2/fY=")</f>
        <v>#VALUE!</v>
      </c>
      <c r="IN33" t="e">
        <f>AND('Female SR Individual Freestyle'!H7,"AAAAAD/2/fc=")</f>
        <v>#VALUE!</v>
      </c>
      <c r="IO33" t="e">
        <f>AND('Female SR Individual Freestyle'!I7,"AAAAAD/2/fg=")</f>
        <v>#VALUE!</v>
      </c>
      <c r="IP33" t="e">
        <f>AND('Female SR Individual Freestyle'!J7,"AAAAAD/2/fk=")</f>
        <v>#VALUE!</v>
      </c>
      <c r="IQ33" t="e">
        <f>AND('Female SR Individual Freestyle'!K7,"AAAAAD/2/fo=")</f>
        <v>#VALUE!</v>
      </c>
      <c r="IR33" t="e">
        <f>AND('Female SR Individual Freestyle'!L7,"AAAAAD/2/fs=")</f>
        <v>#VALUE!</v>
      </c>
      <c r="IS33" t="e">
        <f>AND('Female SR Individual Freestyle'!M7,"AAAAAD/2/fw=")</f>
        <v>#VALUE!</v>
      </c>
      <c r="IT33">
        <f>IF('Female SR Individual Freestyle'!8:8,"AAAAAD/2/f0=",0)</f>
        <v>0</v>
      </c>
      <c r="IU33" t="e">
        <f>AND('Female SR Individual Freestyle'!A8,"AAAAAD/2/f4=")</f>
        <v>#VALUE!</v>
      </c>
      <c r="IV33" t="e">
        <f>AND('Female SR Individual Freestyle'!B8,"AAAAAD/2/f8=")</f>
        <v>#VALUE!</v>
      </c>
    </row>
    <row r="34" spans="1:256" x14ac:dyDescent="0.25">
      <c r="A34" t="e">
        <f>AND('Female SR Individual Freestyle'!C8,"AAAAAEisOwA=")</f>
        <v>#VALUE!</v>
      </c>
      <c r="B34" t="e">
        <f>AND('Female SR Individual Freestyle'!D8,"AAAAAEisOwE=")</f>
        <v>#VALUE!</v>
      </c>
      <c r="C34" t="e">
        <f>AND('Female SR Individual Freestyle'!E8,"AAAAAEisOwI=")</f>
        <v>#VALUE!</v>
      </c>
      <c r="D34" t="e">
        <f>AND('Female SR Individual Freestyle'!F8,"AAAAAEisOwM=")</f>
        <v>#VALUE!</v>
      </c>
      <c r="E34" t="e">
        <f>AND('Female SR Individual Freestyle'!G8,"AAAAAEisOwQ=")</f>
        <v>#VALUE!</v>
      </c>
      <c r="F34" t="e">
        <f>AND('Female SR Individual Freestyle'!H8,"AAAAAEisOwU=")</f>
        <v>#VALUE!</v>
      </c>
      <c r="G34" t="e">
        <f>AND('Female SR Individual Freestyle'!I8,"AAAAAEisOwY=")</f>
        <v>#VALUE!</v>
      </c>
      <c r="H34" t="e">
        <f>AND('Female SR Individual Freestyle'!J8,"AAAAAEisOwc=")</f>
        <v>#VALUE!</v>
      </c>
      <c r="I34" t="e">
        <f>AND('Female SR Individual Freestyle'!K8,"AAAAAEisOwg=")</f>
        <v>#VALUE!</v>
      </c>
      <c r="J34" t="e">
        <f>AND('Female SR Individual Freestyle'!L8,"AAAAAEisOwk=")</f>
        <v>#VALUE!</v>
      </c>
      <c r="K34" t="e">
        <f>AND('Female SR Individual Freestyle'!M8,"AAAAAEisOwo=")</f>
        <v>#VALUE!</v>
      </c>
      <c r="L34" t="e">
        <f>IF('Female SR Individual Freestyle'!9:9,"AAAAAEisOws=",0)</f>
        <v>#VALUE!</v>
      </c>
      <c r="M34" t="e">
        <f>AND('Female SR Individual Freestyle'!A9,"AAAAAEisOww=")</f>
        <v>#VALUE!</v>
      </c>
      <c r="N34" t="e">
        <f>AND('Female SR Individual Freestyle'!B9,"AAAAAEisOw0=")</f>
        <v>#VALUE!</v>
      </c>
      <c r="O34" t="e">
        <f>AND('Female SR Individual Freestyle'!C9,"AAAAAEisOw4=")</f>
        <v>#VALUE!</v>
      </c>
      <c r="P34" t="e">
        <f>AND('Female SR Individual Freestyle'!D9,"AAAAAEisOw8=")</f>
        <v>#VALUE!</v>
      </c>
      <c r="Q34" t="e">
        <f>AND('Female SR Individual Freestyle'!E9,"AAAAAEisOxA=")</f>
        <v>#VALUE!</v>
      </c>
      <c r="R34" t="e">
        <f>AND('Female SR Individual Freestyle'!F9,"AAAAAEisOxE=")</f>
        <v>#VALUE!</v>
      </c>
      <c r="S34" t="e">
        <f>AND('Female SR Individual Freestyle'!G9,"AAAAAEisOxI=")</f>
        <v>#VALUE!</v>
      </c>
      <c r="T34" t="e">
        <f>AND('Female SR Individual Freestyle'!H9,"AAAAAEisOxM=")</f>
        <v>#VALUE!</v>
      </c>
      <c r="U34" t="e">
        <f>AND('Female SR Individual Freestyle'!I9,"AAAAAEisOxQ=")</f>
        <v>#VALUE!</v>
      </c>
      <c r="V34" t="e">
        <f>AND('Female SR Individual Freestyle'!J9,"AAAAAEisOxU=")</f>
        <v>#VALUE!</v>
      </c>
      <c r="W34" t="e">
        <f>AND('Female SR Individual Freestyle'!K9,"AAAAAEisOxY=")</f>
        <v>#VALUE!</v>
      </c>
      <c r="X34" t="e">
        <f>AND('Female SR Individual Freestyle'!L9,"AAAAAEisOxc=")</f>
        <v>#VALUE!</v>
      </c>
      <c r="Y34" t="e">
        <f>AND('Female SR Individual Freestyle'!M9,"AAAAAEisOxg=")</f>
        <v>#VALUE!</v>
      </c>
      <c r="Z34">
        <f>IF('Female SR Individual Freestyle'!10:10,"AAAAAEisOxk=",0)</f>
        <v>0</v>
      </c>
      <c r="AA34" t="e">
        <f>AND('Female SR Individual Freestyle'!A10,"AAAAAEisOxo=")</f>
        <v>#VALUE!</v>
      </c>
      <c r="AB34" t="e">
        <f>AND('Female SR Individual Freestyle'!B10,"AAAAAEisOxs=")</f>
        <v>#VALUE!</v>
      </c>
      <c r="AC34" t="e">
        <f>AND('Female SR Individual Freestyle'!C10,"AAAAAEisOxw=")</f>
        <v>#VALUE!</v>
      </c>
      <c r="AD34" t="e">
        <f>AND('Female SR Individual Freestyle'!D10,"AAAAAEisOx0=")</f>
        <v>#VALUE!</v>
      </c>
      <c r="AE34" t="e">
        <f>AND('Female SR Individual Freestyle'!E10,"AAAAAEisOx4=")</f>
        <v>#VALUE!</v>
      </c>
      <c r="AF34" t="e">
        <f>AND('Female SR Individual Freestyle'!F10,"AAAAAEisOx8=")</f>
        <v>#VALUE!</v>
      </c>
      <c r="AG34" t="e">
        <f>AND('Female SR Individual Freestyle'!G10,"AAAAAEisOyA=")</f>
        <v>#VALUE!</v>
      </c>
      <c r="AH34" t="e">
        <f>AND('Female SR Individual Freestyle'!H10,"AAAAAEisOyE=")</f>
        <v>#VALUE!</v>
      </c>
      <c r="AI34" t="e">
        <f>AND('Female SR Individual Freestyle'!I10,"AAAAAEisOyI=")</f>
        <v>#VALUE!</v>
      </c>
      <c r="AJ34" t="e">
        <f>AND('Female SR Individual Freestyle'!J10,"AAAAAEisOyM=")</f>
        <v>#VALUE!</v>
      </c>
      <c r="AK34" t="e">
        <f>AND('Female SR Individual Freestyle'!K10,"AAAAAEisOyQ=")</f>
        <v>#VALUE!</v>
      </c>
      <c r="AL34" t="e">
        <f>AND('Female SR Individual Freestyle'!L10,"AAAAAEisOyU=")</f>
        <v>#VALUE!</v>
      </c>
      <c r="AM34" t="e">
        <f>AND('Female SR Individual Freestyle'!M10,"AAAAAEisOyY=")</f>
        <v>#VALUE!</v>
      </c>
      <c r="AN34">
        <f>IF('Female SR Individual Freestyle'!11:11,"AAAAAEisOyc=",0)</f>
        <v>0</v>
      </c>
      <c r="AO34" t="e">
        <f>AND('Female SR Individual Freestyle'!A11,"AAAAAEisOyg=")</f>
        <v>#VALUE!</v>
      </c>
      <c r="AP34" t="e">
        <f>AND('Female SR Individual Freestyle'!B11,"AAAAAEisOyk=")</f>
        <v>#VALUE!</v>
      </c>
      <c r="AQ34" t="e">
        <f>AND('Female SR Individual Freestyle'!C11,"AAAAAEisOyo=")</f>
        <v>#VALUE!</v>
      </c>
      <c r="AR34" t="e">
        <f>AND('Female SR Individual Freestyle'!D11,"AAAAAEisOys=")</f>
        <v>#VALUE!</v>
      </c>
      <c r="AS34" t="e">
        <f>AND('Female SR Individual Freestyle'!E11,"AAAAAEisOyw=")</f>
        <v>#VALUE!</v>
      </c>
      <c r="AT34" t="e">
        <f>AND('Female SR Individual Freestyle'!F11,"AAAAAEisOy0=")</f>
        <v>#VALUE!</v>
      </c>
      <c r="AU34" t="e">
        <f>AND('Female SR Individual Freestyle'!G11,"AAAAAEisOy4=")</f>
        <v>#VALUE!</v>
      </c>
      <c r="AV34" t="e">
        <f>AND('Female SR Individual Freestyle'!H11,"AAAAAEisOy8=")</f>
        <v>#VALUE!</v>
      </c>
      <c r="AW34" t="e">
        <f>AND('Female SR Individual Freestyle'!I11,"AAAAAEisOzA=")</f>
        <v>#VALUE!</v>
      </c>
      <c r="AX34" t="e">
        <f>AND('Female SR Individual Freestyle'!J11,"AAAAAEisOzE=")</f>
        <v>#VALUE!</v>
      </c>
      <c r="AY34" t="e">
        <f>AND('Female SR Individual Freestyle'!K11,"AAAAAEisOzI=")</f>
        <v>#VALUE!</v>
      </c>
      <c r="AZ34" t="e">
        <f>AND('Female SR Individual Freestyle'!L11,"AAAAAEisOzM=")</f>
        <v>#VALUE!</v>
      </c>
      <c r="BA34" t="e">
        <f>AND('Female SR Individual Freestyle'!M11,"AAAAAEisOzQ=")</f>
        <v>#VALUE!</v>
      </c>
      <c r="BB34">
        <f>IF('Female SR Individual Freestyle'!12:12,"AAAAAEisOzU=",0)</f>
        <v>0</v>
      </c>
      <c r="BC34" t="e">
        <f>AND('Female SR Individual Freestyle'!A12,"AAAAAEisOzY=")</f>
        <v>#VALUE!</v>
      </c>
      <c r="BD34" t="e">
        <f>AND('Female SR Individual Freestyle'!B12,"AAAAAEisOzc=")</f>
        <v>#VALUE!</v>
      </c>
      <c r="BE34" t="e">
        <f>AND('Female SR Individual Freestyle'!C12,"AAAAAEisOzg=")</f>
        <v>#VALUE!</v>
      </c>
      <c r="BF34" t="e">
        <f>AND('Female SR Individual Freestyle'!D12,"AAAAAEisOzk=")</f>
        <v>#VALUE!</v>
      </c>
      <c r="BG34" t="e">
        <f>AND('Female SR Individual Freestyle'!E12,"AAAAAEisOzo=")</f>
        <v>#VALUE!</v>
      </c>
      <c r="BH34" t="e">
        <f>AND('Female SR Individual Freestyle'!F12,"AAAAAEisOzs=")</f>
        <v>#VALUE!</v>
      </c>
      <c r="BI34" t="e">
        <f>AND('Female SR Individual Freestyle'!G12,"AAAAAEisOzw=")</f>
        <v>#VALUE!</v>
      </c>
      <c r="BJ34" t="e">
        <f>AND('Female SR Individual Freestyle'!H12,"AAAAAEisOz0=")</f>
        <v>#VALUE!</v>
      </c>
      <c r="BK34" t="e">
        <f>AND('Female SR Individual Freestyle'!I12,"AAAAAEisOz4=")</f>
        <v>#VALUE!</v>
      </c>
      <c r="BL34" t="e">
        <f>AND('Female SR Individual Freestyle'!J12,"AAAAAEisOz8=")</f>
        <v>#VALUE!</v>
      </c>
      <c r="BM34" t="e">
        <f>AND('Female SR Individual Freestyle'!K12,"AAAAAEisO0A=")</f>
        <v>#VALUE!</v>
      </c>
      <c r="BN34" t="e">
        <f>AND('Female SR Individual Freestyle'!L12,"AAAAAEisO0E=")</f>
        <v>#VALUE!</v>
      </c>
      <c r="BO34" t="e">
        <f>AND('Female SR Individual Freestyle'!M12,"AAAAAEisO0I=")</f>
        <v>#VALUE!</v>
      </c>
      <c r="BP34">
        <f>IF('Female SR Individual Freestyle'!13:13,"AAAAAEisO0M=",0)</f>
        <v>0</v>
      </c>
      <c r="BQ34" t="e">
        <f>AND('Female SR Individual Freestyle'!A13,"AAAAAEisO0Q=")</f>
        <v>#VALUE!</v>
      </c>
      <c r="BR34" t="e">
        <f>AND('Female SR Individual Freestyle'!B13,"AAAAAEisO0U=")</f>
        <v>#VALUE!</v>
      </c>
      <c r="BS34" t="e">
        <f>AND('Female SR Individual Freestyle'!C13,"AAAAAEisO0Y=")</f>
        <v>#VALUE!</v>
      </c>
      <c r="BT34" t="e">
        <f>AND('Female SR Individual Freestyle'!D13,"AAAAAEisO0c=")</f>
        <v>#VALUE!</v>
      </c>
      <c r="BU34" t="e">
        <f>AND('Female SR Individual Freestyle'!E13,"AAAAAEisO0g=")</f>
        <v>#VALUE!</v>
      </c>
      <c r="BV34" t="e">
        <f>AND('Female SR Individual Freestyle'!F13,"AAAAAEisO0k=")</f>
        <v>#VALUE!</v>
      </c>
      <c r="BW34" t="e">
        <f>AND('Female SR Individual Freestyle'!G13,"AAAAAEisO0o=")</f>
        <v>#VALUE!</v>
      </c>
      <c r="BX34" t="e">
        <f>AND('Female SR Individual Freestyle'!H13,"AAAAAEisO0s=")</f>
        <v>#VALUE!</v>
      </c>
      <c r="BY34" t="e">
        <f>AND('Female SR Individual Freestyle'!I13,"AAAAAEisO0w=")</f>
        <v>#VALUE!</v>
      </c>
      <c r="BZ34" t="e">
        <f>AND('Female SR Individual Freestyle'!J13,"AAAAAEisO00=")</f>
        <v>#VALUE!</v>
      </c>
      <c r="CA34" t="e">
        <f>AND('Female SR Individual Freestyle'!K13,"AAAAAEisO04=")</f>
        <v>#VALUE!</v>
      </c>
      <c r="CB34" t="e">
        <f>AND('Female SR Individual Freestyle'!L13,"AAAAAEisO08=")</f>
        <v>#VALUE!</v>
      </c>
      <c r="CC34" t="e">
        <f>AND('Female SR Individual Freestyle'!M13,"AAAAAEisO1A=")</f>
        <v>#VALUE!</v>
      </c>
      <c r="CD34">
        <f>IF('Female SR Individual Freestyle'!14:14,"AAAAAEisO1E=",0)</f>
        <v>0</v>
      </c>
      <c r="CE34" t="e">
        <f>AND('Female SR Individual Freestyle'!A14,"AAAAAEisO1I=")</f>
        <v>#VALUE!</v>
      </c>
      <c r="CF34" t="e">
        <f>AND('Female SR Individual Freestyle'!B14,"AAAAAEisO1M=")</f>
        <v>#VALUE!</v>
      </c>
      <c r="CG34" t="e">
        <f>AND('Female SR Individual Freestyle'!C14,"AAAAAEisO1Q=")</f>
        <v>#VALUE!</v>
      </c>
      <c r="CH34" t="e">
        <f>AND('Female SR Individual Freestyle'!D14,"AAAAAEisO1U=")</f>
        <v>#VALUE!</v>
      </c>
      <c r="CI34" t="e">
        <f>AND('Female SR Individual Freestyle'!E14,"AAAAAEisO1Y=")</f>
        <v>#VALUE!</v>
      </c>
      <c r="CJ34" t="e">
        <f>AND('Female SR Individual Freestyle'!F14,"AAAAAEisO1c=")</f>
        <v>#VALUE!</v>
      </c>
      <c r="CK34" t="e">
        <f>AND('Female SR Individual Freestyle'!G14,"AAAAAEisO1g=")</f>
        <v>#VALUE!</v>
      </c>
      <c r="CL34" t="e">
        <f>AND('Female SR Individual Freestyle'!H14,"AAAAAEisO1k=")</f>
        <v>#VALUE!</v>
      </c>
      <c r="CM34" t="e">
        <f>AND('Female SR Individual Freestyle'!I14,"AAAAAEisO1o=")</f>
        <v>#VALUE!</v>
      </c>
      <c r="CN34" t="e">
        <f>AND('Female SR Individual Freestyle'!J14,"AAAAAEisO1s=")</f>
        <v>#VALUE!</v>
      </c>
      <c r="CO34" t="e">
        <f>AND('Female SR Individual Freestyle'!K14,"AAAAAEisO1w=")</f>
        <v>#VALUE!</v>
      </c>
      <c r="CP34" t="e">
        <f>AND('Female SR Individual Freestyle'!L14,"AAAAAEisO10=")</f>
        <v>#VALUE!</v>
      </c>
      <c r="CQ34" t="e">
        <f>AND('Female SR Individual Freestyle'!M14,"AAAAAEisO14=")</f>
        <v>#VALUE!</v>
      </c>
      <c r="CR34">
        <f>IF('Female SR Individual Freestyle'!15:15,"AAAAAEisO18=",0)</f>
        <v>0</v>
      </c>
      <c r="CS34" t="e">
        <f>AND('Female SR Individual Freestyle'!A15,"AAAAAEisO2A=")</f>
        <v>#VALUE!</v>
      </c>
      <c r="CT34" t="e">
        <f>AND('Female SR Individual Freestyle'!B15,"AAAAAEisO2E=")</f>
        <v>#VALUE!</v>
      </c>
      <c r="CU34" t="e">
        <f>AND('Female SR Individual Freestyle'!C15,"AAAAAEisO2I=")</f>
        <v>#VALUE!</v>
      </c>
      <c r="CV34" t="e">
        <f>AND('Female SR Individual Freestyle'!D15,"AAAAAEisO2M=")</f>
        <v>#VALUE!</v>
      </c>
      <c r="CW34" t="e">
        <f>AND('Female SR Individual Freestyle'!E15,"AAAAAEisO2Q=")</f>
        <v>#VALUE!</v>
      </c>
      <c r="CX34" t="e">
        <f>AND('Female SR Individual Freestyle'!F15,"AAAAAEisO2U=")</f>
        <v>#VALUE!</v>
      </c>
      <c r="CY34" t="e">
        <f>AND('Female SR Individual Freestyle'!G15,"AAAAAEisO2Y=")</f>
        <v>#VALUE!</v>
      </c>
      <c r="CZ34" t="e">
        <f>AND('Female SR Individual Freestyle'!H15,"AAAAAEisO2c=")</f>
        <v>#VALUE!</v>
      </c>
      <c r="DA34" t="e">
        <f>AND('Female SR Individual Freestyle'!I15,"AAAAAEisO2g=")</f>
        <v>#VALUE!</v>
      </c>
      <c r="DB34" t="e">
        <f>AND('Female SR Individual Freestyle'!J15,"AAAAAEisO2k=")</f>
        <v>#VALUE!</v>
      </c>
      <c r="DC34" t="e">
        <f>AND('Female SR Individual Freestyle'!K15,"AAAAAEisO2o=")</f>
        <v>#VALUE!</v>
      </c>
      <c r="DD34" t="e">
        <f>AND('Female SR Individual Freestyle'!L15,"AAAAAEisO2s=")</f>
        <v>#VALUE!</v>
      </c>
      <c r="DE34" t="e">
        <f>AND('Female SR Individual Freestyle'!M15,"AAAAAEisO2w=")</f>
        <v>#VALUE!</v>
      </c>
      <c r="DF34">
        <f>IF('Female SR Individual Freestyle'!16:16,"AAAAAEisO20=",0)</f>
        <v>0</v>
      </c>
      <c r="DG34" t="e">
        <f>AND('Female SR Individual Freestyle'!A16,"AAAAAEisO24=")</f>
        <v>#VALUE!</v>
      </c>
      <c r="DH34" t="e">
        <f>AND('Female SR Individual Freestyle'!B16,"AAAAAEisO28=")</f>
        <v>#VALUE!</v>
      </c>
      <c r="DI34" t="e">
        <f>AND('Female SR Individual Freestyle'!C16,"AAAAAEisO3A=")</f>
        <v>#VALUE!</v>
      </c>
      <c r="DJ34" t="e">
        <f>AND('Female SR Individual Freestyle'!D16,"AAAAAEisO3E=")</f>
        <v>#VALUE!</v>
      </c>
      <c r="DK34" t="e">
        <f>AND('Female SR Individual Freestyle'!E16,"AAAAAEisO3I=")</f>
        <v>#VALUE!</v>
      </c>
      <c r="DL34" t="e">
        <f>AND('Female SR Individual Freestyle'!F16,"AAAAAEisO3M=")</f>
        <v>#VALUE!</v>
      </c>
      <c r="DM34" t="e">
        <f>AND('Female SR Individual Freestyle'!G16,"AAAAAEisO3Q=")</f>
        <v>#VALUE!</v>
      </c>
      <c r="DN34" t="e">
        <f>AND('Female SR Individual Freestyle'!H16,"AAAAAEisO3U=")</f>
        <v>#VALUE!</v>
      </c>
      <c r="DO34" t="e">
        <f>AND('Female SR Individual Freestyle'!I16,"AAAAAEisO3Y=")</f>
        <v>#VALUE!</v>
      </c>
      <c r="DP34" t="e">
        <f>AND('Female SR Individual Freestyle'!J16,"AAAAAEisO3c=")</f>
        <v>#VALUE!</v>
      </c>
      <c r="DQ34" t="e">
        <f>AND('Female SR Individual Freestyle'!K16,"AAAAAEisO3g=")</f>
        <v>#VALUE!</v>
      </c>
      <c r="DR34" t="e">
        <f>AND('Female SR Individual Freestyle'!L16,"AAAAAEisO3k=")</f>
        <v>#VALUE!</v>
      </c>
      <c r="DS34" t="e">
        <f>AND('Female SR Individual Freestyle'!M16,"AAAAAEisO3o=")</f>
        <v>#VALUE!</v>
      </c>
      <c r="DT34">
        <f>IF('Female SR Individual Freestyle'!17:17,"AAAAAEisO3s=",0)</f>
        <v>0</v>
      </c>
      <c r="DU34" t="e">
        <f>AND('Female SR Individual Freestyle'!A17,"AAAAAEisO3w=")</f>
        <v>#VALUE!</v>
      </c>
      <c r="DV34" t="e">
        <f>AND('Female SR Individual Freestyle'!B17,"AAAAAEisO30=")</f>
        <v>#VALUE!</v>
      </c>
      <c r="DW34" t="e">
        <f>AND('Female SR Individual Freestyle'!C17,"AAAAAEisO34=")</f>
        <v>#VALUE!</v>
      </c>
      <c r="DX34" t="e">
        <f>AND('Female SR Individual Freestyle'!D17,"AAAAAEisO38=")</f>
        <v>#VALUE!</v>
      </c>
      <c r="DY34" t="e">
        <f>AND('Female SR Individual Freestyle'!E17,"AAAAAEisO4A=")</f>
        <v>#VALUE!</v>
      </c>
      <c r="DZ34" t="e">
        <f>AND('Female SR Individual Freestyle'!F17,"AAAAAEisO4E=")</f>
        <v>#VALUE!</v>
      </c>
      <c r="EA34" t="e">
        <f>AND('Female SR Individual Freestyle'!G17,"AAAAAEisO4I=")</f>
        <v>#VALUE!</v>
      </c>
      <c r="EB34" t="e">
        <f>AND('Female SR Individual Freestyle'!H17,"AAAAAEisO4M=")</f>
        <v>#VALUE!</v>
      </c>
      <c r="EC34" t="e">
        <f>AND('Female SR Individual Freestyle'!I17,"AAAAAEisO4Q=")</f>
        <v>#VALUE!</v>
      </c>
      <c r="ED34" t="e">
        <f>AND('Female SR Individual Freestyle'!J17,"AAAAAEisO4U=")</f>
        <v>#VALUE!</v>
      </c>
      <c r="EE34" t="e">
        <f>AND('Female SR Individual Freestyle'!K17,"AAAAAEisO4Y=")</f>
        <v>#VALUE!</v>
      </c>
      <c r="EF34" t="e">
        <f>AND('Female SR Individual Freestyle'!L17,"AAAAAEisO4c=")</f>
        <v>#VALUE!</v>
      </c>
      <c r="EG34" t="e">
        <f>AND('Female SR Individual Freestyle'!M17,"AAAAAEisO4g=")</f>
        <v>#VALUE!</v>
      </c>
      <c r="EH34">
        <f>IF('Female SR Individual Freestyle'!18:18,"AAAAAEisO4k=",0)</f>
        <v>0</v>
      </c>
      <c r="EI34" t="e">
        <f>AND('Female SR Individual Freestyle'!A18,"AAAAAEisO4o=")</f>
        <v>#VALUE!</v>
      </c>
      <c r="EJ34" t="e">
        <f>AND('Female SR Individual Freestyle'!B18,"AAAAAEisO4s=")</f>
        <v>#VALUE!</v>
      </c>
      <c r="EK34" t="e">
        <f>AND('Female SR Individual Freestyle'!C18,"AAAAAEisO4w=")</f>
        <v>#VALUE!</v>
      </c>
      <c r="EL34" t="e">
        <f>AND('Female SR Individual Freestyle'!D18,"AAAAAEisO40=")</f>
        <v>#VALUE!</v>
      </c>
      <c r="EM34" t="e">
        <f>AND('Female SR Individual Freestyle'!E18,"AAAAAEisO44=")</f>
        <v>#VALUE!</v>
      </c>
      <c r="EN34" t="e">
        <f>AND('Female SR Individual Freestyle'!F18,"AAAAAEisO48=")</f>
        <v>#VALUE!</v>
      </c>
      <c r="EO34" t="e">
        <f>AND('Female SR Individual Freestyle'!G18,"AAAAAEisO5A=")</f>
        <v>#VALUE!</v>
      </c>
      <c r="EP34" t="e">
        <f>AND('Female SR Individual Freestyle'!H18,"AAAAAEisO5E=")</f>
        <v>#VALUE!</v>
      </c>
      <c r="EQ34" t="e">
        <f>AND('Female SR Individual Freestyle'!I18,"AAAAAEisO5I=")</f>
        <v>#VALUE!</v>
      </c>
      <c r="ER34" t="e">
        <f>AND('Female SR Individual Freestyle'!J18,"AAAAAEisO5M=")</f>
        <v>#VALUE!</v>
      </c>
      <c r="ES34" t="e">
        <f>AND('Female SR Individual Freestyle'!K18,"AAAAAEisO5Q=")</f>
        <v>#VALUE!</v>
      </c>
      <c r="ET34" t="e">
        <f>AND('Female SR Individual Freestyle'!L18,"AAAAAEisO5U=")</f>
        <v>#VALUE!</v>
      </c>
      <c r="EU34" t="e">
        <f>AND('Female SR Individual Freestyle'!M18,"AAAAAEisO5Y=")</f>
        <v>#VALUE!</v>
      </c>
      <c r="EV34">
        <f>IF('Female SR Individual Freestyle'!19:19,"AAAAAEisO5c=",0)</f>
        <v>0</v>
      </c>
      <c r="EW34" t="e">
        <f>AND('Female SR Individual Freestyle'!A19,"AAAAAEisO5g=")</f>
        <v>#VALUE!</v>
      </c>
      <c r="EX34" t="e">
        <f>AND('Female SR Individual Freestyle'!B19,"AAAAAEisO5k=")</f>
        <v>#VALUE!</v>
      </c>
      <c r="EY34" t="e">
        <f>AND('Female SR Individual Freestyle'!C19,"AAAAAEisO5o=")</f>
        <v>#VALUE!</v>
      </c>
      <c r="EZ34" t="e">
        <f>AND('Female SR Individual Freestyle'!D19,"AAAAAEisO5s=")</f>
        <v>#VALUE!</v>
      </c>
      <c r="FA34" t="e">
        <f>AND('Female SR Individual Freestyle'!E19,"AAAAAEisO5w=")</f>
        <v>#VALUE!</v>
      </c>
      <c r="FB34" t="e">
        <f>AND('Female SR Individual Freestyle'!F19,"AAAAAEisO50=")</f>
        <v>#VALUE!</v>
      </c>
      <c r="FC34" t="e">
        <f>AND('Female SR Individual Freestyle'!G19,"AAAAAEisO54=")</f>
        <v>#VALUE!</v>
      </c>
      <c r="FD34" t="e">
        <f>AND('Female SR Individual Freestyle'!H19,"AAAAAEisO58=")</f>
        <v>#VALUE!</v>
      </c>
      <c r="FE34" t="e">
        <f>AND('Female SR Individual Freestyle'!I19,"AAAAAEisO6A=")</f>
        <v>#VALUE!</v>
      </c>
      <c r="FF34" t="e">
        <f>AND('Female SR Individual Freestyle'!J19,"AAAAAEisO6E=")</f>
        <v>#VALUE!</v>
      </c>
      <c r="FG34" t="e">
        <f>AND('Female SR Individual Freestyle'!K19,"AAAAAEisO6I=")</f>
        <v>#VALUE!</v>
      </c>
      <c r="FH34" t="e">
        <f>AND('Female SR Individual Freestyle'!L19,"AAAAAEisO6M=")</f>
        <v>#VALUE!</v>
      </c>
      <c r="FI34" t="e">
        <f>AND('Female SR Individual Freestyle'!M19,"AAAAAEisO6Q=")</f>
        <v>#VALUE!</v>
      </c>
      <c r="FJ34">
        <f>IF('Female SR Individual Freestyle'!20:20,"AAAAAEisO6U=",0)</f>
        <v>0</v>
      </c>
      <c r="FK34" t="e">
        <f>AND('Female SR Individual Freestyle'!A20,"AAAAAEisO6Y=")</f>
        <v>#VALUE!</v>
      </c>
      <c r="FL34" t="e">
        <f>AND('Female SR Individual Freestyle'!B20,"AAAAAEisO6c=")</f>
        <v>#VALUE!</v>
      </c>
      <c r="FM34" t="e">
        <f>AND('Female SR Individual Freestyle'!C20,"AAAAAEisO6g=")</f>
        <v>#VALUE!</v>
      </c>
      <c r="FN34" t="e">
        <f>AND('Female SR Individual Freestyle'!D20,"AAAAAEisO6k=")</f>
        <v>#VALUE!</v>
      </c>
      <c r="FO34" t="e">
        <f>AND('Female SR Individual Freestyle'!E20,"AAAAAEisO6o=")</f>
        <v>#VALUE!</v>
      </c>
      <c r="FP34" t="e">
        <f>AND('Female SR Individual Freestyle'!F20,"AAAAAEisO6s=")</f>
        <v>#VALUE!</v>
      </c>
      <c r="FQ34" t="e">
        <f>AND('Female SR Individual Freestyle'!G20,"AAAAAEisO6w=")</f>
        <v>#VALUE!</v>
      </c>
      <c r="FR34" t="e">
        <f>AND('Female SR Individual Freestyle'!H20,"AAAAAEisO60=")</f>
        <v>#VALUE!</v>
      </c>
      <c r="FS34" t="e">
        <f>AND('Female SR Individual Freestyle'!I20,"AAAAAEisO64=")</f>
        <v>#VALUE!</v>
      </c>
      <c r="FT34" t="e">
        <f>AND('Female SR Individual Freestyle'!J20,"AAAAAEisO68=")</f>
        <v>#VALUE!</v>
      </c>
      <c r="FU34" t="e">
        <f>AND('Female SR Individual Freestyle'!K20,"AAAAAEisO7A=")</f>
        <v>#VALUE!</v>
      </c>
      <c r="FV34" t="e">
        <f>AND('Female SR Individual Freestyle'!L20,"AAAAAEisO7E=")</f>
        <v>#VALUE!</v>
      </c>
      <c r="FW34" t="e">
        <f>AND('Female SR Individual Freestyle'!M20,"AAAAAEisO7I=")</f>
        <v>#VALUE!</v>
      </c>
      <c r="FX34">
        <f>IF('Female SR Individual Freestyle'!21:21,"AAAAAEisO7M=",0)</f>
        <v>0</v>
      </c>
      <c r="FY34" t="e">
        <f>AND('Female SR Individual Freestyle'!A21,"AAAAAEisO7Q=")</f>
        <v>#VALUE!</v>
      </c>
      <c r="FZ34" t="e">
        <f>AND('Female SR Individual Freestyle'!B21,"AAAAAEisO7U=")</f>
        <v>#VALUE!</v>
      </c>
      <c r="GA34" t="e">
        <f>AND('Female SR Individual Freestyle'!C21,"AAAAAEisO7Y=")</f>
        <v>#VALUE!</v>
      </c>
      <c r="GB34" t="e">
        <f>AND('Female SR Individual Freestyle'!D21,"AAAAAEisO7c=")</f>
        <v>#VALUE!</v>
      </c>
      <c r="GC34" t="e">
        <f>AND('Female SR Individual Freestyle'!E21,"AAAAAEisO7g=")</f>
        <v>#VALUE!</v>
      </c>
      <c r="GD34" t="e">
        <f>AND('Female SR Individual Freestyle'!F21,"AAAAAEisO7k=")</f>
        <v>#VALUE!</v>
      </c>
      <c r="GE34" t="e">
        <f>AND('Female SR Individual Freestyle'!G21,"AAAAAEisO7o=")</f>
        <v>#VALUE!</v>
      </c>
      <c r="GF34" t="e">
        <f>AND('Female SR Individual Freestyle'!H21,"AAAAAEisO7s=")</f>
        <v>#VALUE!</v>
      </c>
      <c r="GG34" t="e">
        <f>AND('Female SR Individual Freestyle'!I21,"AAAAAEisO7w=")</f>
        <v>#VALUE!</v>
      </c>
      <c r="GH34" t="e">
        <f>AND('Female SR Individual Freestyle'!J21,"AAAAAEisO70=")</f>
        <v>#VALUE!</v>
      </c>
      <c r="GI34" t="e">
        <f>AND('Female SR Individual Freestyle'!K21,"AAAAAEisO74=")</f>
        <v>#VALUE!</v>
      </c>
      <c r="GJ34" t="e">
        <f>AND('Female SR Individual Freestyle'!L21,"AAAAAEisO78=")</f>
        <v>#VALUE!</v>
      </c>
      <c r="GK34" t="e">
        <f>AND('Female SR Individual Freestyle'!M21,"AAAAAEisO8A=")</f>
        <v>#VALUE!</v>
      </c>
      <c r="GL34">
        <f>IF('Female SR Individual Freestyle'!22:22,"AAAAAEisO8E=",0)</f>
        <v>0</v>
      </c>
      <c r="GM34" t="e">
        <f>AND('Female SR Individual Freestyle'!A22,"AAAAAEisO8I=")</f>
        <v>#VALUE!</v>
      </c>
      <c r="GN34" t="e">
        <f>AND('Female SR Individual Freestyle'!B22,"AAAAAEisO8M=")</f>
        <v>#VALUE!</v>
      </c>
      <c r="GO34" t="e">
        <f>AND('Female SR Individual Freestyle'!C22,"AAAAAEisO8Q=")</f>
        <v>#VALUE!</v>
      </c>
      <c r="GP34" t="e">
        <f>AND('Female SR Individual Freestyle'!D22,"AAAAAEisO8U=")</f>
        <v>#VALUE!</v>
      </c>
      <c r="GQ34" t="e">
        <f>AND('Female SR Individual Freestyle'!E22,"AAAAAEisO8Y=")</f>
        <v>#VALUE!</v>
      </c>
      <c r="GR34" t="e">
        <f>AND('Female SR Individual Freestyle'!F22,"AAAAAEisO8c=")</f>
        <v>#VALUE!</v>
      </c>
      <c r="GS34" t="e">
        <f>AND('Female SR Individual Freestyle'!G22,"AAAAAEisO8g=")</f>
        <v>#VALUE!</v>
      </c>
      <c r="GT34" t="e">
        <f>AND('Female SR Individual Freestyle'!H22,"AAAAAEisO8k=")</f>
        <v>#VALUE!</v>
      </c>
      <c r="GU34" t="e">
        <f>AND('Female SR Individual Freestyle'!I22,"AAAAAEisO8o=")</f>
        <v>#VALUE!</v>
      </c>
      <c r="GV34" t="e">
        <f>AND('Female SR Individual Freestyle'!J22,"AAAAAEisO8s=")</f>
        <v>#VALUE!</v>
      </c>
      <c r="GW34" t="e">
        <f>AND('Female SR Individual Freestyle'!K22,"AAAAAEisO8w=")</f>
        <v>#VALUE!</v>
      </c>
      <c r="GX34" t="e">
        <f>AND('Female SR Individual Freestyle'!L22,"AAAAAEisO80=")</f>
        <v>#VALUE!</v>
      </c>
      <c r="GY34" t="e">
        <f>AND('Female SR Individual Freestyle'!M22,"AAAAAEisO84=")</f>
        <v>#VALUE!</v>
      </c>
      <c r="GZ34">
        <f>IF('Female SR Individual Freestyle'!23:23,"AAAAAEisO88=",0)</f>
        <v>0</v>
      </c>
      <c r="HA34" t="e">
        <f>AND('Female SR Individual Freestyle'!A23,"AAAAAEisO9A=")</f>
        <v>#VALUE!</v>
      </c>
      <c r="HB34" t="e">
        <f>AND('Female SR Individual Freestyle'!B23,"AAAAAEisO9E=")</f>
        <v>#VALUE!</v>
      </c>
      <c r="HC34" t="e">
        <f>AND('Female SR Individual Freestyle'!C23,"AAAAAEisO9I=")</f>
        <v>#VALUE!</v>
      </c>
      <c r="HD34" t="e">
        <f>AND('Female SR Individual Freestyle'!D23,"AAAAAEisO9M=")</f>
        <v>#VALUE!</v>
      </c>
      <c r="HE34" t="e">
        <f>AND('Female SR Individual Freestyle'!E23,"AAAAAEisO9Q=")</f>
        <v>#VALUE!</v>
      </c>
      <c r="HF34" t="e">
        <f>AND('Female SR Individual Freestyle'!F23,"AAAAAEisO9U=")</f>
        <v>#VALUE!</v>
      </c>
      <c r="HG34" t="e">
        <f>AND('Female SR Individual Freestyle'!G23,"AAAAAEisO9Y=")</f>
        <v>#VALUE!</v>
      </c>
      <c r="HH34" t="e">
        <f>AND('Female SR Individual Freestyle'!H23,"AAAAAEisO9c=")</f>
        <v>#VALUE!</v>
      </c>
      <c r="HI34" t="e">
        <f>AND('Female SR Individual Freestyle'!I23,"AAAAAEisO9g=")</f>
        <v>#VALUE!</v>
      </c>
      <c r="HJ34" t="e">
        <f>AND('Female SR Individual Freestyle'!J23,"AAAAAEisO9k=")</f>
        <v>#VALUE!</v>
      </c>
      <c r="HK34" t="e">
        <f>AND('Female SR Individual Freestyle'!K23,"AAAAAEisO9o=")</f>
        <v>#VALUE!</v>
      </c>
      <c r="HL34" t="e">
        <f>AND('Female SR Individual Freestyle'!L23,"AAAAAEisO9s=")</f>
        <v>#VALUE!</v>
      </c>
      <c r="HM34" t="e">
        <f>AND('Female SR Individual Freestyle'!M23,"AAAAAEisO9w=")</f>
        <v>#VALUE!</v>
      </c>
      <c r="HN34">
        <f>IF('Female SR Individual Freestyle'!24:24,"AAAAAEisO90=",0)</f>
        <v>0</v>
      </c>
      <c r="HO34" t="e">
        <f>AND('Female SR Individual Freestyle'!A24,"AAAAAEisO94=")</f>
        <v>#VALUE!</v>
      </c>
      <c r="HP34" t="e">
        <f>AND('Female SR Individual Freestyle'!B24,"AAAAAEisO98=")</f>
        <v>#VALUE!</v>
      </c>
      <c r="HQ34" t="e">
        <f>AND('Female SR Individual Freestyle'!C24,"AAAAAEisO+A=")</f>
        <v>#VALUE!</v>
      </c>
      <c r="HR34" t="e">
        <f>AND('Female SR Individual Freestyle'!D24,"AAAAAEisO+E=")</f>
        <v>#VALUE!</v>
      </c>
      <c r="HS34" t="e">
        <f>AND('Female SR Individual Freestyle'!E24,"AAAAAEisO+I=")</f>
        <v>#VALUE!</v>
      </c>
      <c r="HT34" t="e">
        <f>AND('Female SR Individual Freestyle'!F24,"AAAAAEisO+M=")</f>
        <v>#VALUE!</v>
      </c>
      <c r="HU34" t="e">
        <f>AND('Female SR Individual Freestyle'!G24,"AAAAAEisO+Q=")</f>
        <v>#VALUE!</v>
      </c>
      <c r="HV34" t="e">
        <f>AND('Female SR Individual Freestyle'!H24,"AAAAAEisO+U=")</f>
        <v>#VALUE!</v>
      </c>
      <c r="HW34" t="e">
        <f>AND('Female SR Individual Freestyle'!I24,"AAAAAEisO+Y=")</f>
        <v>#VALUE!</v>
      </c>
      <c r="HX34" t="e">
        <f>AND('Female SR Individual Freestyle'!J24,"AAAAAEisO+c=")</f>
        <v>#VALUE!</v>
      </c>
      <c r="HY34" t="e">
        <f>AND('Female SR Individual Freestyle'!K24,"AAAAAEisO+g=")</f>
        <v>#VALUE!</v>
      </c>
      <c r="HZ34" t="e">
        <f>AND('Female SR Individual Freestyle'!L24,"AAAAAEisO+k=")</f>
        <v>#VALUE!</v>
      </c>
      <c r="IA34" t="e">
        <f>AND('Female SR Individual Freestyle'!M24,"AAAAAEisO+o=")</f>
        <v>#VALUE!</v>
      </c>
      <c r="IB34">
        <f>IF('Female SR Individual Freestyle'!25:25,"AAAAAEisO+s=",0)</f>
        <v>0</v>
      </c>
      <c r="IC34" t="e">
        <f>AND('Female SR Individual Freestyle'!A25,"AAAAAEisO+w=")</f>
        <v>#VALUE!</v>
      </c>
      <c r="ID34" t="e">
        <f>AND('Female SR Individual Freestyle'!B25,"AAAAAEisO+0=")</f>
        <v>#VALUE!</v>
      </c>
      <c r="IE34" t="e">
        <f>AND('Female SR Individual Freestyle'!C25,"AAAAAEisO+4=")</f>
        <v>#VALUE!</v>
      </c>
      <c r="IF34" t="e">
        <f>AND('Female SR Individual Freestyle'!D25,"AAAAAEisO+8=")</f>
        <v>#VALUE!</v>
      </c>
      <c r="IG34" t="e">
        <f>AND('Female SR Individual Freestyle'!E25,"AAAAAEisO/A=")</f>
        <v>#VALUE!</v>
      </c>
      <c r="IH34" t="e">
        <f>AND('Female SR Individual Freestyle'!F25,"AAAAAEisO/E=")</f>
        <v>#VALUE!</v>
      </c>
      <c r="II34" t="e">
        <f>AND('Female SR Individual Freestyle'!G25,"AAAAAEisO/I=")</f>
        <v>#VALUE!</v>
      </c>
      <c r="IJ34" t="e">
        <f>AND('Female SR Individual Freestyle'!H25,"AAAAAEisO/M=")</f>
        <v>#VALUE!</v>
      </c>
      <c r="IK34" t="e">
        <f>AND('Female SR Individual Freestyle'!I25,"AAAAAEisO/Q=")</f>
        <v>#VALUE!</v>
      </c>
      <c r="IL34" t="e">
        <f>AND('Female SR Individual Freestyle'!J25,"AAAAAEisO/U=")</f>
        <v>#VALUE!</v>
      </c>
      <c r="IM34" t="e">
        <f>AND('Female SR Individual Freestyle'!K25,"AAAAAEisO/Y=")</f>
        <v>#VALUE!</v>
      </c>
      <c r="IN34" t="e">
        <f>AND('Female SR Individual Freestyle'!L25,"AAAAAEisO/c=")</f>
        <v>#VALUE!</v>
      </c>
      <c r="IO34" t="e">
        <f>AND('Female SR Individual Freestyle'!M25,"AAAAAEisO/g=")</f>
        <v>#VALUE!</v>
      </c>
      <c r="IP34">
        <f>IF('Female SR Individual Freestyle'!26:26,"AAAAAEisO/k=",0)</f>
        <v>0</v>
      </c>
      <c r="IQ34" t="e">
        <f>AND('Female SR Individual Freestyle'!A26,"AAAAAEisO/o=")</f>
        <v>#VALUE!</v>
      </c>
      <c r="IR34" t="e">
        <f>AND('Female SR Individual Freestyle'!B26,"AAAAAEisO/s=")</f>
        <v>#VALUE!</v>
      </c>
      <c r="IS34" t="e">
        <f>AND('Female SR Individual Freestyle'!C26,"AAAAAEisO/w=")</f>
        <v>#VALUE!</v>
      </c>
      <c r="IT34" t="e">
        <f>AND('Female SR Individual Freestyle'!D26,"AAAAAEisO/0=")</f>
        <v>#VALUE!</v>
      </c>
      <c r="IU34" t="e">
        <f>AND('Female SR Individual Freestyle'!E26,"AAAAAEisO/4=")</f>
        <v>#VALUE!</v>
      </c>
      <c r="IV34" t="e">
        <f>AND('Female SR Individual Freestyle'!F26,"AAAAAEisO/8=")</f>
        <v>#VALUE!</v>
      </c>
    </row>
    <row r="35" spans="1:256" x14ac:dyDescent="0.25">
      <c r="A35" t="e">
        <f>AND('Female SR Individual Freestyle'!G26,"AAAAADJ79wA=")</f>
        <v>#VALUE!</v>
      </c>
      <c r="B35" t="e">
        <f>AND('Female SR Individual Freestyle'!H26,"AAAAADJ79wE=")</f>
        <v>#VALUE!</v>
      </c>
      <c r="C35" t="e">
        <f>AND('Female SR Individual Freestyle'!I26,"AAAAADJ79wI=")</f>
        <v>#VALUE!</v>
      </c>
      <c r="D35" t="e">
        <f>AND('Female SR Individual Freestyle'!J26,"AAAAADJ79wM=")</f>
        <v>#VALUE!</v>
      </c>
      <c r="E35" t="e">
        <f>AND('Female SR Individual Freestyle'!K26,"AAAAADJ79wQ=")</f>
        <v>#VALUE!</v>
      </c>
      <c r="F35" t="e">
        <f>AND('Female SR Individual Freestyle'!L26,"AAAAADJ79wU=")</f>
        <v>#VALUE!</v>
      </c>
      <c r="G35" t="e">
        <f>AND('Female SR Individual Freestyle'!M26,"AAAAADJ79wY=")</f>
        <v>#VALUE!</v>
      </c>
      <c r="H35" t="e">
        <f>IF('Female SR Individual Freestyle'!27:27,"AAAAADJ79wc=",0)</f>
        <v>#VALUE!</v>
      </c>
      <c r="I35" t="e">
        <f>AND('Female SR Individual Freestyle'!A27,"AAAAADJ79wg=")</f>
        <v>#VALUE!</v>
      </c>
      <c r="J35" t="e">
        <f>AND('Female SR Individual Freestyle'!B27,"AAAAADJ79wk=")</f>
        <v>#VALUE!</v>
      </c>
      <c r="K35" t="e">
        <f>AND('Female SR Individual Freestyle'!C27,"AAAAADJ79wo=")</f>
        <v>#VALUE!</v>
      </c>
      <c r="L35" t="e">
        <f>AND('Female SR Individual Freestyle'!D27,"AAAAADJ79ws=")</f>
        <v>#VALUE!</v>
      </c>
      <c r="M35" t="e">
        <f>AND('Female SR Individual Freestyle'!E27,"AAAAADJ79ww=")</f>
        <v>#VALUE!</v>
      </c>
      <c r="N35" t="e">
        <f>AND('Female SR Individual Freestyle'!F27,"AAAAADJ79w0=")</f>
        <v>#VALUE!</v>
      </c>
      <c r="O35" t="e">
        <f>AND('Female SR Individual Freestyle'!G27,"AAAAADJ79w4=")</f>
        <v>#VALUE!</v>
      </c>
      <c r="P35" t="e">
        <f>AND('Female SR Individual Freestyle'!H27,"AAAAADJ79w8=")</f>
        <v>#VALUE!</v>
      </c>
      <c r="Q35" t="e">
        <f>AND('Female SR Individual Freestyle'!I27,"AAAAADJ79xA=")</f>
        <v>#VALUE!</v>
      </c>
      <c r="R35" t="e">
        <f>AND('Female SR Individual Freestyle'!J27,"AAAAADJ79xE=")</f>
        <v>#VALUE!</v>
      </c>
      <c r="S35" t="e">
        <f>AND('Female SR Individual Freestyle'!K27,"AAAAADJ79xI=")</f>
        <v>#VALUE!</v>
      </c>
      <c r="T35" t="e">
        <f>AND('Female SR Individual Freestyle'!L27,"AAAAADJ79xM=")</f>
        <v>#VALUE!</v>
      </c>
      <c r="U35" t="e">
        <f>AND('Female SR Individual Freestyle'!M27,"AAAAADJ79xQ=")</f>
        <v>#VALUE!</v>
      </c>
      <c r="V35">
        <f>IF('Female SR Individual Freestyle'!28:28,"AAAAADJ79xU=",0)</f>
        <v>0</v>
      </c>
      <c r="W35" t="e">
        <f>AND('Female SR Individual Freestyle'!A28,"AAAAADJ79xY=")</f>
        <v>#VALUE!</v>
      </c>
      <c r="X35" t="e">
        <f>AND('Female SR Individual Freestyle'!B28,"AAAAADJ79xc=")</f>
        <v>#VALUE!</v>
      </c>
      <c r="Y35" t="e">
        <f>AND('Female SR Individual Freestyle'!C28,"AAAAADJ79xg=")</f>
        <v>#VALUE!</v>
      </c>
      <c r="Z35" t="e">
        <f>AND('Female SR Individual Freestyle'!D28,"AAAAADJ79xk=")</f>
        <v>#VALUE!</v>
      </c>
      <c r="AA35" t="e">
        <f>AND('Female SR Individual Freestyle'!E28,"AAAAADJ79xo=")</f>
        <v>#VALUE!</v>
      </c>
      <c r="AB35" t="e">
        <f>AND('Female SR Individual Freestyle'!F28,"AAAAADJ79xs=")</f>
        <v>#VALUE!</v>
      </c>
      <c r="AC35" t="e">
        <f>AND('Female SR Individual Freestyle'!G28,"AAAAADJ79xw=")</f>
        <v>#VALUE!</v>
      </c>
      <c r="AD35" t="e">
        <f>AND('Female SR Individual Freestyle'!H28,"AAAAADJ79x0=")</f>
        <v>#VALUE!</v>
      </c>
      <c r="AE35" t="e">
        <f>AND('Female SR Individual Freestyle'!I28,"AAAAADJ79x4=")</f>
        <v>#VALUE!</v>
      </c>
      <c r="AF35" t="e">
        <f>AND('Female SR Individual Freestyle'!J28,"AAAAADJ79x8=")</f>
        <v>#VALUE!</v>
      </c>
      <c r="AG35" t="e">
        <f>AND('Female SR Individual Freestyle'!K28,"AAAAADJ79yA=")</f>
        <v>#VALUE!</v>
      </c>
      <c r="AH35" t="e">
        <f>AND('Female SR Individual Freestyle'!L28,"AAAAADJ79yE=")</f>
        <v>#VALUE!</v>
      </c>
      <c r="AI35" t="e">
        <f>AND('Female SR Individual Freestyle'!M28,"AAAAADJ79yI=")</f>
        <v>#VALUE!</v>
      </c>
      <c r="AJ35">
        <f>IF('Female SR Individual Freestyle'!29:29,"AAAAADJ79yM=",0)</f>
        <v>0</v>
      </c>
      <c r="AK35" t="e">
        <f>AND('Female SR Individual Freestyle'!A29,"AAAAADJ79yQ=")</f>
        <v>#VALUE!</v>
      </c>
      <c r="AL35" t="e">
        <f>AND('Female SR Individual Freestyle'!B29,"AAAAADJ79yU=")</f>
        <v>#VALUE!</v>
      </c>
      <c r="AM35" t="e">
        <f>AND('Female SR Individual Freestyle'!C29,"AAAAADJ79yY=")</f>
        <v>#VALUE!</v>
      </c>
      <c r="AN35" t="e">
        <f>AND('Female SR Individual Freestyle'!D29,"AAAAADJ79yc=")</f>
        <v>#VALUE!</v>
      </c>
      <c r="AO35" t="e">
        <f>AND('Female SR Individual Freestyle'!E29,"AAAAADJ79yg=")</f>
        <v>#VALUE!</v>
      </c>
      <c r="AP35" t="e">
        <f>AND('Female SR Individual Freestyle'!F29,"AAAAADJ79yk=")</f>
        <v>#VALUE!</v>
      </c>
      <c r="AQ35" t="e">
        <f>AND('Female SR Individual Freestyle'!G29,"AAAAADJ79yo=")</f>
        <v>#VALUE!</v>
      </c>
      <c r="AR35" t="e">
        <f>AND('Female SR Individual Freestyle'!H29,"AAAAADJ79ys=")</f>
        <v>#VALUE!</v>
      </c>
      <c r="AS35" t="e">
        <f>AND('Female SR Individual Freestyle'!I29,"AAAAADJ79yw=")</f>
        <v>#VALUE!</v>
      </c>
      <c r="AT35" t="e">
        <f>AND('Female SR Individual Freestyle'!J29,"AAAAADJ79y0=")</f>
        <v>#VALUE!</v>
      </c>
      <c r="AU35" t="e">
        <f>AND('Female SR Individual Freestyle'!K29,"AAAAADJ79y4=")</f>
        <v>#VALUE!</v>
      </c>
      <c r="AV35" t="e">
        <f>AND('Female SR Individual Freestyle'!L29,"AAAAADJ79y8=")</f>
        <v>#VALUE!</v>
      </c>
      <c r="AW35" t="e">
        <f>AND('Female SR Individual Freestyle'!M29,"AAAAADJ79zA=")</f>
        <v>#VALUE!</v>
      </c>
      <c r="AX35">
        <f>IF('Female SR Individual Freestyle'!30:30,"AAAAADJ79zE=",0)</f>
        <v>0</v>
      </c>
      <c r="AY35" t="e">
        <f>AND('Female SR Individual Freestyle'!A30,"AAAAADJ79zI=")</f>
        <v>#VALUE!</v>
      </c>
      <c r="AZ35" t="e">
        <f>AND('Female SR Individual Freestyle'!B30,"AAAAADJ79zM=")</f>
        <v>#VALUE!</v>
      </c>
      <c r="BA35" t="e">
        <f>AND('Female SR Individual Freestyle'!C30,"AAAAADJ79zQ=")</f>
        <v>#VALUE!</v>
      </c>
      <c r="BB35" t="e">
        <f>AND('Female SR Individual Freestyle'!D30,"AAAAADJ79zU=")</f>
        <v>#VALUE!</v>
      </c>
      <c r="BC35" t="e">
        <f>AND('Female SR Individual Freestyle'!E30,"AAAAADJ79zY=")</f>
        <v>#VALUE!</v>
      </c>
      <c r="BD35" t="e">
        <f>AND('Female SR Individual Freestyle'!F30,"AAAAADJ79zc=")</f>
        <v>#VALUE!</v>
      </c>
      <c r="BE35" t="e">
        <f>AND('Female SR Individual Freestyle'!G30,"AAAAADJ79zg=")</f>
        <v>#VALUE!</v>
      </c>
      <c r="BF35" t="e">
        <f>AND('Female SR Individual Freestyle'!H30,"AAAAADJ79zk=")</f>
        <v>#VALUE!</v>
      </c>
      <c r="BG35" t="e">
        <f>AND('Female SR Individual Freestyle'!I30,"AAAAADJ79zo=")</f>
        <v>#VALUE!</v>
      </c>
      <c r="BH35" t="e">
        <f>AND('Female SR Individual Freestyle'!J30,"AAAAADJ79zs=")</f>
        <v>#VALUE!</v>
      </c>
      <c r="BI35" t="e">
        <f>AND('Female SR Individual Freestyle'!K30,"AAAAADJ79zw=")</f>
        <v>#VALUE!</v>
      </c>
      <c r="BJ35" t="e">
        <f>AND('Female SR Individual Freestyle'!L30,"AAAAADJ79z0=")</f>
        <v>#VALUE!</v>
      </c>
      <c r="BK35" t="e">
        <f>AND('Female SR Individual Freestyle'!M30,"AAAAADJ79z4=")</f>
        <v>#VALUE!</v>
      </c>
      <c r="BL35">
        <f>IF('Female SR Individual Freestyle'!31:31,"AAAAADJ79z8=",0)</f>
        <v>0</v>
      </c>
      <c r="BM35" t="e">
        <f>AND('Female SR Individual Freestyle'!A31,"AAAAADJ790A=")</f>
        <v>#VALUE!</v>
      </c>
      <c r="BN35" t="e">
        <f>AND('Female SR Individual Freestyle'!B31,"AAAAADJ790E=")</f>
        <v>#VALUE!</v>
      </c>
      <c r="BO35" t="e">
        <f>AND('Female SR Individual Freestyle'!C31,"AAAAADJ790I=")</f>
        <v>#VALUE!</v>
      </c>
      <c r="BP35" t="e">
        <f>AND('Female SR Individual Freestyle'!D31,"AAAAADJ790M=")</f>
        <v>#VALUE!</v>
      </c>
      <c r="BQ35" t="e">
        <f>AND('Female SR Individual Freestyle'!E31,"AAAAADJ790Q=")</f>
        <v>#VALUE!</v>
      </c>
      <c r="BR35" t="e">
        <f>AND('Female SR Individual Freestyle'!F31,"AAAAADJ790U=")</f>
        <v>#VALUE!</v>
      </c>
      <c r="BS35" t="e">
        <f>AND('Female SR Individual Freestyle'!G31,"AAAAADJ790Y=")</f>
        <v>#VALUE!</v>
      </c>
      <c r="BT35" t="e">
        <f>AND('Female SR Individual Freestyle'!H31,"AAAAADJ790c=")</f>
        <v>#VALUE!</v>
      </c>
      <c r="BU35" t="e">
        <f>AND('Female SR Individual Freestyle'!I31,"AAAAADJ790g=")</f>
        <v>#VALUE!</v>
      </c>
      <c r="BV35" t="e">
        <f>AND('Female SR Individual Freestyle'!J31,"AAAAADJ790k=")</f>
        <v>#VALUE!</v>
      </c>
      <c r="BW35" t="e">
        <f>AND('Female SR Individual Freestyle'!K31,"AAAAADJ790o=")</f>
        <v>#VALUE!</v>
      </c>
      <c r="BX35" t="e">
        <f>AND('Female SR Individual Freestyle'!L31,"AAAAADJ790s=")</f>
        <v>#VALUE!</v>
      </c>
      <c r="BY35" t="e">
        <f>AND('Female SR Individual Freestyle'!M31,"AAAAADJ790w=")</f>
        <v>#VALUE!</v>
      </c>
      <c r="BZ35">
        <f>IF('Female SR Individual Freestyle'!32:32,"AAAAADJ7900=",0)</f>
        <v>0</v>
      </c>
      <c r="CA35" t="e">
        <f>AND('Female SR Individual Freestyle'!A32,"AAAAADJ7904=")</f>
        <v>#VALUE!</v>
      </c>
      <c r="CB35" t="e">
        <f>AND('Female SR Individual Freestyle'!B32,"AAAAADJ7908=")</f>
        <v>#VALUE!</v>
      </c>
      <c r="CC35" t="e">
        <f>AND('Female SR Individual Freestyle'!C32,"AAAAADJ791A=")</f>
        <v>#VALUE!</v>
      </c>
      <c r="CD35" t="e">
        <f>AND('Female SR Individual Freestyle'!D32,"AAAAADJ791E=")</f>
        <v>#VALUE!</v>
      </c>
      <c r="CE35" t="e">
        <f>AND('Female SR Individual Freestyle'!E32,"AAAAADJ791I=")</f>
        <v>#VALUE!</v>
      </c>
      <c r="CF35" t="e">
        <f>AND('Female SR Individual Freestyle'!F32,"AAAAADJ791M=")</f>
        <v>#VALUE!</v>
      </c>
      <c r="CG35" t="e">
        <f>AND('Female SR Individual Freestyle'!G32,"AAAAADJ791Q=")</f>
        <v>#VALUE!</v>
      </c>
      <c r="CH35" t="e">
        <f>AND('Female SR Individual Freestyle'!H32,"AAAAADJ791U=")</f>
        <v>#VALUE!</v>
      </c>
      <c r="CI35" t="e">
        <f>AND('Female SR Individual Freestyle'!I32,"AAAAADJ791Y=")</f>
        <v>#VALUE!</v>
      </c>
      <c r="CJ35" t="e">
        <f>AND('Female SR Individual Freestyle'!J32,"AAAAADJ791c=")</f>
        <v>#VALUE!</v>
      </c>
      <c r="CK35" t="e">
        <f>AND('Female SR Individual Freestyle'!K32,"AAAAADJ791g=")</f>
        <v>#VALUE!</v>
      </c>
      <c r="CL35" t="e">
        <f>AND('Female SR Individual Freestyle'!L32,"AAAAADJ791k=")</f>
        <v>#VALUE!</v>
      </c>
      <c r="CM35" t="e">
        <f>AND('Female SR Individual Freestyle'!M32,"AAAAADJ791o=")</f>
        <v>#VALUE!</v>
      </c>
      <c r="CN35">
        <f>IF('Female SR Individual Freestyle'!33:33,"AAAAADJ791s=",0)</f>
        <v>0</v>
      </c>
      <c r="CO35" t="e">
        <f>AND('Female SR Individual Freestyle'!A33,"AAAAADJ791w=")</f>
        <v>#VALUE!</v>
      </c>
      <c r="CP35" t="e">
        <f>AND('Female SR Individual Freestyle'!B33,"AAAAADJ7910=")</f>
        <v>#VALUE!</v>
      </c>
      <c r="CQ35" t="e">
        <f>AND('Female SR Individual Freestyle'!C33,"AAAAADJ7914=")</f>
        <v>#VALUE!</v>
      </c>
      <c r="CR35" t="e">
        <f>AND('Female SR Individual Freestyle'!D33,"AAAAADJ7918=")</f>
        <v>#VALUE!</v>
      </c>
      <c r="CS35" t="e">
        <f>AND('Female SR Individual Freestyle'!E33,"AAAAADJ792A=")</f>
        <v>#VALUE!</v>
      </c>
      <c r="CT35" t="e">
        <f>AND('Female SR Individual Freestyle'!F33,"AAAAADJ792E=")</f>
        <v>#VALUE!</v>
      </c>
      <c r="CU35" t="e">
        <f>AND('Female SR Individual Freestyle'!G33,"AAAAADJ792I=")</f>
        <v>#VALUE!</v>
      </c>
      <c r="CV35" t="e">
        <f>AND('Female SR Individual Freestyle'!H33,"AAAAADJ792M=")</f>
        <v>#VALUE!</v>
      </c>
      <c r="CW35" t="e">
        <f>AND('Female SR Individual Freestyle'!I33,"AAAAADJ792Q=")</f>
        <v>#VALUE!</v>
      </c>
      <c r="CX35" t="e">
        <f>AND('Female SR Individual Freestyle'!J33,"AAAAADJ792U=")</f>
        <v>#VALUE!</v>
      </c>
      <c r="CY35" t="e">
        <f>AND('Female SR Individual Freestyle'!K33,"AAAAADJ792Y=")</f>
        <v>#VALUE!</v>
      </c>
      <c r="CZ35" t="e">
        <f>AND('Female SR Individual Freestyle'!L33,"AAAAADJ792c=")</f>
        <v>#VALUE!</v>
      </c>
      <c r="DA35" t="e">
        <f>AND('Female SR Individual Freestyle'!M33,"AAAAADJ792g=")</f>
        <v>#VALUE!</v>
      </c>
      <c r="DB35">
        <f>IF('Female SR Individual Freestyle'!34:34,"AAAAADJ792k=",0)</f>
        <v>0</v>
      </c>
      <c r="DC35" t="e">
        <f>AND('Female SR Individual Freestyle'!A34,"AAAAADJ792o=")</f>
        <v>#VALUE!</v>
      </c>
      <c r="DD35" t="e">
        <f>AND('Female SR Individual Freestyle'!B34,"AAAAADJ792s=")</f>
        <v>#VALUE!</v>
      </c>
      <c r="DE35" t="e">
        <f>AND('Female SR Individual Freestyle'!C34,"AAAAADJ792w=")</f>
        <v>#VALUE!</v>
      </c>
      <c r="DF35" t="e">
        <f>AND('Female SR Individual Freestyle'!D34,"AAAAADJ7920=")</f>
        <v>#VALUE!</v>
      </c>
      <c r="DG35" t="e">
        <f>AND('Female SR Individual Freestyle'!E34,"AAAAADJ7924=")</f>
        <v>#VALUE!</v>
      </c>
      <c r="DH35" t="e">
        <f>AND('Female SR Individual Freestyle'!F34,"AAAAADJ7928=")</f>
        <v>#VALUE!</v>
      </c>
      <c r="DI35" t="e">
        <f>AND('Female SR Individual Freestyle'!G34,"AAAAADJ793A=")</f>
        <v>#VALUE!</v>
      </c>
      <c r="DJ35" t="e">
        <f>AND('Female SR Individual Freestyle'!H34,"AAAAADJ793E=")</f>
        <v>#VALUE!</v>
      </c>
      <c r="DK35" t="e">
        <f>AND('Female SR Individual Freestyle'!I34,"AAAAADJ793I=")</f>
        <v>#VALUE!</v>
      </c>
      <c r="DL35" t="e">
        <f>AND('Female SR Individual Freestyle'!J34,"AAAAADJ793M=")</f>
        <v>#VALUE!</v>
      </c>
      <c r="DM35" t="e">
        <f>AND('Female SR Individual Freestyle'!K34,"AAAAADJ793Q=")</f>
        <v>#VALUE!</v>
      </c>
      <c r="DN35" t="e">
        <f>AND('Female SR Individual Freestyle'!L34,"AAAAADJ793U=")</f>
        <v>#VALUE!</v>
      </c>
      <c r="DO35" t="e">
        <f>AND('Female SR Individual Freestyle'!M34,"AAAAADJ793Y=")</f>
        <v>#VALUE!</v>
      </c>
      <c r="DP35">
        <f>IF('Female SR Individual Freestyle'!35:35,"AAAAADJ793c=",0)</f>
        <v>0</v>
      </c>
      <c r="DQ35" t="e">
        <f>AND('Female SR Individual Freestyle'!A35,"AAAAADJ793g=")</f>
        <v>#VALUE!</v>
      </c>
      <c r="DR35" t="e">
        <f>AND('Female SR Individual Freestyle'!B35,"AAAAADJ793k=")</f>
        <v>#VALUE!</v>
      </c>
      <c r="DS35" t="e">
        <f>AND('Female SR Individual Freestyle'!C35,"AAAAADJ793o=")</f>
        <v>#VALUE!</v>
      </c>
      <c r="DT35" t="e">
        <f>AND('Female SR Individual Freestyle'!D35,"AAAAADJ793s=")</f>
        <v>#VALUE!</v>
      </c>
      <c r="DU35" t="e">
        <f>AND('Female SR Individual Freestyle'!E35,"AAAAADJ793w=")</f>
        <v>#VALUE!</v>
      </c>
      <c r="DV35" t="e">
        <f>AND('Female SR Individual Freestyle'!F35,"AAAAADJ7930=")</f>
        <v>#VALUE!</v>
      </c>
      <c r="DW35" t="e">
        <f>AND('Female SR Individual Freestyle'!G35,"AAAAADJ7934=")</f>
        <v>#VALUE!</v>
      </c>
      <c r="DX35" t="e">
        <f>AND('Female SR Individual Freestyle'!H35,"AAAAADJ7938=")</f>
        <v>#VALUE!</v>
      </c>
      <c r="DY35" t="e">
        <f>AND('Female SR Individual Freestyle'!I35,"AAAAADJ794A=")</f>
        <v>#VALUE!</v>
      </c>
      <c r="DZ35" t="e">
        <f>AND('Female SR Individual Freestyle'!J35,"AAAAADJ794E=")</f>
        <v>#VALUE!</v>
      </c>
      <c r="EA35" t="e">
        <f>AND('Female SR Individual Freestyle'!K35,"AAAAADJ794I=")</f>
        <v>#VALUE!</v>
      </c>
      <c r="EB35" t="e">
        <f>AND('Female SR Individual Freestyle'!L35,"AAAAADJ794M=")</f>
        <v>#VALUE!</v>
      </c>
      <c r="EC35" t="e">
        <f>AND('Female SR Individual Freestyle'!M35,"AAAAADJ794Q=")</f>
        <v>#VALUE!</v>
      </c>
      <c r="ED35">
        <f>IF('Female SR Individual Freestyle'!36:36,"AAAAADJ794U=",0)</f>
        <v>0</v>
      </c>
      <c r="EE35" t="e">
        <f>AND('Female SR Individual Freestyle'!A36,"AAAAADJ794Y=")</f>
        <v>#VALUE!</v>
      </c>
      <c r="EF35" t="e">
        <f>AND('Female SR Individual Freestyle'!B36,"AAAAADJ794c=")</f>
        <v>#VALUE!</v>
      </c>
      <c r="EG35" t="e">
        <f>AND('Female SR Individual Freestyle'!C36,"AAAAADJ794g=")</f>
        <v>#VALUE!</v>
      </c>
      <c r="EH35" t="e">
        <f>AND('Female SR Individual Freestyle'!D36,"AAAAADJ794k=")</f>
        <v>#VALUE!</v>
      </c>
      <c r="EI35" t="e">
        <f>AND('Female SR Individual Freestyle'!E36,"AAAAADJ794o=")</f>
        <v>#VALUE!</v>
      </c>
      <c r="EJ35" t="e">
        <f>AND('Female SR Individual Freestyle'!F36,"AAAAADJ794s=")</f>
        <v>#VALUE!</v>
      </c>
      <c r="EK35" t="e">
        <f>AND('Female SR Individual Freestyle'!G36,"AAAAADJ794w=")</f>
        <v>#VALUE!</v>
      </c>
      <c r="EL35" t="e">
        <f>AND('Female SR Individual Freestyle'!H36,"AAAAADJ7940=")</f>
        <v>#VALUE!</v>
      </c>
      <c r="EM35" t="e">
        <f>AND('Female SR Individual Freestyle'!I36,"AAAAADJ7944=")</f>
        <v>#VALUE!</v>
      </c>
      <c r="EN35" t="e">
        <f>AND('Female SR Individual Freestyle'!J36,"AAAAADJ7948=")</f>
        <v>#VALUE!</v>
      </c>
      <c r="EO35" t="e">
        <f>AND('Female SR Individual Freestyle'!K36,"AAAAADJ795A=")</f>
        <v>#VALUE!</v>
      </c>
      <c r="EP35" t="e">
        <f>AND('Female SR Individual Freestyle'!L36,"AAAAADJ795E=")</f>
        <v>#VALUE!</v>
      </c>
      <c r="EQ35" t="e">
        <f>AND('Female SR Individual Freestyle'!M36,"AAAAADJ795I=")</f>
        <v>#VALUE!</v>
      </c>
      <c r="ER35">
        <f>IF('Female SR Individual Freestyle'!37:37,"AAAAADJ795M=",0)</f>
        <v>0</v>
      </c>
      <c r="ES35" t="e">
        <f>AND('Female SR Individual Freestyle'!A37,"AAAAADJ795Q=")</f>
        <v>#VALUE!</v>
      </c>
      <c r="ET35" t="e">
        <f>AND('Female SR Individual Freestyle'!B37,"AAAAADJ795U=")</f>
        <v>#VALUE!</v>
      </c>
      <c r="EU35" t="e">
        <f>AND('Female SR Individual Freestyle'!C37,"AAAAADJ795Y=")</f>
        <v>#VALUE!</v>
      </c>
      <c r="EV35" t="e">
        <f>AND('Female SR Individual Freestyle'!D37,"AAAAADJ795c=")</f>
        <v>#VALUE!</v>
      </c>
      <c r="EW35" t="e">
        <f>AND('Female SR Individual Freestyle'!E37,"AAAAADJ795g=")</f>
        <v>#VALUE!</v>
      </c>
      <c r="EX35" t="e">
        <f>AND('Female SR Individual Freestyle'!F37,"AAAAADJ795k=")</f>
        <v>#VALUE!</v>
      </c>
      <c r="EY35" t="e">
        <f>AND('Female SR Individual Freestyle'!G37,"AAAAADJ795o=")</f>
        <v>#VALUE!</v>
      </c>
      <c r="EZ35" t="e">
        <f>AND('Female SR Individual Freestyle'!H37,"AAAAADJ795s=")</f>
        <v>#VALUE!</v>
      </c>
      <c r="FA35" t="e">
        <f>AND('Female SR Individual Freestyle'!I37,"AAAAADJ795w=")</f>
        <v>#VALUE!</v>
      </c>
      <c r="FB35" t="e">
        <f>AND('Female SR Individual Freestyle'!J37,"AAAAADJ7950=")</f>
        <v>#VALUE!</v>
      </c>
      <c r="FC35" t="e">
        <f>AND('Female SR Individual Freestyle'!K37,"AAAAADJ7954=")</f>
        <v>#VALUE!</v>
      </c>
      <c r="FD35" t="e">
        <f>AND('Female SR Individual Freestyle'!L37,"AAAAADJ7958=")</f>
        <v>#VALUE!</v>
      </c>
      <c r="FE35" t="e">
        <f>AND('Female SR Individual Freestyle'!M37,"AAAAADJ796A=")</f>
        <v>#VALUE!</v>
      </c>
      <c r="FF35">
        <f>IF('Female SR Individual Freestyle'!38:38,"AAAAADJ796E=",0)</f>
        <v>0</v>
      </c>
      <c r="FG35" t="e">
        <f>AND('Female SR Individual Freestyle'!A38,"AAAAADJ796I=")</f>
        <v>#VALUE!</v>
      </c>
      <c r="FH35" t="e">
        <f>AND('Female SR Individual Freestyle'!B38,"AAAAADJ796M=")</f>
        <v>#VALUE!</v>
      </c>
      <c r="FI35" t="e">
        <f>AND('Female SR Individual Freestyle'!C38,"AAAAADJ796Q=")</f>
        <v>#VALUE!</v>
      </c>
      <c r="FJ35" t="e">
        <f>AND('Female SR Individual Freestyle'!D38,"AAAAADJ796U=")</f>
        <v>#VALUE!</v>
      </c>
      <c r="FK35" t="e">
        <f>AND('Female SR Individual Freestyle'!E38,"AAAAADJ796Y=")</f>
        <v>#VALUE!</v>
      </c>
      <c r="FL35" t="e">
        <f>AND('Female SR Individual Freestyle'!F38,"AAAAADJ796c=")</f>
        <v>#VALUE!</v>
      </c>
      <c r="FM35" t="e">
        <f>AND('Female SR Individual Freestyle'!G38,"AAAAADJ796g=")</f>
        <v>#VALUE!</v>
      </c>
      <c r="FN35" t="e">
        <f>AND('Female SR Individual Freestyle'!H38,"AAAAADJ796k=")</f>
        <v>#VALUE!</v>
      </c>
      <c r="FO35" t="e">
        <f>AND('Female SR Individual Freestyle'!I38,"AAAAADJ796o=")</f>
        <v>#VALUE!</v>
      </c>
      <c r="FP35" t="e">
        <f>AND('Female SR Individual Freestyle'!J38,"AAAAADJ796s=")</f>
        <v>#VALUE!</v>
      </c>
      <c r="FQ35" t="e">
        <f>AND('Female SR Individual Freestyle'!K38,"AAAAADJ796w=")</f>
        <v>#VALUE!</v>
      </c>
      <c r="FR35" t="e">
        <f>AND('Female SR Individual Freestyle'!L38,"AAAAADJ7960=")</f>
        <v>#VALUE!</v>
      </c>
      <c r="FS35" t="e">
        <f>AND('Female SR Individual Freestyle'!M38,"AAAAADJ7964=")</f>
        <v>#VALUE!</v>
      </c>
      <c r="FT35">
        <f>IF('Female SR Individual Freestyle'!39:39,"AAAAADJ7968=",0)</f>
        <v>0</v>
      </c>
      <c r="FU35" t="e">
        <f>AND('Female SR Individual Freestyle'!A39,"AAAAADJ797A=")</f>
        <v>#VALUE!</v>
      </c>
      <c r="FV35" t="e">
        <f>AND('Female SR Individual Freestyle'!B39,"AAAAADJ797E=")</f>
        <v>#VALUE!</v>
      </c>
      <c r="FW35" t="e">
        <f>AND('Female SR Individual Freestyle'!C39,"AAAAADJ797I=")</f>
        <v>#VALUE!</v>
      </c>
      <c r="FX35" t="e">
        <f>AND('Female SR Individual Freestyle'!D39,"AAAAADJ797M=")</f>
        <v>#VALUE!</v>
      </c>
      <c r="FY35" t="e">
        <f>AND('Female SR Individual Freestyle'!E39,"AAAAADJ797Q=")</f>
        <v>#VALUE!</v>
      </c>
      <c r="FZ35" t="e">
        <f>AND('Female SR Individual Freestyle'!F39,"AAAAADJ797U=")</f>
        <v>#VALUE!</v>
      </c>
      <c r="GA35" t="e">
        <f>AND('Female SR Individual Freestyle'!G39,"AAAAADJ797Y=")</f>
        <v>#VALUE!</v>
      </c>
      <c r="GB35" t="e">
        <f>AND('Female SR Individual Freestyle'!H39,"AAAAADJ797c=")</f>
        <v>#VALUE!</v>
      </c>
      <c r="GC35" t="e">
        <f>AND('Female SR Individual Freestyle'!I39,"AAAAADJ797g=")</f>
        <v>#VALUE!</v>
      </c>
      <c r="GD35" t="e">
        <f>AND('Female SR Individual Freestyle'!J39,"AAAAADJ797k=")</f>
        <v>#VALUE!</v>
      </c>
      <c r="GE35" t="e">
        <f>AND('Female SR Individual Freestyle'!K39,"AAAAADJ797o=")</f>
        <v>#VALUE!</v>
      </c>
      <c r="GF35" t="e">
        <f>AND('Female SR Individual Freestyle'!L39,"AAAAADJ797s=")</f>
        <v>#VALUE!</v>
      </c>
      <c r="GG35" t="e">
        <f>AND('Female SR Individual Freestyle'!M39,"AAAAADJ797w=")</f>
        <v>#VALUE!</v>
      </c>
      <c r="GH35">
        <f>IF('Female SR Individual Freestyle'!40:40,"AAAAADJ7970=",0)</f>
        <v>0</v>
      </c>
      <c r="GI35" t="e">
        <f>AND('Female SR Individual Freestyle'!A40,"AAAAADJ7974=")</f>
        <v>#VALUE!</v>
      </c>
      <c r="GJ35" t="e">
        <f>AND('Female SR Individual Freestyle'!B40,"AAAAADJ7978=")</f>
        <v>#VALUE!</v>
      </c>
      <c r="GK35" t="e">
        <f>AND('Female SR Individual Freestyle'!C40,"AAAAADJ798A=")</f>
        <v>#VALUE!</v>
      </c>
      <c r="GL35" t="e">
        <f>AND('Female SR Individual Freestyle'!D40,"AAAAADJ798E=")</f>
        <v>#VALUE!</v>
      </c>
      <c r="GM35" t="e">
        <f>AND('Female SR Individual Freestyle'!E40,"AAAAADJ798I=")</f>
        <v>#VALUE!</v>
      </c>
      <c r="GN35" t="e">
        <f>AND('Female SR Individual Freestyle'!F40,"AAAAADJ798M=")</f>
        <v>#VALUE!</v>
      </c>
      <c r="GO35" t="e">
        <f>AND('Female SR Individual Freestyle'!G40,"AAAAADJ798Q=")</f>
        <v>#VALUE!</v>
      </c>
      <c r="GP35" t="e">
        <f>AND('Female SR Individual Freestyle'!H40,"AAAAADJ798U=")</f>
        <v>#VALUE!</v>
      </c>
      <c r="GQ35" t="e">
        <f>AND('Female SR Individual Freestyle'!I40,"AAAAADJ798Y=")</f>
        <v>#VALUE!</v>
      </c>
      <c r="GR35" t="e">
        <f>AND('Female SR Individual Freestyle'!J40,"AAAAADJ798c=")</f>
        <v>#VALUE!</v>
      </c>
      <c r="GS35" t="e">
        <f>AND('Female SR Individual Freestyle'!K40,"AAAAADJ798g=")</f>
        <v>#VALUE!</v>
      </c>
      <c r="GT35" t="e">
        <f>AND('Female SR Individual Freestyle'!L40,"AAAAADJ798k=")</f>
        <v>#VALUE!</v>
      </c>
      <c r="GU35" t="e">
        <f>AND('Female SR Individual Freestyle'!M40,"AAAAADJ798o=")</f>
        <v>#VALUE!</v>
      </c>
      <c r="GV35">
        <f>IF('Female SR Individual Freestyle'!41:41,"AAAAADJ798s=",0)</f>
        <v>0</v>
      </c>
      <c r="GW35" t="e">
        <f>AND('Female SR Individual Freestyle'!A41,"AAAAADJ798w=")</f>
        <v>#VALUE!</v>
      </c>
      <c r="GX35" t="e">
        <f>AND('Female SR Individual Freestyle'!B41,"AAAAADJ7980=")</f>
        <v>#VALUE!</v>
      </c>
      <c r="GY35" t="e">
        <f>AND('Female SR Individual Freestyle'!C41,"AAAAADJ7984=")</f>
        <v>#VALUE!</v>
      </c>
      <c r="GZ35" t="e">
        <f>AND('Female SR Individual Freestyle'!D41,"AAAAADJ7988=")</f>
        <v>#VALUE!</v>
      </c>
      <c r="HA35" t="e">
        <f>AND('Female SR Individual Freestyle'!E41,"AAAAADJ799A=")</f>
        <v>#VALUE!</v>
      </c>
      <c r="HB35" t="e">
        <f>AND('Female SR Individual Freestyle'!F41,"AAAAADJ799E=")</f>
        <v>#VALUE!</v>
      </c>
      <c r="HC35" t="e">
        <f>AND('Female SR Individual Freestyle'!G41,"AAAAADJ799I=")</f>
        <v>#VALUE!</v>
      </c>
      <c r="HD35" t="e">
        <f>AND('Female SR Individual Freestyle'!H41,"AAAAADJ799M=")</f>
        <v>#VALUE!</v>
      </c>
      <c r="HE35" t="e">
        <f>AND('Female SR Individual Freestyle'!I41,"AAAAADJ799Q=")</f>
        <v>#VALUE!</v>
      </c>
      <c r="HF35" t="e">
        <f>AND('Female SR Individual Freestyle'!J41,"AAAAADJ799U=")</f>
        <v>#VALUE!</v>
      </c>
      <c r="HG35" t="e">
        <f>AND('Female SR Individual Freestyle'!K41,"AAAAADJ799Y=")</f>
        <v>#VALUE!</v>
      </c>
      <c r="HH35" t="e">
        <f>AND('Female SR Individual Freestyle'!L41,"AAAAADJ799c=")</f>
        <v>#VALUE!</v>
      </c>
      <c r="HI35" t="e">
        <f>AND('Female SR Individual Freestyle'!M41,"AAAAADJ799g=")</f>
        <v>#VALUE!</v>
      </c>
      <c r="HJ35">
        <f>IF('Female SR Individual Freestyle'!42:42,"AAAAADJ799k=",0)</f>
        <v>0</v>
      </c>
      <c r="HK35" t="e">
        <f>AND('Female SR Individual Freestyle'!A42,"AAAAADJ799o=")</f>
        <v>#VALUE!</v>
      </c>
      <c r="HL35" t="e">
        <f>AND('Female SR Individual Freestyle'!B42,"AAAAADJ799s=")</f>
        <v>#VALUE!</v>
      </c>
      <c r="HM35" t="e">
        <f>AND('Female SR Individual Freestyle'!C42,"AAAAADJ799w=")</f>
        <v>#VALUE!</v>
      </c>
      <c r="HN35" t="e">
        <f>AND('Female SR Individual Freestyle'!D42,"AAAAADJ7990=")</f>
        <v>#VALUE!</v>
      </c>
      <c r="HO35" t="e">
        <f>AND('Female SR Individual Freestyle'!E42,"AAAAADJ7994=")</f>
        <v>#VALUE!</v>
      </c>
      <c r="HP35" t="e">
        <f>AND('Female SR Individual Freestyle'!F42,"AAAAADJ7998=")</f>
        <v>#VALUE!</v>
      </c>
      <c r="HQ35" t="e">
        <f>AND('Female SR Individual Freestyle'!G42,"AAAAADJ79+A=")</f>
        <v>#VALUE!</v>
      </c>
      <c r="HR35" t="e">
        <f>AND('Female SR Individual Freestyle'!H42,"AAAAADJ79+E=")</f>
        <v>#VALUE!</v>
      </c>
      <c r="HS35" t="e">
        <f>AND('Female SR Individual Freestyle'!I42,"AAAAADJ79+I=")</f>
        <v>#VALUE!</v>
      </c>
      <c r="HT35" t="e">
        <f>AND('Female SR Individual Freestyle'!J42,"AAAAADJ79+M=")</f>
        <v>#VALUE!</v>
      </c>
      <c r="HU35" t="e">
        <f>AND('Female SR Individual Freestyle'!K42,"AAAAADJ79+Q=")</f>
        <v>#VALUE!</v>
      </c>
      <c r="HV35" t="e">
        <f>AND('Female SR Individual Freestyle'!L42,"AAAAADJ79+U=")</f>
        <v>#VALUE!</v>
      </c>
      <c r="HW35" t="e">
        <f>AND('Female SR Individual Freestyle'!M42,"AAAAADJ79+Y=")</f>
        <v>#VALUE!</v>
      </c>
      <c r="HX35">
        <f>IF('Female SR Individual Freestyle'!43:43,"AAAAADJ79+c=",0)</f>
        <v>0</v>
      </c>
      <c r="HY35" t="e">
        <f>AND('Female SR Individual Freestyle'!A43,"AAAAADJ79+g=")</f>
        <v>#VALUE!</v>
      </c>
      <c r="HZ35" t="e">
        <f>AND('Female SR Individual Freestyle'!B43,"AAAAADJ79+k=")</f>
        <v>#VALUE!</v>
      </c>
      <c r="IA35" t="e">
        <f>AND('Female SR Individual Freestyle'!C43,"AAAAADJ79+o=")</f>
        <v>#VALUE!</v>
      </c>
      <c r="IB35" t="e">
        <f>AND('Female SR Individual Freestyle'!D43,"AAAAADJ79+s=")</f>
        <v>#VALUE!</v>
      </c>
      <c r="IC35" t="e">
        <f>AND('Female SR Individual Freestyle'!E43,"AAAAADJ79+w=")</f>
        <v>#VALUE!</v>
      </c>
      <c r="ID35" t="e">
        <f>AND('Female SR Individual Freestyle'!F43,"AAAAADJ79+0=")</f>
        <v>#VALUE!</v>
      </c>
      <c r="IE35" t="e">
        <f>AND('Female SR Individual Freestyle'!G43,"AAAAADJ79+4=")</f>
        <v>#VALUE!</v>
      </c>
      <c r="IF35" t="e">
        <f>AND('Female SR Individual Freestyle'!H43,"AAAAADJ79+8=")</f>
        <v>#VALUE!</v>
      </c>
      <c r="IG35" t="e">
        <f>AND('Female SR Individual Freestyle'!I43,"AAAAADJ79/A=")</f>
        <v>#VALUE!</v>
      </c>
      <c r="IH35" t="e">
        <f>AND('Female SR Individual Freestyle'!J43,"AAAAADJ79/E=")</f>
        <v>#VALUE!</v>
      </c>
      <c r="II35" t="e">
        <f>AND('Female SR Individual Freestyle'!K43,"AAAAADJ79/I=")</f>
        <v>#VALUE!</v>
      </c>
      <c r="IJ35" t="e">
        <f>AND('Female SR Individual Freestyle'!L43,"AAAAADJ79/M=")</f>
        <v>#VALUE!</v>
      </c>
      <c r="IK35" t="e">
        <f>AND('Female SR Individual Freestyle'!M43,"AAAAADJ79/Q=")</f>
        <v>#VALUE!</v>
      </c>
      <c r="IL35">
        <f>IF('Female SR Individual Freestyle'!44:44,"AAAAADJ79/U=",0)</f>
        <v>0</v>
      </c>
      <c r="IM35" t="e">
        <f>AND('Female SR Individual Freestyle'!A44,"AAAAADJ79/Y=")</f>
        <v>#VALUE!</v>
      </c>
      <c r="IN35" t="e">
        <f>AND('Female SR Individual Freestyle'!B44,"AAAAADJ79/c=")</f>
        <v>#VALUE!</v>
      </c>
      <c r="IO35" t="e">
        <f>AND('Female SR Individual Freestyle'!C44,"AAAAADJ79/g=")</f>
        <v>#VALUE!</v>
      </c>
      <c r="IP35" t="e">
        <f>AND('Female SR Individual Freestyle'!D44,"AAAAADJ79/k=")</f>
        <v>#VALUE!</v>
      </c>
      <c r="IQ35" t="e">
        <f>AND('Female SR Individual Freestyle'!E44,"AAAAADJ79/o=")</f>
        <v>#VALUE!</v>
      </c>
      <c r="IR35" t="e">
        <f>AND('Female SR Individual Freestyle'!F44,"AAAAADJ79/s=")</f>
        <v>#VALUE!</v>
      </c>
      <c r="IS35" t="e">
        <f>AND('Female SR Individual Freestyle'!G44,"AAAAADJ79/w=")</f>
        <v>#VALUE!</v>
      </c>
      <c r="IT35" t="e">
        <f>AND('Female SR Individual Freestyle'!H44,"AAAAADJ79/0=")</f>
        <v>#VALUE!</v>
      </c>
      <c r="IU35" t="e">
        <f>AND('Female SR Individual Freestyle'!I44,"AAAAADJ79/4=")</f>
        <v>#VALUE!</v>
      </c>
      <c r="IV35" t="e">
        <f>AND('Female SR Individual Freestyle'!J44,"AAAAADJ79/8=")</f>
        <v>#VALUE!</v>
      </c>
    </row>
    <row r="36" spans="1:256" x14ac:dyDescent="0.25">
      <c r="A36" t="e">
        <f>AND('Female SR Individual Freestyle'!K44,"AAAAAGe7fQA=")</f>
        <v>#VALUE!</v>
      </c>
      <c r="B36" t="e">
        <f>AND('Female SR Individual Freestyle'!L44,"AAAAAGe7fQE=")</f>
        <v>#VALUE!</v>
      </c>
      <c r="C36" t="e">
        <f>AND('Female SR Individual Freestyle'!M44,"AAAAAGe7fQI=")</f>
        <v>#VALUE!</v>
      </c>
      <c r="D36">
        <f>IF('Female SR Individual Freestyle'!45:45,"AAAAAGe7fQM=",0)</f>
        <v>0</v>
      </c>
      <c r="E36" t="e">
        <f>AND('Female SR Individual Freestyle'!A45,"AAAAAGe7fQQ=")</f>
        <v>#VALUE!</v>
      </c>
      <c r="F36" t="e">
        <f>AND('Female SR Individual Freestyle'!B45,"AAAAAGe7fQU=")</f>
        <v>#VALUE!</v>
      </c>
      <c r="G36" t="e">
        <f>AND('Female SR Individual Freestyle'!C45,"AAAAAGe7fQY=")</f>
        <v>#VALUE!</v>
      </c>
      <c r="H36" t="e">
        <f>AND('Female SR Individual Freestyle'!D45,"AAAAAGe7fQc=")</f>
        <v>#VALUE!</v>
      </c>
      <c r="I36" t="e">
        <f>AND('Female SR Individual Freestyle'!E45,"AAAAAGe7fQg=")</f>
        <v>#VALUE!</v>
      </c>
      <c r="J36" t="e">
        <f>AND('Female SR Individual Freestyle'!F45,"AAAAAGe7fQk=")</f>
        <v>#VALUE!</v>
      </c>
      <c r="K36" t="e">
        <f>AND('Female SR Individual Freestyle'!G45,"AAAAAGe7fQo=")</f>
        <v>#VALUE!</v>
      </c>
      <c r="L36" t="e">
        <f>AND('Female SR Individual Freestyle'!H45,"AAAAAGe7fQs=")</f>
        <v>#VALUE!</v>
      </c>
      <c r="M36" t="e">
        <f>AND('Female SR Individual Freestyle'!I45,"AAAAAGe7fQw=")</f>
        <v>#VALUE!</v>
      </c>
      <c r="N36" t="e">
        <f>AND('Female SR Individual Freestyle'!J45,"AAAAAGe7fQ0=")</f>
        <v>#VALUE!</v>
      </c>
      <c r="O36" t="e">
        <f>AND('Female SR Individual Freestyle'!K45,"AAAAAGe7fQ4=")</f>
        <v>#VALUE!</v>
      </c>
      <c r="P36" t="e">
        <f>AND('Female SR Individual Freestyle'!L45,"AAAAAGe7fQ8=")</f>
        <v>#VALUE!</v>
      </c>
      <c r="Q36" t="e">
        <f>AND('Female SR Individual Freestyle'!M45,"AAAAAGe7fRA=")</f>
        <v>#VALUE!</v>
      </c>
      <c r="R36">
        <f>IF('Female SR Individual Freestyle'!46:46,"AAAAAGe7fRE=",0)</f>
        <v>0</v>
      </c>
      <c r="S36" t="e">
        <f>AND('Female SR Individual Freestyle'!A46,"AAAAAGe7fRI=")</f>
        <v>#VALUE!</v>
      </c>
      <c r="T36" t="e">
        <f>AND('Female SR Individual Freestyle'!B46,"AAAAAGe7fRM=")</f>
        <v>#VALUE!</v>
      </c>
      <c r="U36" t="e">
        <f>AND('Female SR Individual Freestyle'!C46,"AAAAAGe7fRQ=")</f>
        <v>#VALUE!</v>
      </c>
      <c r="V36" t="e">
        <f>AND('Female SR Individual Freestyle'!D46,"AAAAAGe7fRU=")</f>
        <v>#VALUE!</v>
      </c>
      <c r="W36" t="e">
        <f>AND('Female SR Individual Freestyle'!E46,"AAAAAGe7fRY=")</f>
        <v>#VALUE!</v>
      </c>
      <c r="X36" t="e">
        <f>AND('Female SR Individual Freestyle'!F46,"AAAAAGe7fRc=")</f>
        <v>#VALUE!</v>
      </c>
      <c r="Y36" t="e">
        <f>AND('Female SR Individual Freestyle'!G46,"AAAAAGe7fRg=")</f>
        <v>#VALUE!</v>
      </c>
      <c r="Z36" t="e">
        <f>AND('Female SR Individual Freestyle'!H46,"AAAAAGe7fRk=")</f>
        <v>#VALUE!</v>
      </c>
      <c r="AA36" t="e">
        <f>AND('Female SR Individual Freestyle'!I46,"AAAAAGe7fRo=")</f>
        <v>#VALUE!</v>
      </c>
      <c r="AB36" t="e">
        <f>AND('Female SR Individual Freestyle'!J46,"AAAAAGe7fRs=")</f>
        <v>#VALUE!</v>
      </c>
      <c r="AC36" t="e">
        <f>AND('Female SR Individual Freestyle'!K46,"AAAAAGe7fRw=")</f>
        <v>#VALUE!</v>
      </c>
      <c r="AD36" t="e">
        <f>AND('Female SR Individual Freestyle'!L46,"AAAAAGe7fR0=")</f>
        <v>#VALUE!</v>
      </c>
      <c r="AE36" t="e">
        <f>AND('Female SR Individual Freestyle'!M46,"AAAAAGe7fR4=")</f>
        <v>#VALUE!</v>
      </c>
      <c r="AF36">
        <f>IF('Female SR Individual Freestyle'!47:47,"AAAAAGe7fR8=",0)</f>
        <v>0</v>
      </c>
      <c r="AG36" t="e">
        <f>AND('Female SR Individual Freestyle'!A47,"AAAAAGe7fSA=")</f>
        <v>#VALUE!</v>
      </c>
      <c r="AH36" t="e">
        <f>AND('Female SR Individual Freestyle'!B47,"AAAAAGe7fSE=")</f>
        <v>#VALUE!</v>
      </c>
      <c r="AI36" t="e">
        <f>AND('Female SR Individual Freestyle'!C47,"AAAAAGe7fSI=")</f>
        <v>#VALUE!</v>
      </c>
      <c r="AJ36" t="e">
        <f>AND('Female SR Individual Freestyle'!D47,"AAAAAGe7fSM=")</f>
        <v>#VALUE!</v>
      </c>
      <c r="AK36" t="e">
        <f>AND('Female SR Individual Freestyle'!E47,"AAAAAGe7fSQ=")</f>
        <v>#VALUE!</v>
      </c>
      <c r="AL36" t="e">
        <f>AND('Female SR Individual Freestyle'!F47,"AAAAAGe7fSU=")</f>
        <v>#VALUE!</v>
      </c>
      <c r="AM36" t="e">
        <f>AND('Female SR Individual Freestyle'!G47,"AAAAAGe7fSY=")</f>
        <v>#VALUE!</v>
      </c>
      <c r="AN36" t="e">
        <f>AND('Female SR Individual Freestyle'!H47,"AAAAAGe7fSc=")</f>
        <v>#VALUE!</v>
      </c>
      <c r="AO36" t="e">
        <f>AND('Female SR Individual Freestyle'!I47,"AAAAAGe7fSg=")</f>
        <v>#VALUE!</v>
      </c>
      <c r="AP36" t="e">
        <f>AND('Female SR Individual Freestyle'!J47,"AAAAAGe7fSk=")</f>
        <v>#VALUE!</v>
      </c>
      <c r="AQ36" t="e">
        <f>AND('Female SR Individual Freestyle'!K47,"AAAAAGe7fSo=")</f>
        <v>#VALUE!</v>
      </c>
      <c r="AR36" t="e">
        <f>AND('Female SR Individual Freestyle'!L47,"AAAAAGe7fSs=")</f>
        <v>#VALUE!</v>
      </c>
      <c r="AS36" t="e">
        <f>AND('Female SR Individual Freestyle'!M47,"AAAAAGe7fSw=")</f>
        <v>#VALUE!</v>
      </c>
      <c r="AT36">
        <f>IF('Female SR Individual Freestyle'!48:48,"AAAAAGe7fS0=",0)</f>
        <v>0</v>
      </c>
      <c r="AU36" t="e">
        <f>AND('Female SR Individual Freestyle'!A48,"AAAAAGe7fS4=")</f>
        <v>#VALUE!</v>
      </c>
      <c r="AV36" t="e">
        <f>AND('Female SR Individual Freestyle'!B48,"AAAAAGe7fS8=")</f>
        <v>#VALUE!</v>
      </c>
      <c r="AW36" t="e">
        <f>AND('Female SR Individual Freestyle'!C48,"AAAAAGe7fTA=")</f>
        <v>#VALUE!</v>
      </c>
      <c r="AX36" t="e">
        <f>AND('Female SR Individual Freestyle'!D48,"AAAAAGe7fTE=")</f>
        <v>#VALUE!</v>
      </c>
      <c r="AY36" t="e">
        <f>AND('Female SR Individual Freestyle'!E48,"AAAAAGe7fTI=")</f>
        <v>#VALUE!</v>
      </c>
      <c r="AZ36" t="e">
        <f>AND('Female SR Individual Freestyle'!F48,"AAAAAGe7fTM=")</f>
        <v>#VALUE!</v>
      </c>
      <c r="BA36" t="e">
        <f>AND('Female SR Individual Freestyle'!G48,"AAAAAGe7fTQ=")</f>
        <v>#VALUE!</v>
      </c>
      <c r="BB36" t="e">
        <f>AND('Female SR Individual Freestyle'!H48,"AAAAAGe7fTU=")</f>
        <v>#VALUE!</v>
      </c>
      <c r="BC36" t="e">
        <f>AND('Female SR Individual Freestyle'!I48,"AAAAAGe7fTY=")</f>
        <v>#VALUE!</v>
      </c>
      <c r="BD36" t="e">
        <f>AND('Female SR Individual Freestyle'!J48,"AAAAAGe7fTc=")</f>
        <v>#VALUE!</v>
      </c>
      <c r="BE36" t="e">
        <f>AND('Female SR Individual Freestyle'!K48,"AAAAAGe7fTg=")</f>
        <v>#VALUE!</v>
      </c>
      <c r="BF36" t="e">
        <f>AND('Female SR Individual Freestyle'!L48,"AAAAAGe7fTk=")</f>
        <v>#VALUE!</v>
      </c>
      <c r="BG36" t="e">
        <f>AND('Female SR Individual Freestyle'!M48,"AAAAAGe7fTo=")</f>
        <v>#VALUE!</v>
      </c>
      <c r="BH36">
        <f>IF('Female SR Individual Freestyle'!49:49,"AAAAAGe7fTs=",0)</f>
        <v>0</v>
      </c>
      <c r="BI36" t="e">
        <f>AND('Female SR Individual Freestyle'!A49,"AAAAAGe7fTw=")</f>
        <v>#VALUE!</v>
      </c>
      <c r="BJ36" t="e">
        <f>AND('Female SR Individual Freestyle'!B49,"AAAAAGe7fT0=")</f>
        <v>#VALUE!</v>
      </c>
      <c r="BK36" t="e">
        <f>AND('Female SR Individual Freestyle'!C49,"AAAAAGe7fT4=")</f>
        <v>#VALUE!</v>
      </c>
      <c r="BL36" t="e">
        <f>AND('Female SR Individual Freestyle'!D49,"AAAAAGe7fT8=")</f>
        <v>#VALUE!</v>
      </c>
      <c r="BM36" t="e">
        <f>AND('Female SR Individual Freestyle'!E49,"AAAAAGe7fUA=")</f>
        <v>#VALUE!</v>
      </c>
      <c r="BN36" t="e">
        <f>AND('Female SR Individual Freestyle'!F49,"AAAAAGe7fUE=")</f>
        <v>#VALUE!</v>
      </c>
      <c r="BO36" t="e">
        <f>AND('Female SR Individual Freestyle'!G49,"AAAAAGe7fUI=")</f>
        <v>#VALUE!</v>
      </c>
      <c r="BP36" t="e">
        <f>AND('Female SR Individual Freestyle'!H49,"AAAAAGe7fUM=")</f>
        <v>#VALUE!</v>
      </c>
      <c r="BQ36" t="e">
        <f>AND('Female SR Individual Freestyle'!I49,"AAAAAGe7fUQ=")</f>
        <v>#VALUE!</v>
      </c>
      <c r="BR36" t="e">
        <f>AND('Female SR Individual Freestyle'!J49,"AAAAAGe7fUU=")</f>
        <v>#VALUE!</v>
      </c>
      <c r="BS36" t="e">
        <f>AND('Female SR Individual Freestyle'!K49,"AAAAAGe7fUY=")</f>
        <v>#VALUE!</v>
      </c>
      <c r="BT36" t="e">
        <f>AND('Female SR Individual Freestyle'!L49,"AAAAAGe7fUc=")</f>
        <v>#VALUE!</v>
      </c>
      <c r="BU36" t="e">
        <f>AND('Female SR Individual Freestyle'!M49,"AAAAAGe7fUg=")</f>
        <v>#VALUE!</v>
      </c>
      <c r="BV36">
        <f>IF('Female SR Individual Freestyle'!50:50,"AAAAAGe7fUk=",0)</f>
        <v>0</v>
      </c>
      <c r="BW36" t="e">
        <f>AND('Female SR Individual Freestyle'!A50,"AAAAAGe7fUo=")</f>
        <v>#VALUE!</v>
      </c>
      <c r="BX36" t="e">
        <f>AND('Female SR Individual Freestyle'!B50,"AAAAAGe7fUs=")</f>
        <v>#VALUE!</v>
      </c>
      <c r="BY36" t="e">
        <f>AND('Female SR Individual Freestyle'!C50,"AAAAAGe7fUw=")</f>
        <v>#VALUE!</v>
      </c>
      <c r="BZ36" t="e">
        <f>AND('Female SR Individual Freestyle'!D50,"AAAAAGe7fU0=")</f>
        <v>#VALUE!</v>
      </c>
      <c r="CA36" t="e">
        <f>AND('Female SR Individual Freestyle'!E50,"AAAAAGe7fU4=")</f>
        <v>#VALUE!</v>
      </c>
      <c r="CB36" t="e">
        <f>AND('Female SR Individual Freestyle'!F50,"AAAAAGe7fU8=")</f>
        <v>#VALUE!</v>
      </c>
      <c r="CC36" t="e">
        <f>AND('Female SR Individual Freestyle'!G50,"AAAAAGe7fVA=")</f>
        <v>#VALUE!</v>
      </c>
      <c r="CD36" t="e">
        <f>AND('Female SR Individual Freestyle'!H50,"AAAAAGe7fVE=")</f>
        <v>#VALUE!</v>
      </c>
      <c r="CE36" t="e">
        <f>AND('Female SR Individual Freestyle'!I50,"AAAAAGe7fVI=")</f>
        <v>#VALUE!</v>
      </c>
      <c r="CF36" t="e">
        <f>AND('Female SR Individual Freestyle'!J50,"AAAAAGe7fVM=")</f>
        <v>#VALUE!</v>
      </c>
      <c r="CG36" t="e">
        <f>AND('Female SR Individual Freestyle'!K50,"AAAAAGe7fVQ=")</f>
        <v>#VALUE!</v>
      </c>
      <c r="CH36" t="e">
        <f>AND('Female SR Individual Freestyle'!L50,"AAAAAGe7fVU=")</f>
        <v>#VALUE!</v>
      </c>
      <c r="CI36" t="e">
        <f>AND('Female SR Individual Freestyle'!M50,"AAAAAGe7fVY=")</f>
        <v>#VALUE!</v>
      </c>
      <c r="CJ36">
        <f>IF('Female SR Individual Freestyle'!51:51,"AAAAAGe7fVc=",0)</f>
        <v>0</v>
      </c>
      <c r="CK36" t="e">
        <f>AND('Female SR Individual Freestyle'!A51,"AAAAAGe7fVg=")</f>
        <v>#VALUE!</v>
      </c>
      <c r="CL36" t="e">
        <f>AND('Female SR Individual Freestyle'!B51,"AAAAAGe7fVk=")</f>
        <v>#VALUE!</v>
      </c>
      <c r="CM36" t="e">
        <f>AND('Female SR Individual Freestyle'!C51,"AAAAAGe7fVo=")</f>
        <v>#VALUE!</v>
      </c>
      <c r="CN36" t="e">
        <f>AND('Female SR Individual Freestyle'!D51,"AAAAAGe7fVs=")</f>
        <v>#VALUE!</v>
      </c>
      <c r="CO36" t="e">
        <f>AND('Female SR Individual Freestyle'!E51,"AAAAAGe7fVw=")</f>
        <v>#VALUE!</v>
      </c>
      <c r="CP36" t="e">
        <f>AND('Female SR Individual Freestyle'!F51,"AAAAAGe7fV0=")</f>
        <v>#VALUE!</v>
      </c>
      <c r="CQ36" t="e">
        <f>AND('Female SR Individual Freestyle'!G51,"AAAAAGe7fV4=")</f>
        <v>#VALUE!</v>
      </c>
      <c r="CR36" t="e">
        <f>AND('Female SR Individual Freestyle'!H51,"AAAAAGe7fV8=")</f>
        <v>#VALUE!</v>
      </c>
      <c r="CS36" t="e">
        <f>AND('Female SR Individual Freestyle'!I51,"AAAAAGe7fWA=")</f>
        <v>#VALUE!</v>
      </c>
      <c r="CT36" t="e">
        <f>AND('Female SR Individual Freestyle'!J51,"AAAAAGe7fWE=")</f>
        <v>#VALUE!</v>
      </c>
      <c r="CU36" t="e">
        <f>AND('Female SR Individual Freestyle'!K51,"AAAAAGe7fWI=")</f>
        <v>#VALUE!</v>
      </c>
      <c r="CV36" t="e">
        <f>AND('Female SR Individual Freestyle'!L51,"AAAAAGe7fWM=")</f>
        <v>#VALUE!</v>
      </c>
      <c r="CW36" t="e">
        <f>AND('Female SR Individual Freestyle'!M51,"AAAAAGe7fWQ=")</f>
        <v>#VALUE!</v>
      </c>
      <c r="CX36">
        <f>IF('Female SR Individual Freestyle'!52:52,"AAAAAGe7fWU=",0)</f>
        <v>0</v>
      </c>
      <c r="CY36" t="e">
        <f>AND('Female SR Individual Freestyle'!A52,"AAAAAGe7fWY=")</f>
        <v>#VALUE!</v>
      </c>
      <c r="CZ36" t="e">
        <f>AND('Female SR Individual Freestyle'!B52,"AAAAAGe7fWc=")</f>
        <v>#VALUE!</v>
      </c>
      <c r="DA36" t="e">
        <f>AND('Female SR Individual Freestyle'!C52,"AAAAAGe7fWg=")</f>
        <v>#VALUE!</v>
      </c>
      <c r="DB36" t="e">
        <f>AND('Female SR Individual Freestyle'!D52,"AAAAAGe7fWk=")</f>
        <v>#VALUE!</v>
      </c>
      <c r="DC36" t="e">
        <f>AND('Female SR Individual Freestyle'!E52,"AAAAAGe7fWo=")</f>
        <v>#VALUE!</v>
      </c>
      <c r="DD36" t="e">
        <f>AND('Female SR Individual Freestyle'!F52,"AAAAAGe7fWs=")</f>
        <v>#VALUE!</v>
      </c>
      <c r="DE36" t="e">
        <f>AND('Female SR Individual Freestyle'!G52,"AAAAAGe7fWw=")</f>
        <v>#VALUE!</v>
      </c>
      <c r="DF36" t="e">
        <f>AND('Female SR Individual Freestyle'!H52,"AAAAAGe7fW0=")</f>
        <v>#VALUE!</v>
      </c>
      <c r="DG36" t="e">
        <f>AND('Female SR Individual Freestyle'!I52,"AAAAAGe7fW4=")</f>
        <v>#VALUE!</v>
      </c>
      <c r="DH36" t="e">
        <f>AND('Female SR Individual Freestyle'!J52,"AAAAAGe7fW8=")</f>
        <v>#VALUE!</v>
      </c>
      <c r="DI36" t="e">
        <f>AND('Female SR Individual Freestyle'!K52,"AAAAAGe7fXA=")</f>
        <v>#VALUE!</v>
      </c>
      <c r="DJ36" t="e">
        <f>AND('Female SR Individual Freestyle'!L52,"AAAAAGe7fXE=")</f>
        <v>#VALUE!</v>
      </c>
      <c r="DK36" t="e">
        <f>AND('Female SR Individual Freestyle'!M52,"AAAAAGe7fXI=")</f>
        <v>#VALUE!</v>
      </c>
      <c r="DL36">
        <f>IF('Female SR Individual Freestyle'!53:53,"AAAAAGe7fXM=",0)</f>
        <v>0</v>
      </c>
      <c r="DM36" t="e">
        <f>AND('Female SR Individual Freestyle'!A53,"AAAAAGe7fXQ=")</f>
        <v>#VALUE!</v>
      </c>
      <c r="DN36" t="e">
        <f>AND('Female SR Individual Freestyle'!B53,"AAAAAGe7fXU=")</f>
        <v>#VALUE!</v>
      </c>
      <c r="DO36" t="e">
        <f>AND('Female SR Individual Freestyle'!C53,"AAAAAGe7fXY=")</f>
        <v>#VALUE!</v>
      </c>
      <c r="DP36" t="e">
        <f>AND('Female SR Individual Freestyle'!D53,"AAAAAGe7fXc=")</f>
        <v>#VALUE!</v>
      </c>
      <c r="DQ36" t="e">
        <f>AND('Female SR Individual Freestyle'!E53,"AAAAAGe7fXg=")</f>
        <v>#VALUE!</v>
      </c>
      <c r="DR36" t="e">
        <f>AND('Female SR Individual Freestyle'!F53,"AAAAAGe7fXk=")</f>
        <v>#VALUE!</v>
      </c>
      <c r="DS36" t="e">
        <f>AND('Female SR Individual Freestyle'!G53,"AAAAAGe7fXo=")</f>
        <v>#VALUE!</v>
      </c>
      <c r="DT36" t="e">
        <f>AND('Female SR Individual Freestyle'!H53,"AAAAAGe7fXs=")</f>
        <v>#VALUE!</v>
      </c>
      <c r="DU36" t="e">
        <f>AND('Female SR Individual Freestyle'!I53,"AAAAAGe7fXw=")</f>
        <v>#VALUE!</v>
      </c>
      <c r="DV36" t="e">
        <f>AND('Female SR Individual Freestyle'!J53,"AAAAAGe7fX0=")</f>
        <v>#VALUE!</v>
      </c>
      <c r="DW36" t="e">
        <f>AND('Female SR Individual Freestyle'!K53,"AAAAAGe7fX4=")</f>
        <v>#VALUE!</v>
      </c>
      <c r="DX36" t="e">
        <f>AND('Female SR Individual Freestyle'!L53,"AAAAAGe7fX8=")</f>
        <v>#VALUE!</v>
      </c>
      <c r="DY36" t="e">
        <f>AND('Female SR Individual Freestyle'!M53,"AAAAAGe7fYA=")</f>
        <v>#VALUE!</v>
      </c>
      <c r="DZ36">
        <f>IF('Female SR Individual Freestyle'!54:54,"AAAAAGe7fYE=",0)</f>
        <v>0</v>
      </c>
      <c r="EA36" t="e">
        <f>AND('Female SR Individual Freestyle'!A54,"AAAAAGe7fYI=")</f>
        <v>#VALUE!</v>
      </c>
      <c r="EB36" t="e">
        <f>AND('Female SR Individual Freestyle'!B54,"AAAAAGe7fYM=")</f>
        <v>#VALUE!</v>
      </c>
      <c r="EC36" t="e">
        <f>AND('Female SR Individual Freestyle'!C54,"AAAAAGe7fYQ=")</f>
        <v>#VALUE!</v>
      </c>
      <c r="ED36" t="e">
        <f>AND('Female SR Individual Freestyle'!D54,"AAAAAGe7fYU=")</f>
        <v>#VALUE!</v>
      </c>
      <c r="EE36" t="e">
        <f>AND('Female SR Individual Freestyle'!E54,"AAAAAGe7fYY=")</f>
        <v>#VALUE!</v>
      </c>
      <c r="EF36" t="e">
        <f>AND('Female SR Individual Freestyle'!F54,"AAAAAGe7fYc=")</f>
        <v>#VALUE!</v>
      </c>
      <c r="EG36" t="e">
        <f>AND('Female SR Individual Freestyle'!G54,"AAAAAGe7fYg=")</f>
        <v>#VALUE!</v>
      </c>
      <c r="EH36" t="e">
        <f>AND('Female SR Individual Freestyle'!H54,"AAAAAGe7fYk=")</f>
        <v>#VALUE!</v>
      </c>
      <c r="EI36" t="e">
        <f>AND('Female SR Individual Freestyle'!I54,"AAAAAGe7fYo=")</f>
        <v>#VALUE!</v>
      </c>
      <c r="EJ36" t="e">
        <f>AND('Female SR Individual Freestyle'!J54,"AAAAAGe7fYs=")</f>
        <v>#VALUE!</v>
      </c>
      <c r="EK36" t="e">
        <f>AND('Female SR Individual Freestyle'!K54,"AAAAAGe7fYw=")</f>
        <v>#VALUE!</v>
      </c>
      <c r="EL36" t="e">
        <f>AND('Female SR Individual Freestyle'!L54,"AAAAAGe7fY0=")</f>
        <v>#VALUE!</v>
      </c>
      <c r="EM36" t="e">
        <f>AND('Female SR Individual Freestyle'!M54,"AAAAAGe7fY4=")</f>
        <v>#VALUE!</v>
      </c>
      <c r="EN36">
        <f>IF('Female SR Individual Freestyle'!55:55,"AAAAAGe7fY8=",0)</f>
        <v>0</v>
      </c>
      <c r="EO36" t="e">
        <f>AND('Female SR Individual Freestyle'!A55,"AAAAAGe7fZA=")</f>
        <v>#VALUE!</v>
      </c>
      <c r="EP36" t="e">
        <f>AND('Female SR Individual Freestyle'!B55,"AAAAAGe7fZE=")</f>
        <v>#VALUE!</v>
      </c>
      <c r="EQ36" t="e">
        <f>AND('Female SR Individual Freestyle'!C55,"AAAAAGe7fZI=")</f>
        <v>#VALUE!</v>
      </c>
      <c r="ER36" t="e">
        <f>AND('Female SR Individual Freestyle'!D55,"AAAAAGe7fZM=")</f>
        <v>#VALUE!</v>
      </c>
      <c r="ES36" t="e">
        <f>AND('Female SR Individual Freestyle'!E55,"AAAAAGe7fZQ=")</f>
        <v>#VALUE!</v>
      </c>
      <c r="ET36" t="e">
        <f>AND('Female SR Individual Freestyle'!F55,"AAAAAGe7fZU=")</f>
        <v>#VALUE!</v>
      </c>
      <c r="EU36" t="e">
        <f>AND('Female SR Individual Freestyle'!G55,"AAAAAGe7fZY=")</f>
        <v>#VALUE!</v>
      </c>
      <c r="EV36" t="e">
        <f>AND('Female SR Individual Freestyle'!H55,"AAAAAGe7fZc=")</f>
        <v>#VALUE!</v>
      </c>
      <c r="EW36" t="e">
        <f>AND('Female SR Individual Freestyle'!I55,"AAAAAGe7fZg=")</f>
        <v>#VALUE!</v>
      </c>
      <c r="EX36" t="e">
        <f>AND('Female SR Individual Freestyle'!J55,"AAAAAGe7fZk=")</f>
        <v>#VALUE!</v>
      </c>
      <c r="EY36" t="e">
        <f>AND('Female SR Individual Freestyle'!K55,"AAAAAGe7fZo=")</f>
        <v>#VALUE!</v>
      </c>
      <c r="EZ36" t="e">
        <f>AND('Female SR Individual Freestyle'!L55,"AAAAAGe7fZs=")</f>
        <v>#VALUE!</v>
      </c>
      <c r="FA36" t="e">
        <f>AND('Female SR Individual Freestyle'!M55,"AAAAAGe7fZw=")</f>
        <v>#VALUE!</v>
      </c>
      <c r="FB36">
        <f>IF('Female SR Individual Freestyle'!56:56,"AAAAAGe7fZ0=",0)</f>
        <v>0</v>
      </c>
      <c r="FC36" t="e">
        <f>AND('Female SR Individual Freestyle'!A56,"AAAAAGe7fZ4=")</f>
        <v>#VALUE!</v>
      </c>
      <c r="FD36" t="e">
        <f>AND('Female SR Individual Freestyle'!B56,"AAAAAGe7fZ8=")</f>
        <v>#VALUE!</v>
      </c>
      <c r="FE36" t="e">
        <f>AND('Female SR Individual Freestyle'!C56,"AAAAAGe7faA=")</f>
        <v>#VALUE!</v>
      </c>
      <c r="FF36" t="e">
        <f>AND('Female SR Individual Freestyle'!D56,"AAAAAGe7faE=")</f>
        <v>#VALUE!</v>
      </c>
      <c r="FG36" t="e">
        <f>AND('Female SR Individual Freestyle'!E56,"AAAAAGe7faI=")</f>
        <v>#VALUE!</v>
      </c>
      <c r="FH36" t="e">
        <f>AND('Female SR Individual Freestyle'!F56,"AAAAAGe7faM=")</f>
        <v>#VALUE!</v>
      </c>
      <c r="FI36" t="e">
        <f>AND('Female SR Individual Freestyle'!G56,"AAAAAGe7faQ=")</f>
        <v>#VALUE!</v>
      </c>
      <c r="FJ36" t="e">
        <f>AND('Female SR Individual Freestyle'!H56,"AAAAAGe7faU=")</f>
        <v>#VALUE!</v>
      </c>
      <c r="FK36" t="e">
        <f>AND('Female SR Individual Freestyle'!I56,"AAAAAGe7faY=")</f>
        <v>#VALUE!</v>
      </c>
      <c r="FL36" t="e">
        <f>AND('Female SR Individual Freestyle'!J56,"AAAAAGe7fac=")</f>
        <v>#VALUE!</v>
      </c>
      <c r="FM36" t="e">
        <f>AND('Female SR Individual Freestyle'!K56,"AAAAAGe7fag=")</f>
        <v>#VALUE!</v>
      </c>
      <c r="FN36" t="e">
        <f>AND('Female SR Individual Freestyle'!L56,"AAAAAGe7fak=")</f>
        <v>#VALUE!</v>
      </c>
      <c r="FO36" t="e">
        <f>AND('Female SR Individual Freestyle'!M56,"AAAAAGe7fao=")</f>
        <v>#VALUE!</v>
      </c>
      <c r="FP36">
        <f>IF('Female SR Individual Freestyle'!57:57,"AAAAAGe7fas=",0)</f>
        <v>0</v>
      </c>
      <c r="FQ36" t="e">
        <f>AND('Female SR Individual Freestyle'!A57,"AAAAAGe7faw=")</f>
        <v>#VALUE!</v>
      </c>
      <c r="FR36" t="e">
        <f>AND('Female SR Individual Freestyle'!B57,"AAAAAGe7fa0=")</f>
        <v>#VALUE!</v>
      </c>
      <c r="FS36" t="e">
        <f>AND('Female SR Individual Freestyle'!C57,"AAAAAGe7fa4=")</f>
        <v>#VALUE!</v>
      </c>
      <c r="FT36" t="e">
        <f>AND('Female SR Individual Freestyle'!D57,"AAAAAGe7fa8=")</f>
        <v>#VALUE!</v>
      </c>
      <c r="FU36" t="e">
        <f>AND('Female SR Individual Freestyle'!E57,"AAAAAGe7fbA=")</f>
        <v>#VALUE!</v>
      </c>
      <c r="FV36" t="e">
        <f>AND('Female SR Individual Freestyle'!F57,"AAAAAGe7fbE=")</f>
        <v>#VALUE!</v>
      </c>
      <c r="FW36" t="e">
        <f>AND('Female SR Individual Freestyle'!G57,"AAAAAGe7fbI=")</f>
        <v>#VALUE!</v>
      </c>
      <c r="FX36" t="e">
        <f>AND('Female SR Individual Freestyle'!H57,"AAAAAGe7fbM=")</f>
        <v>#VALUE!</v>
      </c>
      <c r="FY36" t="e">
        <f>AND('Female SR Individual Freestyle'!I57,"AAAAAGe7fbQ=")</f>
        <v>#VALUE!</v>
      </c>
      <c r="FZ36" t="e">
        <f>AND('Female SR Individual Freestyle'!J57,"AAAAAGe7fbU=")</f>
        <v>#VALUE!</v>
      </c>
      <c r="GA36" t="e">
        <f>AND('Female SR Individual Freestyle'!K57,"AAAAAGe7fbY=")</f>
        <v>#VALUE!</v>
      </c>
      <c r="GB36" t="e">
        <f>AND('Female SR Individual Freestyle'!L57,"AAAAAGe7fbc=")</f>
        <v>#VALUE!</v>
      </c>
      <c r="GC36" t="e">
        <f>AND('Female SR Individual Freestyle'!M57,"AAAAAGe7fbg=")</f>
        <v>#VALUE!</v>
      </c>
      <c r="GD36">
        <f>IF('Female SR Individual Freestyle'!58:58,"AAAAAGe7fbk=",0)</f>
        <v>0</v>
      </c>
      <c r="GE36" t="e">
        <f>AND('Female SR Individual Freestyle'!A58,"AAAAAGe7fbo=")</f>
        <v>#VALUE!</v>
      </c>
      <c r="GF36" t="e">
        <f>AND('Female SR Individual Freestyle'!B58,"AAAAAGe7fbs=")</f>
        <v>#VALUE!</v>
      </c>
      <c r="GG36" t="e">
        <f>AND('Female SR Individual Freestyle'!C58,"AAAAAGe7fbw=")</f>
        <v>#VALUE!</v>
      </c>
      <c r="GH36" t="e">
        <f>AND('Female SR Individual Freestyle'!D58,"AAAAAGe7fb0=")</f>
        <v>#VALUE!</v>
      </c>
      <c r="GI36" t="e">
        <f>AND('Female SR Individual Freestyle'!E58,"AAAAAGe7fb4=")</f>
        <v>#VALUE!</v>
      </c>
      <c r="GJ36" t="e">
        <f>AND('Female SR Individual Freestyle'!F58,"AAAAAGe7fb8=")</f>
        <v>#VALUE!</v>
      </c>
      <c r="GK36" t="e">
        <f>AND('Female SR Individual Freestyle'!G58,"AAAAAGe7fcA=")</f>
        <v>#VALUE!</v>
      </c>
      <c r="GL36" t="e">
        <f>AND('Female SR Individual Freestyle'!H58,"AAAAAGe7fcE=")</f>
        <v>#VALUE!</v>
      </c>
      <c r="GM36" t="e">
        <f>AND('Female SR Individual Freestyle'!I58,"AAAAAGe7fcI=")</f>
        <v>#VALUE!</v>
      </c>
      <c r="GN36" t="e">
        <f>AND('Female SR Individual Freestyle'!J58,"AAAAAGe7fcM=")</f>
        <v>#VALUE!</v>
      </c>
      <c r="GO36" t="e">
        <f>AND('Female SR Individual Freestyle'!K58,"AAAAAGe7fcQ=")</f>
        <v>#VALUE!</v>
      </c>
      <c r="GP36" t="e">
        <f>AND('Female SR Individual Freestyle'!L58,"AAAAAGe7fcU=")</f>
        <v>#VALUE!</v>
      </c>
      <c r="GQ36" t="e">
        <f>AND('Female SR Individual Freestyle'!M58,"AAAAAGe7fcY=")</f>
        <v>#VALUE!</v>
      </c>
      <c r="GR36">
        <f>IF('Female SR Individual Freestyle'!59:59,"AAAAAGe7fcc=",0)</f>
        <v>0</v>
      </c>
      <c r="GS36" t="e">
        <f>AND('Female SR Individual Freestyle'!A59,"AAAAAGe7fcg=")</f>
        <v>#VALUE!</v>
      </c>
      <c r="GT36" t="e">
        <f>AND('Female SR Individual Freestyle'!B59,"AAAAAGe7fck=")</f>
        <v>#VALUE!</v>
      </c>
      <c r="GU36" t="e">
        <f>AND('Female SR Individual Freestyle'!C59,"AAAAAGe7fco=")</f>
        <v>#VALUE!</v>
      </c>
      <c r="GV36" t="e">
        <f>AND('Female SR Individual Freestyle'!D59,"AAAAAGe7fcs=")</f>
        <v>#VALUE!</v>
      </c>
      <c r="GW36" t="e">
        <f>AND('Female SR Individual Freestyle'!E59,"AAAAAGe7fcw=")</f>
        <v>#VALUE!</v>
      </c>
      <c r="GX36" t="e">
        <f>AND('Female SR Individual Freestyle'!F59,"AAAAAGe7fc0=")</f>
        <v>#VALUE!</v>
      </c>
      <c r="GY36" t="e">
        <f>AND('Female SR Individual Freestyle'!G59,"AAAAAGe7fc4=")</f>
        <v>#VALUE!</v>
      </c>
      <c r="GZ36" t="e">
        <f>AND('Female SR Individual Freestyle'!H59,"AAAAAGe7fc8=")</f>
        <v>#VALUE!</v>
      </c>
      <c r="HA36" t="e">
        <f>AND('Female SR Individual Freestyle'!I59,"AAAAAGe7fdA=")</f>
        <v>#VALUE!</v>
      </c>
      <c r="HB36" t="e">
        <f>AND('Female SR Individual Freestyle'!J59,"AAAAAGe7fdE=")</f>
        <v>#VALUE!</v>
      </c>
      <c r="HC36" t="e">
        <f>AND('Female SR Individual Freestyle'!K59,"AAAAAGe7fdI=")</f>
        <v>#VALUE!</v>
      </c>
      <c r="HD36" t="e">
        <f>AND('Female SR Individual Freestyle'!L59,"AAAAAGe7fdM=")</f>
        <v>#VALUE!</v>
      </c>
      <c r="HE36" t="e">
        <f>AND('Female SR Individual Freestyle'!M59,"AAAAAGe7fdQ=")</f>
        <v>#VALUE!</v>
      </c>
      <c r="HF36">
        <f>IF('Female SR Individual Freestyle'!60:60,"AAAAAGe7fdU=",0)</f>
        <v>0</v>
      </c>
      <c r="HG36" t="e">
        <f>AND('Female SR Individual Freestyle'!A60,"AAAAAGe7fdY=")</f>
        <v>#VALUE!</v>
      </c>
      <c r="HH36" t="e">
        <f>AND('Female SR Individual Freestyle'!B60,"AAAAAGe7fdc=")</f>
        <v>#VALUE!</v>
      </c>
      <c r="HI36" t="e">
        <f>AND('Female SR Individual Freestyle'!C60,"AAAAAGe7fdg=")</f>
        <v>#VALUE!</v>
      </c>
      <c r="HJ36" t="e">
        <f>AND('Female SR Individual Freestyle'!D60,"AAAAAGe7fdk=")</f>
        <v>#VALUE!</v>
      </c>
      <c r="HK36" t="e">
        <f>AND('Female SR Individual Freestyle'!E60,"AAAAAGe7fdo=")</f>
        <v>#VALUE!</v>
      </c>
      <c r="HL36" t="e">
        <f>AND('Female SR Individual Freestyle'!F60,"AAAAAGe7fds=")</f>
        <v>#VALUE!</v>
      </c>
      <c r="HM36" t="e">
        <f>AND('Female SR Individual Freestyle'!G60,"AAAAAGe7fdw=")</f>
        <v>#VALUE!</v>
      </c>
      <c r="HN36" t="e">
        <f>AND('Female SR Individual Freestyle'!H60,"AAAAAGe7fd0=")</f>
        <v>#VALUE!</v>
      </c>
      <c r="HO36" t="e">
        <f>AND('Female SR Individual Freestyle'!I60,"AAAAAGe7fd4=")</f>
        <v>#VALUE!</v>
      </c>
      <c r="HP36" t="e">
        <f>AND('Female SR Individual Freestyle'!J60,"AAAAAGe7fd8=")</f>
        <v>#VALUE!</v>
      </c>
      <c r="HQ36" t="e">
        <f>AND('Female SR Individual Freestyle'!K60,"AAAAAGe7feA=")</f>
        <v>#VALUE!</v>
      </c>
      <c r="HR36" t="e">
        <f>AND('Female SR Individual Freestyle'!L60,"AAAAAGe7feE=")</f>
        <v>#VALUE!</v>
      </c>
      <c r="HS36" t="e">
        <f>AND('Female SR Individual Freestyle'!M60,"AAAAAGe7feI=")</f>
        <v>#VALUE!</v>
      </c>
      <c r="HT36">
        <f>IF('Female SR Individual Freestyle'!61:61,"AAAAAGe7feM=",0)</f>
        <v>0</v>
      </c>
      <c r="HU36" t="e">
        <f>AND('Female SR Individual Freestyle'!A61,"AAAAAGe7feQ=")</f>
        <v>#VALUE!</v>
      </c>
      <c r="HV36" t="e">
        <f>AND('Female SR Individual Freestyle'!B61,"AAAAAGe7feU=")</f>
        <v>#VALUE!</v>
      </c>
      <c r="HW36" t="e">
        <f>AND('Female SR Individual Freestyle'!C61,"AAAAAGe7feY=")</f>
        <v>#VALUE!</v>
      </c>
      <c r="HX36" t="e">
        <f>AND('Female SR Individual Freestyle'!D61,"AAAAAGe7fec=")</f>
        <v>#VALUE!</v>
      </c>
      <c r="HY36" t="e">
        <f>AND('Female SR Individual Freestyle'!E61,"AAAAAGe7feg=")</f>
        <v>#VALUE!</v>
      </c>
      <c r="HZ36" t="e">
        <f>AND('Female SR Individual Freestyle'!F61,"AAAAAGe7fek=")</f>
        <v>#VALUE!</v>
      </c>
      <c r="IA36" t="e">
        <f>AND('Female SR Individual Freestyle'!G61,"AAAAAGe7feo=")</f>
        <v>#VALUE!</v>
      </c>
      <c r="IB36" t="e">
        <f>AND('Female SR Individual Freestyle'!H61,"AAAAAGe7fes=")</f>
        <v>#VALUE!</v>
      </c>
      <c r="IC36" t="e">
        <f>AND('Female SR Individual Freestyle'!I61,"AAAAAGe7few=")</f>
        <v>#VALUE!</v>
      </c>
      <c r="ID36" t="e">
        <f>AND('Female SR Individual Freestyle'!J61,"AAAAAGe7fe0=")</f>
        <v>#VALUE!</v>
      </c>
      <c r="IE36" t="e">
        <f>AND('Female SR Individual Freestyle'!K61,"AAAAAGe7fe4=")</f>
        <v>#VALUE!</v>
      </c>
      <c r="IF36" t="e">
        <f>AND('Female SR Individual Freestyle'!L61,"AAAAAGe7fe8=")</f>
        <v>#VALUE!</v>
      </c>
      <c r="IG36" t="e">
        <f>AND('Female SR Individual Freestyle'!M61,"AAAAAGe7ffA=")</f>
        <v>#VALUE!</v>
      </c>
      <c r="IH36">
        <f>IF('Female SR Individual Freestyle'!62:62,"AAAAAGe7ffE=",0)</f>
        <v>0</v>
      </c>
      <c r="II36" t="e">
        <f>AND('Female SR Individual Freestyle'!A62,"AAAAAGe7ffI=")</f>
        <v>#VALUE!</v>
      </c>
      <c r="IJ36" t="e">
        <f>AND('Female SR Individual Freestyle'!B62,"AAAAAGe7ffM=")</f>
        <v>#VALUE!</v>
      </c>
      <c r="IK36" t="e">
        <f>AND('Female SR Individual Freestyle'!C62,"AAAAAGe7ffQ=")</f>
        <v>#VALUE!</v>
      </c>
      <c r="IL36" t="e">
        <f>AND('Female SR Individual Freestyle'!D62,"AAAAAGe7ffU=")</f>
        <v>#VALUE!</v>
      </c>
      <c r="IM36" t="e">
        <f>AND('Female SR Individual Freestyle'!E62,"AAAAAGe7ffY=")</f>
        <v>#VALUE!</v>
      </c>
      <c r="IN36" t="e">
        <f>AND('Female SR Individual Freestyle'!F62,"AAAAAGe7ffc=")</f>
        <v>#VALUE!</v>
      </c>
      <c r="IO36" t="e">
        <f>AND('Female SR Individual Freestyle'!G62,"AAAAAGe7ffg=")</f>
        <v>#VALUE!</v>
      </c>
      <c r="IP36" t="e">
        <f>AND('Female SR Individual Freestyle'!H62,"AAAAAGe7ffk=")</f>
        <v>#VALUE!</v>
      </c>
      <c r="IQ36" t="e">
        <f>AND('Female SR Individual Freestyle'!I62,"AAAAAGe7ffo=")</f>
        <v>#VALUE!</v>
      </c>
      <c r="IR36" t="e">
        <f>AND('Female SR Individual Freestyle'!J62,"AAAAAGe7ffs=")</f>
        <v>#VALUE!</v>
      </c>
      <c r="IS36" t="e">
        <f>AND('Female SR Individual Freestyle'!K62,"AAAAAGe7ffw=")</f>
        <v>#VALUE!</v>
      </c>
      <c r="IT36" t="e">
        <f>AND('Female SR Individual Freestyle'!L62,"AAAAAGe7ff0=")</f>
        <v>#VALUE!</v>
      </c>
      <c r="IU36" t="e">
        <f>AND('Female SR Individual Freestyle'!M62,"AAAAAGe7ff4=")</f>
        <v>#VALUE!</v>
      </c>
      <c r="IV36">
        <f>IF('Female SR Individual Freestyle'!63:63,"AAAAAGe7ff8=",0)</f>
        <v>0</v>
      </c>
    </row>
    <row r="37" spans="1:256" x14ac:dyDescent="0.25">
      <c r="A37" t="e">
        <f>AND('Female SR Individual Freestyle'!A63,"AAAAAHuL6QA=")</f>
        <v>#VALUE!</v>
      </c>
      <c r="B37" t="e">
        <f>AND('Female SR Individual Freestyle'!B63,"AAAAAHuL6QE=")</f>
        <v>#VALUE!</v>
      </c>
      <c r="C37" t="e">
        <f>AND('Female SR Individual Freestyle'!C63,"AAAAAHuL6QI=")</f>
        <v>#VALUE!</v>
      </c>
      <c r="D37" t="e">
        <f>AND('Female SR Individual Freestyle'!D63,"AAAAAHuL6QM=")</f>
        <v>#VALUE!</v>
      </c>
      <c r="E37" t="e">
        <f>AND('Female SR Individual Freestyle'!E63,"AAAAAHuL6QQ=")</f>
        <v>#VALUE!</v>
      </c>
      <c r="F37" t="e">
        <f>AND('Female SR Individual Freestyle'!F63,"AAAAAHuL6QU=")</f>
        <v>#VALUE!</v>
      </c>
      <c r="G37" t="e">
        <f>AND('Female SR Individual Freestyle'!G63,"AAAAAHuL6QY=")</f>
        <v>#VALUE!</v>
      </c>
      <c r="H37" t="e">
        <f>AND('Female SR Individual Freestyle'!H63,"AAAAAHuL6Qc=")</f>
        <v>#VALUE!</v>
      </c>
      <c r="I37" t="e">
        <f>AND('Female SR Individual Freestyle'!I63,"AAAAAHuL6Qg=")</f>
        <v>#VALUE!</v>
      </c>
      <c r="J37" t="e">
        <f>AND('Female SR Individual Freestyle'!J63,"AAAAAHuL6Qk=")</f>
        <v>#VALUE!</v>
      </c>
      <c r="K37" t="e">
        <f>AND('Female SR Individual Freestyle'!K63,"AAAAAHuL6Qo=")</f>
        <v>#VALUE!</v>
      </c>
      <c r="L37" t="e">
        <f>AND('Female SR Individual Freestyle'!L63,"AAAAAHuL6Qs=")</f>
        <v>#VALUE!</v>
      </c>
      <c r="M37" t="e">
        <f>AND('Female SR Individual Freestyle'!M63,"AAAAAHuL6Qw=")</f>
        <v>#VALUE!</v>
      </c>
      <c r="N37">
        <f>IF('Female SR Individual Freestyle'!64:64,"AAAAAHuL6Q0=",0)</f>
        <v>0</v>
      </c>
      <c r="O37" t="e">
        <f>AND('Female SR Individual Freestyle'!A64,"AAAAAHuL6Q4=")</f>
        <v>#VALUE!</v>
      </c>
      <c r="P37" t="e">
        <f>AND('Female SR Individual Freestyle'!B64,"AAAAAHuL6Q8=")</f>
        <v>#VALUE!</v>
      </c>
      <c r="Q37" t="e">
        <f>AND('Female SR Individual Freestyle'!C64,"AAAAAHuL6RA=")</f>
        <v>#VALUE!</v>
      </c>
      <c r="R37" t="e">
        <f>AND('Female SR Individual Freestyle'!D64,"AAAAAHuL6RE=")</f>
        <v>#VALUE!</v>
      </c>
      <c r="S37" t="e">
        <f>AND('Female SR Individual Freestyle'!E64,"AAAAAHuL6RI=")</f>
        <v>#VALUE!</v>
      </c>
      <c r="T37" t="e">
        <f>AND('Female SR Individual Freestyle'!F64,"AAAAAHuL6RM=")</f>
        <v>#VALUE!</v>
      </c>
      <c r="U37" t="e">
        <f>AND('Female SR Individual Freestyle'!G64,"AAAAAHuL6RQ=")</f>
        <v>#VALUE!</v>
      </c>
      <c r="V37" t="e">
        <f>AND('Female SR Individual Freestyle'!H64,"AAAAAHuL6RU=")</f>
        <v>#VALUE!</v>
      </c>
      <c r="W37" t="e">
        <f>AND('Female SR Individual Freestyle'!I64,"AAAAAHuL6RY=")</f>
        <v>#VALUE!</v>
      </c>
      <c r="X37" t="e">
        <f>AND('Female SR Individual Freestyle'!J64,"AAAAAHuL6Rc=")</f>
        <v>#VALUE!</v>
      </c>
      <c r="Y37" t="e">
        <f>AND('Female SR Individual Freestyle'!K64,"AAAAAHuL6Rg=")</f>
        <v>#VALUE!</v>
      </c>
      <c r="Z37" t="e">
        <f>AND('Female SR Individual Freestyle'!L64,"AAAAAHuL6Rk=")</f>
        <v>#VALUE!</v>
      </c>
      <c r="AA37" t="e">
        <f>AND('Female SR Individual Freestyle'!M64,"AAAAAHuL6Ro=")</f>
        <v>#VALUE!</v>
      </c>
      <c r="AB37" t="str">
        <f>IF('Female SR Individual Freestyle'!A:A,"AAAAAHuL6Rs=",0)</f>
        <v>AAAAAHuL6Rs=</v>
      </c>
      <c r="AC37" t="e">
        <f>IF('Female SR Individual Freestyle'!B:B,"AAAAAHuL6Rw=",0)</f>
        <v>#VALUE!</v>
      </c>
      <c r="AD37" t="str">
        <f>IF('Female SR Individual Freestyle'!C:C,"AAAAAHuL6R0=",0)</f>
        <v>AAAAAHuL6R0=</v>
      </c>
      <c r="AE37">
        <f>IF('Female SR Individual Freestyle'!D:D,"AAAAAHuL6R4=",0)</f>
        <v>0</v>
      </c>
      <c r="AF37" t="e">
        <f>IF('Female SR Individual Freestyle'!E:E,"AAAAAHuL6R8=",0)</f>
        <v>#VALUE!</v>
      </c>
      <c r="AG37" t="e">
        <f>IF('Female SR Individual Freestyle'!F:F,"AAAAAHuL6SA=",0)</f>
        <v>#VALUE!</v>
      </c>
      <c r="AH37">
        <f>IF('Female SR Individual Freestyle'!G:G,"AAAAAHuL6SE=",0)</f>
        <v>0</v>
      </c>
      <c r="AI37" t="str">
        <f>IF('Female SR Individual Freestyle'!H:H,"AAAAAHuL6SI=",0)</f>
        <v>AAAAAHuL6SI=</v>
      </c>
      <c r="AJ37" t="e">
        <f>IF('Female SR Individual Freestyle'!I:I,"AAAAAHuL6SM=",0)</f>
        <v>#VALUE!</v>
      </c>
      <c r="AK37" t="str">
        <f>IF('Female SR Individual Freestyle'!J:J,"AAAAAHuL6SQ=",0)</f>
        <v>AAAAAHuL6SQ=</v>
      </c>
      <c r="AL37">
        <f>IF('Female SR Individual Freestyle'!K:K,"AAAAAHuL6SU=",0)</f>
        <v>0</v>
      </c>
      <c r="AM37" t="e">
        <f>IF('Female SR Individual Freestyle'!L:L,"AAAAAHuL6SY=",0)</f>
        <v>#VALUE!</v>
      </c>
      <c r="AN37" t="e">
        <f>IF('Female SR Individual Freestyle'!M:M,"AAAAAHuL6Sc=",0)</f>
        <v>#VALUE!</v>
      </c>
      <c r="AO37">
        <f>IF('Single Rope Pairs Freestyle'!1:1,"AAAAAHuL6Sg=",0)</f>
        <v>0</v>
      </c>
      <c r="AP37" t="e">
        <f>AND('Single Rope Pairs Freestyle'!A1,"AAAAAHuL6Sk=")</f>
        <v>#VALUE!</v>
      </c>
      <c r="AQ37" t="e">
        <f>AND('Single Rope Pairs Freestyle'!B1,"AAAAAHuL6So=")</f>
        <v>#VALUE!</v>
      </c>
      <c r="AR37" t="e">
        <f>AND('Single Rope Pairs Freestyle'!C1,"AAAAAHuL6Ss=")</f>
        <v>#VALUE!</v>
      </c>
      <c r="AS37" t="e">
        <f>AND('Single Rope Pairs Freestyle'!D1,"AAAAAHuL6Sw=")</f>
        <v>#VALUE!</v>
      </c>
      <c r="AT37" t="e">
        <f>AND('Single Rope Pairs Freestyle'!E1,"AAAAAHuL6S0=")</f>
        <v>#VALUE!</v>
      </c>
      <c r="AU37" t="e">
        <f>AND('Single Rope Pairs Freestyle'!F1,"AAAAAHuL6S4=")</f>
        <v>#VALUE!</v>
      </c>
      <c r="AV37" t="e">
        <f>AND('Single Rope Pairs Freestyle'!G1,"AAAAAHuL6S8=")</f>
        <v>#VALUE!</v>
      </c>
      <c r="AW37">
        <f>IF('Single Rope Pairs Freestyle'!2:2,"AAAAAHuL6TA=",0)</f>
        <v>0</v>
      </c>
      <c r="AX37" t="e">
        <f>AND('Single Rope Pairs Freestyle'!A2,"AAAAAHuL6TE=")</f>
        <v>#VALUE!</v>
      </c>
      <c r="AY37" t="e">
        <f>AND('Single Rope Pairs Freestyle'!B2,"AAAAAHuL6TI=")</f>
        <v>#VALUE!</v>
      </c>
      <c r="AZ37" t="e">
        <f>AND('Single Rope Pairs Freestyle'!C2,"AAAAAHuL6TM=")</f>
        <v>#VALUE!</v>
      </c>
      <c r="BA37" t="e">
        <f>AND('Single Rope Pairs Freestyle'!D2,"AAAAAHuL6TQ=")</f>
        <v>#VALUE!</v>
      </c>
      <c r="BB37" t="e">
        <f>AND('Single Rope Pairs Freestyle'!E2,"AAAAAHuL6TU=")</f>
        <v>#VALUE!</v>
      </c>
      <c r="BC37" t="e">
        <f>AND('Single Rope Pairs Freestyle'!F2,"AAAAAHuL6TY=")</f>
        <v>#VALUE!</v>
      </c>
      <c r="BD37" t="e">
        <f>AND('Single Rope Pairs Freestyle'!G2,"AAAAAHuL6Tc=")</f>
        <v>#VALUE!</v>
      </c>
      <c r="BE37">
        <f>IF('Single Rope Pairs Freestyle'!3:3,"AAAAAHuL6Tg=",0)</f>
        <v>0</v>
      </c>
      <c r="BF37" t="e">
        <f>AND('Single Rope Pairs Freestyle'!A3,"AAAAAHuL6Tk=")</f>
        <v>#VALUE!</v>
      </c>
      <c r="BG37" t="e">
        <f>AND('Single Rope Pairs Freestyle'!B3,"AAAAAHuL6To=")</f>
        <v>#VALUE!</v>
      </c>
      <c r="BH37" t="e">
        <f>AND('Single Rope Pairs Freestyle'!C3,"AAAAAHuL6Ts=")</f>
        <v>#VALUE!</v>
      </c>
      <c r="BI37" t="e">
        <f>AND('Single Rope Pairs Freestyle'!D3,"AAAAAHuL6Tw=")</f>
        <v>#VALUE!</v>
      </c>
      <c r="BJ37" t="e">
        <f>AND('Single Rope Pairs Freestyle'!E3,"AAAAAHuL6T0=")</f>
        <v>#VALUE!</v>
      </c>
      <c r="BK37" t="e">
        <f>AND('Single Rope Pairs Freestyle'!F3,"AAAAAHuL6T4=")</f>
        <v>#VALUE!</v>
      </c>
      <c r="BL37" t="e">
        <f>AND('Single Rope Pairs Freestyle'!G3,"AAAAAHuL6T8=")</f>
        <v>#VALUE!</v>
      </c>
      <c r="BM37">
        <f>IF('Single Rope Pairs Freestyle'!4:4,"AAAAAHuL6UA=",0)</f>
        <v>0</v>
      </c>
      <c r="BN37" t="e">
        <f>AND('Single Rope Pairs Freestyle'!A4,"AAAAAHuL6UE=")</f>
        <v>#VALUE!</v>
      </c>
      <c r="BO37" t="e">
        <f>AND('Single Rope Pairs Freestyle'!B4,"AAAAAHuL6UI=")</f>
        <v>#VALUE!</v>
      </c>
      <c r="BP37" t="e">
        <f>AND('Single Rope Pairs Freestyle'!C4,"AAAAAHuL6UM=")</f>
        <v>#VALUE!</v>
      </c>
      <c r="BQ37" t="e">
        <f>AND('Single Rope Pairs Freestyle'!D4,"AAAAAHuL6UQ=")</f>
        <v>#VALUE!</v>
      </c>
      <c r="BR37" t="e">
        <f>AND('Single Rope Pairs Freestyle'!E4,"AAAAAHuL6UU=")</f>
        <v>#VALUE!</v>
      </c>
      <c r="BS37" t="e">
        <f>AND('Single Rope Pairs Freestyle'!F4,"AAAAAHuL6UY=")</f>
        <v>#VALUE!</v>
      </c>
      <c r="BT37" t="e">
        <f>AND('Single Rope Pairs Freestyle'!G4,"AAAAAHuL6Uc=")</f>
        <v>#VALUE!</v>
      </c>
      <c r="BU37">
        <f>IF('Single Rope Pairs Freestyle'!27:27,"AAAAAHuL6Ug=",0)</f>
        <v>0</v>
      </c>
      <c r="BV37" t="e">
        <f>AND('Single Rope Pairs Freestyle'!A27,"AAAAAHuL6Uk=")</f>
        <v>#VALUE!</v>
      </c>
      <c r="BW37" t="e">
        <f>AND('Single Rope Pairs Freestyle'!B27,"AAAAAHuL6Uo=")</f>
        <v>#VALUE!</v>
      </c>
      <c r="BX37" t="e">
        <f>AND('Single Rope Pairs Freestyle'!C27,"AAAAAHuL6Us=")</f>
        <v>#VALUE!</v>
      </c>
      <c r="BY37" t="e">
        <f>AND('Single Rope Pairs Freestyle'!D27,"AAAAAHuL6Uw=")</f>
        <v>#VALUE!</v>
      </c>
      <c r="BZ37" t="e">
        <f>AND('Single Rope Pairs Freestyle'!E27,"AAAAAHuL6U0=")</f>
        <v>#VALUE!</v>
      </c>
      <c r="CA37" t="e">
        <f>AND('Single Rope Pairs Freestyle'!F27,"AAAAAHuL6U4=")</f>
        <v>#VALUE!</v>
      </c>
      <c r="CB37" t="e">
        <f>AND('Single Rope Pairs Freestyle'!G27,"AAAAAHuL6U8=")</f>
        <v>#VALUE!</v>
      </c>
      <c r="CC37">
        <f>IF('Single Rope Pairs Freestyle'!28:28,"AAAAAHuL6VA=",0)</f>
        <v>0</v>
      </c>
      <c r="CD37" t="e">
        <f>AND('Single Rope Pairs Freestyle'!A28,"AAAAAHuL6VE=")</f>
        <v>#VALUE!</v>
      </c>
      <c r="CE37" t="e">
        <f>AND('Single Rope Pairs Freestyle'!B28,"AAAAAHuL6VI=")</f>
        <v>#VALUE!</v>
      </c>
      <c r="CF37" t="e">
        <f>AND('Single Rope Pairs Freestyle'!C28,"AAAAAHuL6VM=")</f>
        <v>#VALUE!</v>
      </c>
      <c r="CG37" t="e">
        <f>AND('Single Rope Pairs Freestyle'!D28,"AAAAAHuL6VQ=")</f>
        <v>#VALUE!</v>
      </c>
      <c r="CH37" t="e">
        <f>AND('Single Rope Pairs Freestyle'!E28,"AAAAAHuL6VU=")</f>
        <v>#VALUE!</v>
      </c>
      <c r="CI37" t="e">
        <f>AND('Single Rope Pairs Freestyle'!F28,"AAAAAHuL6VY=")</f>
        <v>#VALUE!</v>
      </c>
      <c r="CJ37" t="e">
        <f>AND('Single Rope Pairs Freestyle'!G28,"AAAAAHuL6Vc=")</f>
        <v>#VALUE!</v>
      </c>
      <c r="CK37">
        <f>IF('Single Rope Pairs Freestyle'!29:29,"AAAAAHuL6Vg=",0)</f>
        <v>0</v>
      </c>
      <c r="CL37" t="e">
        <f>AND('Single Rope Pairs Freestyle'!A29,"AAAAAHuL6Vk=")</f>
        <v>#VALUE!</v>
      </c>
      <c r="CM37" t="e">
        <f>AND('Single Rope Pairs Freestyle'!B29,"AAAAAHuL6Vo=")</f>
        <v>#VALUE!</v>
      </c>
      <c r="CN37" t="e">
        <f>AND('Single Rope Pairs Freestyle'!C29,"AAAAAHuL6Vs=")</f>
        <v>#VALUE!</v>
      </c>
      <c r="CO37" t="e">
        <f>AND('Single Rope Pairs Freestyle'!D29,"AAAAAHuL6Vw=")</f>
        <v>#VALUE!</v>
      </c>
      <c r="CP37" t="e">
        <f>AND('Single Rope Pairs Freestyle'!E29,"AAAAAHuL6V0=")</f>
        <v>#VALUE!</v>
      </c>
      <c r="CQ37" t="e">
        <f>AND('Single Rope Pairs Freestyle'!F29,"AAAAAHuL6V4=")</f>
        <v>#VALUE!</v>
      </c>
      <c r="CR37" t="e">
        <f>AND('Single Rope Pairs Freestyle'!G29,"AAAAAHuL6V8=")</f>
        <v>#VALUE!</v>
      </c>
      <c r="CS37">
        <f>IF('Single Rope Pairs Freestyle'!30:30,"AAAAAHuL6WA=",0)</f>
        <v>0</v>
      </c>
      <c r="CT37" t="e">
        <f>AND('Single Rope Pairs Freestyle'!A30,"AAAAAHuL6WE=")</f>
        <v>#VALUE!</v>
      </c>
      <c r="CU37" t="e">
        <f>AND('Single Rope Pairs Freestyle'!B30,"AAAAAHuL6WI=")</f>
        <v>#VALUE!</v>
      </c>
      <c r="CV37" t="e">
        <f>AND('Single Rope Pairs Freestyle'!C30,"AAAAAHuL6WM=")</f>
        <v>#VALUE!</v>
      </c>
      <c r="CW37" t="e">
        <f>AND('Single Rope Pairs Freestyle'!D30,"AAAAAHuL6WQ=")</f>
        <v>#VALUE!</v>
      </c>
      <c r="CX37" t="e">
        <f>AND('Single Rope Pairs Freestyle'!E30,"AAAAAHuL6WU=")</f>
        <v>#VALUE!</v>
      </c>
      <c r="CY37" t="e">
        <f>AND('Single Rope Pairs Freestyle'!F30,"AAAAAHuL6WY=")</f>
        <v>#VALUE!</v>
      </c>
      <c r="CZ37" t="e">
        <f>AND('Single Rope Pairs Freestyle'!G30,"AAAAAHuL6Wc=")</f>
        <v>#VALUE!</v>
      </c>
      <c r="DA37">
        <f>IF('Single Rope Pairs Freestyle'!31:31,"AAAAAHuL6Wg=",0)</f>
        <v>0</v>
      </c>
      <c r="DB37" t="e">
        <f>AND('Single Rope Pairs Freestyle'!A31,"AAAAAHuL6Wk=")</f>
        <v>#VALUE!</v>
      </c>
      <c r="DC37" t="e">
        <f>AND('Single Rope Pairs Freestyle'!B31,"AAAAAHuL6Wo=")</f>
        <v>#VALUE!</v>
      </c>
      <c r="DD37" t="e">
        <f>AND('Single Rope Pairs Freestyle'!C31,"AAAAAHuL6Ws=")</f>
        <v>#VALUE!</v>
      </c>
      <c r="DE37" t="e">
        <f>AND('Single Rope Pairs Freestyle'!D31,"AAAAAHuL6Ww=")</f>
        <v>#VALUE!</v>
      </c>
      <c r="DF37" t="e">
        <f>AND('Single Rope Pairs Freestyle'!E31,"AAAAAHuL6W0=")</f>
        <v>#VALUE!</v>
      </c>
      <c r="DG37" t="e">
        <f>AND('Single Rope Pairs Freestyle'!F31,"AAAAAHuL6W4=")</f>
        <v>#VALUE!</v>
      </c>
      <c r="DH37" t="e">
        <f>AND('Single Rope Pairs Freestyle'!G31,"AAAAAHuL6W8=")</f>
        <v>#VALUE!</v>
      </c>
      <c r="DI37">
        <f>IF('Single Rope Pairs Freestyle'!32:32,"AAAAAHuL6XA=",0)</f>
        <v>0</v>
      </c>
      <c r="DJ37" t="e">
        <f>AND('Single Rope Pairs Freestyle'!A32,"AAAAAHuL6XE=")</f>
        <v>#VALUE!</v>
      </c>
      <c r="DK37" t="e">
        <f>AND('Single Rope Pairs Freestyle'!B32,"AAAAAHuL6XI=")</f>
        <v>#VALUE!</v>
      </c>
      <c r="DL37" t="e">
        <f>AND('Single Rope Pairs Freestyle'!C32,"AAAAAHuL6XM=")</f>
        <v>#VALUE!</v>
      </c>
      <c r="DM37" t="e">
        <f>AND('Single Rope Pairs Freestyle'!D32,"AAAAAHuL6XQ=")</f>
        <v>#VALUE!</v>
      </c>
      <c r="DN37" t="e">
        <f>AND('Single Rope Pairs Freestyle'!E32,"AAAAAHuL6XU=")</f>
        <v>#VALUE!</v>
      </c>
      <c r="DO37" t="e">
        <f>AND('Single Rope Pairs Freestyle'!F32,"AAAAAHuL6XY=")</f>
        <v>#VALUE!</v>
      </c>
      <c r="DP37" t="e">
        <f>AND('Single Rope Pairs Freestyle'!G32,"AAAAAHuL6Xc=")</f>
        <v>#VALUE!</v>
      </c>
      <c r="DQ37">
        <f>IF('Single Rope Pairs Freestyle'!33:33,"AAAAAHuL6Xg=",0)</f>
        <v>0</v>
      </c>
      <c r="DR37" t="e">
        <f>AND('Single Rope Pairs Freestyle'!A33,"AAAAAHuL6Xk=")</f>
        <v>#VALUE!</v>
      </c>
      <c r="DS37" t="e">
        <f>AND('Single Rope Pairs Freestyle'!B33,"AAAAAHuL6Xo=")</f>
        <v>#VALUE!</v>
      </c>
      <c r="DT37" t="e">
        <f>AND('Single Rope Pairs Freestyle'!C33,"AAAAAHuL6Xs=")</f>
        <v>#VALUE!</v>
      </c>
      <c r="DU37" t="e">
        <f>AND('Single Rope Pairs Freestyle'!D33,"AAAAAHuL6Xw=")</f>
        <v>#VALUE!</v>
      </c>
      <c r="DV37" t="e">
        <f>AND('Single Rope Pairs Freestyle'!E33,"AAAAAHuL6X0=")</f>
        <v>#VALUE!</v>
      </c>
      <c r="DW37" t="e">
        <f>AND('Single Rope Pairs Freestyle'!F33,"AAAAAHuL6X4=")</f>
        <v>#VALUE!</v>
      </c>
      <c r="DX37" t="e">
        <f>AND('Single Rope Pairs Freestyle'!G33,"AAAAAHuL6X8=")</f>
        <v>#VALUE!</v>
      </c>
      <c r="DY37">
        <f>IF('Single Rope Pairs Freestyle'!34:34,"AAAAAHuL6YA=",0)</f>
        <v>0</v>
      </c>
      <c r="DZ37" t="e">
        <f>AND('Single Rope Pairs Freestyle'!A34,"AAAAAHuL6YE=")</f>
        <v>#VALUE!</v>
      </c>
      <c r="EA37" t="e">
        <f>AND('Single Rope Pairs Freestyle'!B34,"AAAAAHuL6YI=")</f>
        <v>#VALUE!</v>
      </c>
      <c r="EB37" t="e">
        <f>AND('Single Rope Pairs Freestyle'!C34,"AAAAAHuL6YM=")</f>
        <v>#VALUE!</v>
      </c>
      <c r="EC37" t="e">
        <f>AND('Single Rope Pairs Freestyle'!D34,"AAAAAHuL6YQ=")</f>
        <v>#VALUE!</v>
      </c>
      <c r="ED37" t="e">
        <f>AND('Single Rope Pairs Freestyle'!E34,"AAAAAHuL6YU=")</f>
        <v>#VALUE!</v>
      </c>
      <c r="EE37" t="e">
        <f>AND('Single Rope Pairs Freestyle'!F34,"AAAAAHuL6YY=")</f>
        <v>#VALUE!</v>
      </c>
      <c r="EF37" t="e">
        <f>AND('Single Rope Pairs Freestyle'!G34,"AAAAAHuL6Yc=")</f>
        <v>#VALUE!</v>
      </c>
      <c r="EG37">
        <f>IF('Single Rope Pairs Freestyle'!35:35,"AAAAAHuL6Yg=",0)</f>
        <v>0</v>
      </c>
      <c r="EH37" t="e">
        <f>AND('Single Rope Pairs Freestyle'!A35,"AAAAAHuL6Yk=")</f>
        <v>#VALUE!</v>
      </c>
      <c r="EI37" t="e">
        <f>AND('Single Rope Pairs Freestyle'!B35,"AAAAAHuL6Yo=")</f>
        <v>#VALUE!</v>
      </c>
      <c r="EJ37" t="e">
        <f>AND('Single Rope Pairs Freestyle'!C35,"AAAAAHuL6Ys=")</f>
        <v>#VALUE!</v>
      </c>
      <c r="EK37" t="e">
        <f>AND('Single Rope Pairs Freestyle'!D35,"AAAAAHuL6Yw=")</f>
        <v>#VALUE!</v>
      </c>
      <c r="EL37" t="e">
        <f>AND('Single Rope Pairs Freestyle'!E35,"AAAAAHuL6Y0=")</f>
        <v>#VALUE!</v>
      </c>
      <c r="EM37" t="e">
        <f>AND('Single Rope Pairs Freestyle'!F35,"AAAAAHuL6Y4=")</f>
        <v>#VALUE!</v>
      </c>
      <c r="EN37" t="e">
        <f>AND('Single Rope Pairs Freestyle'!G35,"AAAAAHuL6Y8=")</f>
        <v>#VALUE!</v>
      </c>
      <c r="EO37">
        <f>IF('Single Rope Pairs Freestyle'!36:36,"AAAAAHuL6ZA=",0)</f>
        <v>0</v>
      </c>
      <c r="EP37" t="e">
        <f>AND('Single Rope Pairs Freestyle'!A36,"AAAAAHuL6ZE=")</f>
        <v>#VALUE!</v>
      </c>
      <c r="EQ37" t="e">
        <f>AND('Single Rope Pairs Freestyle'!B36,"AAAAAHuL6ZI=")</f>
        <v>#VALUE!</v>
      </c>
      <c r="ER37" t="e">
        <f>AND('Single Rope Pairs Freestyle'!C36,"AAAAAHuL6ZM=")</f>
        <v>#VALUE!</v>
      </c>
      <c r="ES37" t="e">
        <f>AND('Single Rope Pairs Freestyle'!D36,"AAAAAHuL6ZQ=")</f>
        <v>#VALUE!</v>
      </c>
      <c r="ET37" t="e">
        <f>AND('Single Rope Pairs Freestyle'!E36,"AAAAAHuL6ZU=")</f>
        <v>#VALUE!</v>
      </c>
      <c r="EU37" t="e">
        <f>AND('Single Rope Pairs Freestyle'!F36,"AAAAAHuL6ZY=")</f>
        <v>#VALUE!</v>
      </c>
      <c r="EV37" t="e">
        <f>AND('Single Rope Pairs Freestyle'!G36,"AAAAAHuL6Zc=")</f>
        <v>#VALUE!</v>
      </c>
      <c r="EW37">
        <f>IF('Single Rope Pairs Freestyle'!37:37,"AAAAAHuL6Zg=",0)</f>
        <v>0</v>
      </c>
      <c r="EX37" t="e">
        <f>AND('Single Rope Pairs Freestyle'!A37,"AAAAAHuL6Zk=")</f>
        <v>#VALUE!</v>
      </c>
      <c r="EY37" t="e">
        <f>AND('Single Rope Pairs Freestyle'!B37,"AAAAAHuL6Zo=")</f>
        <v>#VALUE!</v>
      </c>
      <c r="EZ37" t="e">
        <f>AND('Single Rope Pairs Freestyle'!C37,"AAAAAHuL6Zs=")</f>
        <v>#VALUE!</v>
      </c>
      <c r="FA37" t="e">
        <f>AND('Single Rope Pairs Freestyle'!D37,"AAAAAHuL6Zw=")</f>
        <v>#VALUE!</v>
      </c>
      <c r="FB37" t="e">
        <f>AND('Single Rope Pairs Freestyle'!E37,"AAAAAHuL6Z0=")</f>
        <v>#VALUE!</v>
      </c>
      <c r="FC37" t="e">
        <f>AND('Single Rope Pairs Freestyle'!F37,"AAAAAHuL6Z4=")</f>
        <v>#VALUE!</v>
      </c>
      <c r="FD37" t="e">
        <f>AND('Single Rope Pairs Freestyle'!G37,"AAAAAHuL6Z8=")</f>
        <v>#VALUE!</v>
      </c>
      <c r="FE37">
        <f>IF('Single Rope Pairs Freestyle'!38:38,"AAAAAHuL6aA=",0)</f>
        <v>0</v>
      </c>
      <c r="FF37" t="e">
        <f>AND('Single Rope Pairs Freestyle'!A38,"AAAAAHuL6aE=")</f>
        <v>#VALUE!</v>
      </c>
      <c r="FG37" t="e">
        <f>AND('Single Rope Pairs Freestyle'!B38,"AAAAAHuL6aI=")</f>
        <v>#VALUE!</v>
      </c>
      <c r="FH37" t="e">
        <f>AND('Single Rope Pairs Freestyle'!C38,"AAAAAHuL6aM=")</f>
        <v>#VALUE!</v>
      </c>
      <c r="FI37" t="e">
        <f>AND('Single Rope Pairs Freestyle'!D38,"AAAAAHuL6aQ=")</f>
        <v>#VALUE!</v>
      </c>
      <c r="FJ37" t="e">
        <f>AND('Single Rope Pairs Freestyle'!E38,"AAAAAHuL6aU=")</f>
        <v>#VALUE!</v>
      </c>
      <c r="FK37" t="e">
        <f>AND('Single Rope Pairs Freestyle'!F38,"AAAAAHuL6aY=")</f>
        <v>#VALUE!</v>
      </c>
      <c r="FL37" t="e">
        <f>AND('Single Rope Pairs Freestyle'!G38,"AAAAAHuL6ac=")</f>
        <v>#VALUE!</v>
      </c>
      <c r="FM37">
        <f>IF('Single Rope Pairs Freestyle'!39:39,"AAAAAHuL6ag=",0)</f>
        <v>0</v>
      </c>
      <c r="FN37" t="e">
        <f>AND('Single Rope Pairs Freestyle'!A39,"AAAAAHuL6ak=")</f>
        <v>#VALUE!</v>
      </c>
      <c r="FO37" t="e">
        <f>AND('Single Rope Pairs Freestyle'!B39,"AAAAAHuL6ao=")</f>
        <v>#VALUE!</v>
      </c>
      <c r="FP37" t="e">
        <f>AND('Single Rope Pairs Freestyle'!C39,"AAAAAHuL6as=")</f>
        <v>#VALUE!</v>
      </c>
      <c r="FQ37" t="e">
        <f>AND('Single Rope Pairs Freestyle'!D39,"AAAAAHuL6aw=")</f>
        <v>#VALUE!</v>
      </c>
      <c r="FR37" t="e">
        <f>AND('Single Rope Pairs Freestyle'!E39,"AAAAAHuL6a0=")</f>
        <v>#VALUE!</v>
      </c>
      <c r="FS37" t="e">
        <f>AND('Single Rope Pairs Freestyle'!F39,"AAAAAHuL6a4=")</f>
        <v>#VALUE!</v>
      </c>
      <c r="FT37" t="e">
        <f>AND('Single Rope Pairs Freestyle'!G39,"AAAAAHuL6a8=")</f>
        <v>#VALUE!</v>
      </c>
      <c r="FU37">
        <f>IF('Single Rope Pairs Freestyle'!40:40,"AAAAAHuL6bA=",0)</f>
        <v>0</v>
      </c>
      <c r="FV37" t="e">
        <f>AND('Single Rope Pairs Freestyle'!A40,"AAAAAHuL6bE=")</f>
        <v>#VALUE!</v>
      </c>
      <c r="FW37" t="e">
        <f>AND('Single Rope Pairs Freestyle'!B40,"AAAAAHuL6bI=")</f>
        <v>#VALUE!</v>
      </c>
      <c r="FX37" t="e">
        <f>AND('Single Rope Pairs Freestyle'!C40,"AAAAAHuL6bM=")</f>
        <v>#VALUE!</v>
      </c>
      <c r="FY37" t="e">
        <f>AND('Single Rope Pairs Freestyle'!D40,"AAAAAHuL6bQ=")</f>
        <v>#VALUE!</v>
      </c>
      <c r="FZ37" t="e">
        <f>AND('Single Rope Pairs Freestyle'!E40,"AAAAAHuL6bU=")</f>
        <v>#VALUE!</v>
      </c>
      <c r="GA37" t="e">
        <f>AND('Single Rope Pairs Freestyle'!F40,"AAAAAHuL6bY=")</f>
        <v>#VALUE!</v>
      </c>
      <c r="GB37" t="e">
        <f>AND('Single Rope Pairs Freestyle'!G40,"AAAAAHuL6bc=")</f>
        <v>#VALUE!</v>
      </c>
      <c r="GC37">
        <f>IF('Single Rope Pairs Freestyle'!41:41,"AAAAAHuL6bg=",0)</f>
        <v>0</v>
      </c>
      <c r="GD37" t="e">
        <f>AND('Single Rope Pairs Freestyle'!A41,"AAAAAHuL6bk=")</f>
        <v>#VALUE!</v>
      </c>
      <c r="GE37" t="e">
        <f>AND('Single Rope Pairs Freestyle'!B41,"AAAAAHuL6bo=")</f>
        <v>#VALUE!</v>
      </c>
      <c r="GF37" t="e">
        <f>AND('Single Rope Pairs Freestyle'!C41,"AAAAAHuL6bs=")</f>
        <v>#VALUE!</v>
      </c>
      <c r="GG37" t="e">
        <f>AND('Single Rope Pairs Freestyle'!D41,"AAAAAHuL6bw=")</f>
        <v>#VALUE!</v>
      </c>
      <c r="GH37" t="e">
        <f>AND('Single Rope Pairs Freestyle'!E41,"AAAAAHuL6b0=")</f>
        <v>#VALUE!</v>
      </c>
      <c r="GI37" t="e">
        <f>AND('Single Rope Pairs Freestyle'!F41,"AAAAAHuL6b4=")</f>
        <v>#VALUE!</v>
      </c>
      <c r="GJ37" t="e">
        <f>AND('Single Rope Pairs Freestyle'!G41,"AAAAAHuL6b8=")</f>
        <v>#VALUE!</v>
      </c>
      <c r="GK37">
        <f>IF('Single Rope Pairs Freestyle'!42:42,"AAAAAHuL6cA=",0)</f>
        <v>0</v>
      </c>
      <c r="GL37" t="e">
        <f>AND('Single Rope Pairs Freestyle'!A42,"AAAAAHuL6cE=")</f>
        <v>#VALUE!</v>
      </c>
      <c r="GM37" t="e">
        <f>AND('Single Rope Pairs Freestyle'!B42,"AAAAAHuL6cI=")</f>
        <v>#VALUE!</v>
      </c>
      <c r="GN37" t="e">
        <f>AND('Single Rope Pairs Freestyle'!C42,"AAAAAHuL6cM=")</f>
        <v>#VALUE!</v>
      </c>
      <c r="GO37" t="e">
        <f>AND('Single Rope Pairs Freestyle'!D42,"AAAAAHuL6cQ=")</f>
        <v>#VALUE!</v>
      </c>
      <c r="GP37" t="e">
        <f>AND('Single Rope Pairs Freestyle'!E42,"AAAAAHuL6cU=")</f>
        <v>#VALUE!</v>
      </c>
      <c r="GQ37" t="e">
        <f>AND('Single Rope Pairs Freestyle'!F42,"AAAAAHuL6cY=")</f>
        <v>#VALUE!</v>
      </c>
      <c r="GR37" t="e">
        <f>AND('Single Rope Pairs Freestyle'!G42,"AAAAAHuL6cc=")</f>
        <v>#VALUE!</v>
      </c>
      <c r="GS37">
        <f>IF('Single Rope Pairs Freestyle'!43:43,"AAAAAHuL6cg=",0)</f>
        <v>0</v>
      </c>
      <c r="GT37" t="e">
        <f>AND('Single Rope Pairs Freestyle'!A43,"AAAAAHuL6ck=")</f>
        <v>#VALUE!</v>
      </c>
      <c r="GU37" t="e">
        <f>AND('Single Rope Pairs Freestyle'!B43,"AAAAAHuL6co=")</f>
        <v>#VALUE!</v>
      </c>
      <c r="GV37" t="e">
        <f>AND('Single Rope Pairs Freestyle'!C43,"AAAAAHuL6cs=")</f>
        <v>#VALUE!</v>
      </c>
      <c r="GW37" t="e">
        <f>AND('Single Rope Pairs Freestyle'!D43,"AAAAAHuL6cw=")</f>
        <v>#VALUE!</v>
      </c>
      <c r="GX37" t="e">
        <f>AND('Single Rope Pairs Freestyle'!E43,"AAAAAHuL6c0=")</f>
        <v>#VALUE!</v>
      </c>
      <c r="GY37" t="e">
        <f>AND('Single Rope Pairs Freestyle'!F43,"AAAAAHuL6c4=")</f>
        <v>#VALUE!</v>
      </c>
      <c r="GZ37" t="e">
        <f>AND('Single Rope Pairs Freestyle'!G43,"AAAAAHuL6c8=")</f>
        <v>#VALUE!</v>
      </c>
      <c r="HA37">
        <f>IF('Single Rope Pairs Freestyle'!44:44,"AAAAAHuL6dA=",0)</f>
        <v>0</v>
      </c>
      <c r="HB37" t="e">
        <f>AND('Single Rope Pairs Freestyle'!A44,"AAAAAHuL6dE=")</f>
        <v>#VALUE!</v>
      </c>
      <c r="HC37" t="e">
        <f>AND('Single Rope Pairs Freestyle'!B44,"AAAAAHuL6dI=")</f>
        <v>#VALUE!</v>
      </c>
      <c r="HD37" t="e">
        <f>AND('Single Rope Pairs Freestyle'!C44,"AAAAAHuL6dM=")</f>
        <v>#VALUE!</v>
      </c>
      <c r="HE37" t="e">
        <f>AND('Single Rope Pairs Freestyle'!D44,"AAAAAHuL6dQ=")</f>
        <v>#VALUE!</v>
      </c>
      <c r="HF37" t="e">
        <f>AND('Single Rope Pairs Freestyle'!E44,"AAAAAHuL6dU=")</f>
        <v>#VALUE!</v>
      </c>
      <c r="HG37" t="e">
        <f>AND('Single Rope Pairs Freestyle'!F44,"AAAAAHuL6dY=")</f>
        <v>#VALUE!</v>
      </c>
      <c r="HH37" t="e">
        <f>AND('Single Rope Pairs Freestyle'!G44,"AAAAAHuL6dc=")</f>
        <v>#VALUE!</v>
      </c>
      <c r="HI37">
        <f>IF('Single Rope Pairs Freestyle'!49:49,"AAAAAHuL6dg=",0)</f>
        <v>0</v>
      </c>
      <c r="HJ37" t="e">
        <f>AND('Single Rope Pairs Freestyle'!A49,"AAAAAHuL6dk=")</f>
        <v>#VALUE!</v>
      </c>
      <c r="HK37" t="e">
        <f>AND('Single Rope Pairs Freestyle'!B49,"AAAAAHuL6do=")</f>
        <v>#VALUE!</v>
      </c>
      <c r="HL37" t="e">
        <f>AND('Single Rope Pairs Freestyle'!C49,"AAAAAHuL6ds=")</f>
        <v>#VALUE!</v>
      </c>
      <c r="HM37" t="e">
        <f>AND('Single Rope Pairs Freestyle'!D49,"AAAAAHuL6dw=")</f>
        <v>#VALUE!</v>
      </c>
      <c r="HN37" t="e">
        <f>AND('Single Rope Pairs Freestyle'!E49,"AAAAAHuL6d0=")</f>
        <v>#VALUE!</v>
      </c>
      <c r="HO37" t="e">
        <f>AND('Single Rope Pairs Freestyle'!F49,"AAAAAHuL6d4=")</f>
        <v>#VALUE!</v>
      </c>
      <c r="HP37" t="e">
        <f>AND('Single Rope Pairs Freestyle'!G49,"AAAAAHuL6d8=")</f>
        <v>#VALUE!</v>
      </c>
      <c r="HQ37">
        <f>IF('Single Rope Pairs Freestyle'!50:50,"AAAAAHuL6eA=",0)</f>
        <v>0</v>
      </c>
      <c r="HR37" t="e">
        <f>AND('Single Rope Pairs Freestyle'!A50,"AAAAAHuL6eE=")</f>
        <v>#VALUE!</v>
      </c>
      <c r="HS37" t="e">
        <f>AND('Single Rope Pairs Freestyle'!B50,"AAAAAHuL6eI=")</f>
        <v>#VALUE!</v>
      </c>
      <c r="HT37" t="e">
        <f>AND('Single Rope Pairs Freestyle'!C50,"AAAAAHuL6eM=")</f>
        <v>#VALUE!</v>
      </c>
      <c r="HU37" t="e">
        <f>AND('Single Rope Pairs Freestyle'!D50,"AAAAAHuL6eQ=")</f>
        <v>#VALUE!</v>
      </c>
      <c r="HV37" t="e">
        <f>AND('Single Rope Pairs Freestyle'!E50,"AAAAAHuL6eU=")</f>
        <v>#VALUE!</v>
      </c>
      <c r="HW37" t="e">
        <f>AND('Single Rope Pairs Freestyle'!F50,"AAAAAHuL6eY=")</f>
        <v>#VALUE!</v>
      </c>
      <c r="HX37" t="e">
        <f>AND('Single Rope Pairs Freestyle'!G50,"AAAAAHuL6ec=")</f>
        <v>#VALUE!</v>
      </c>
      <c r="HY37">
        <f>IF('Single Rope Pairs Freestyle'!51:51,"AAAAAHuL6eg=",0)</f>
        <v>0</v>
      </c>
      <c r="HZ37" t="e">
        <f>AND('Single Rope Pairs Freestyle'!A51,"AAAAAHuL6ek=")</f>
        <v>#VALUE!</v>
      </c>
      <c r="IA37" t="e">
        <f>AND('Single Rope Pairs Freestyle'!B51,"AAAAAHuL6eo=")</f>
        <v>#VALUE!</v>
      </c>
      <c r="IB37" t="e">
        <f>AND('Single Rope Pairs Freestyle'!C51,"AAAAAHuL6es=")</f>
        <v>#VALUE!</v>
      </c>
      <c r="IC37" t="e">
        <f>AND('Single Rope Pairs Freestyle'!D51,"AAAAAHuL6ew=")</f>
        <v>#VALUE!</v>
      </c>
      <c r="ID37" t="e">
        <f>AND('Single Rope Pairs Freestyle'!E51,"AAAAAHuL6e0=")</f>
        <v>#VALUE!</v>
      </c>
      <c r="IE37" t="e">
        <f>AND('Single Rope Pairs Freestyle'!F51,"AAAAAHuL6e4=")</f>
        <v>#VALUE!</v>
      </c>
      <c r="IF37" t="e">
        <f>AND('Single Rope Pairs Freestyle'!G51,"AAAAAHuL6e8=")</f>
        <v>#VALUE!</v>
      </c>
      <c r="IG37">
        <f>IF('Single Rope Pairs Freestyle'!52:52,"AAAAAHuL6fA=",0)</f>
        <v>0</v>
      </c>
      <c r="IH37" t="e">
        <f>AND('Single Rope Pairs Freestyle'!A52,"AAAAAHuL6fE=")</f>
        <v>#VALUE!</v>
      </c>
      <c r="II37" t="e">
        <f>AND('Single Rope Pairs Freestyle'!B52,"AAAAAHuL6fI=")</f>
        <v>#VALUE!</v>
      </c>
      <c r="IJ37" t="e">
        <f>AND('Single Rope Pairs Freestyle'!C52,"AAAAAHuL6fM=")</f>
        <v>#VALUE!</v>
      </c>
      <c r="IK37" t="e">
        <f>AND('Single Rope Pairs Freestyle'!D52,"AAAAAHuL6fQ=")</f>
        <v>#VALUE!</v>
      </c>
      <c r="IL37" t="e">
        <f>AND('Single Rope Pairs Freestyle'!E52,"AAAAAHuL6fU=")</f>
        <v>#VALUE!</v>
      </c>
      <c r="IM37" t="e">
        <f>AND('Single Rope Pairs Freestyle'!F52,"AAAAAHuL6fY=")</f>
        <v>#VALUE!</v>
      </c>
      <c r="IN37" t="e">
        <f>AND('Single Rope Pairs Freestyle'!G52,"AAAAAHuL6fc=")</f>
        <v>#VALUE!</v>
      </c>
      <c r="IO37">
        <f>IF('Single Rope Pairs Freestyle'!53:53,"AAAAAHuL6fg=",0)</f>
        <v>0</v>
      </c>
      <c r="IP37" t="e">
        <f>AND('Single Rope Pairs Freestyle'!A53,"AAAAAHuL6fk=")</f>
        <v>#VALUE!</v>
      </c>
      <c r="IQ37" t="e">
        <f>AND('Single Rope Pairs Freestyle'!B53,"AAAAAHuL6fo=")</f>
        <v>#VALUE!</v>
      </c>
      <c r="IR37" t="e">
        <f>AND('Single Rope Pairs Freestyle'!C53,"AAAAAHuL6fs=")</f>
        <v>#VALUE!</v>
      </c>
      <c r="IS37" t="e">
        <f>AND('Single Rope Pairs Freestyle'!D53,"AAAAAHuL6fw=")</f>
        <v>#VALUE!</v>
      </c>
      <c r="IT37" t="e">
        <f>AND('Single Rope Pairs Freestyle'!E53,"AAAAAHuL6f0=")</f>
        <v>#VALUE!</v>
      </c>
      <c r="IU37" t="e">
        <f>AND('Single Rope Pairs Freestyle'!F53,"AAAAAHuL6f4=")</f>
        <v>#VALUE!</v>
      </c>
      <c r="IV37" t="e">
        <f>AND('Single Rope Pairs Freestyle'!G53,"AAAAAHuL6f8=")</f>
        <v>#VALUE!</v>
      </c>
    </row>
    <row r="38" spans="1:256" x14ac:dyDescent="0.25">
      <c r="A38" t="str">
        <f>IF('Single Rope Pairs Freestyle'!54:54,"AAAAAF89fgA=",0)</f>
        <v>AAAAAF89fgA=</v>
      </c>
      <c r="B38" t="e">
        <f>AND('Single Rope Pairs Freestyle'!A54,"AAAAAF89fgE=")</f>
        <v>#VALUE!</v>
      </c>
      <c r="C38" t="e">
        <f>AND('Single Rope Pairs Freestyle'!B54,"AAAAAF89fgI=")</f>
        <v>#VALUE!</v>
      </c>
      <c r="D38" t="e">
        <f>AND('Single Rope Pairs Freestyle'!C54,"AAAAAF89fgM=")</f>
        <v>#VALUE!</v>
      </c>
      <c r="E38" t="e">
        <f>AND('Single Rope Pairs Freestyle'!D54,"AAAAAF89fgQ=")</f>
        <v>#VALUE!</v>
      </c>
      <c r="F38" t="e">
        <f>AND('Single Rope Pairs Freestyle'!E54,"AAAAAF89fgU=")</f>
        <v>#VALUE!</v>
      </c>
      <c r="G38" t="e">
        <f>AND('Single Rope Pairs Freestyle'!F54,"AAAAAF89fgY=")</f>
        <v>#VALUE!</v>
      </c>
      <c r="H38" t="e">
        <f>AND('Single Rope Pairs Freestyle'!G54,"AAAAAF89fgc=")</f>
        <v>#VALUE!</v>
      </c>
      <c r="I38">
        <f>IF('Single Rope Pairs Freestyle'!55:55,"AAAAAF89fgg=",0)</f>
        <v>0</v>
      </c>
      <c r="J38" t="e">
        <f>AND('Single Rope Pairs Freestyle'!A55,"AAAAAF89fgk=")</f>
        <v>#VALUE!</v>
      </c>
      <c r="K38" t="e">
        <f>AND('Single Rope Pairs Freestyle'!B55,"AAAAAF89fgo=")</f>
        <v>#VALUE!</v>
      </c>
      <c r="L38" t="e">
        <f>AND('Single Rope Pairs Freestyle'!C55,"AAAAAF89fgs=")</f>
        <v>#VALUE!</v>
      </c>
      <c r="M38" t="e">
        <f>AND('Single Rope Pairs Freestyle'!D55,"AAAAAF89fgw=")</f>
        <v>#VALUE!</v>
      </c>
      <c r="N38" t="e">
        <f>AND('Single Rope Pairs Freestyle'!E55,"AAAAAF89fg0=")</f>
        <v>#VALUE!</v>
      </c>
      <c r="O38" t="e">
        <f>AND('Single Rope Pairs Freestyle'!F55,"AAAAAF89fg4=")</f>
        <v>#VALUE!</v>
      </c>
      <c r="P38" t="e">
        <f>AND('Single Rope Pairs Freestyle'!G55,"AAAAAF89fg8=")</f>
        <v>#VALUE!</v>
      </c>
      <c r="Q38">
        <f>IF('Single Rope Pairs Freestyle'!56:56,"AAAAAF89fhA=",0)</f>
        <v>0</v>
      </c>
      <c r="R38" t="e">
        <f>AND('Single Rope Pairs Freestyle'!A56,"AAAAAF89fhE=")</f>
        <v>#VALUE!</v>
      </c>
      <c r="S38" t="e">
        <f>AND('Single Rope Pairs Freestyle'!B56,"AAAAAF89fhI=")</f>
        <v>#VALUE!</v>
      </c>
      <c r="T38" t="e">
        <f>AND('Single Rope Pairs Freestyle'!C56,"AAAAAF89fhM=")</f>
        <v>#VALUE!</v>
      </c>
      <c r="U38" t="e">
        <f>AND('Single Rope Pairs Freestyle'!D56,"AAAAAF89fhQ=")</f>
        <v>#VALUE!</v>
      </c>
      <c r="V38" t="e">
        <f>AND('Single Rope Pairs Freestyle'!E56,"AAAAAF89fhU=")</f>
        <v>#VALUE!</v>
      </c>
      <c r="W38" t="e">
        <f>AND('Single Rope Pairs Freestyle'!F56,"AAAAAF89fhY=")</f>
        <v>#VALUE!</v>
      </c>
      <c r="X38" t="e">
        <f>AND('Single Rope Pairs Freestyle'!G56,"AAAAAF89fhc=")</f>
        <v>#VALUE!</v>
      </c>
      <c r="Y38">
        <f>IF('Single Rope Pairs Freestyle'!57:57,"AAAAAF89fhg=",0)</f>
        <v>0</v>
      </c>
      <c r="Z38" t="e">
        <f>AND('Single Rope Pairs Freestyle'!A57,"AAAAAF89fhk=")</f>
        <v>#VALUE!</v>
      </c>
      <c r="AA38" t="e">
        <f>AND('Single Rope Pairs Freestyle'!B57,"AAAAAF89fho=")</f>
        <v>#VALUE!</v>
      </c>
      <c r="AB38" t="e">
        <f>AND('Single Rope Pairs Freestyle'!C57,"AAAAAF89fhs=")</f>
        <v>#VALUE!</v>
      </c>
      <c r="AC38" t="e">
        <f>AND('Single Rope Pairs Freestyle'!D57,"AAAAAF89fhw=")</f>
        <v>#VALUE!</v>
      </c>
      <c r="AD38" t="e">
        <f>AND('Single Rope Pairs Freestyle'!E57,"AAAAAF89fh0=")</f>
        <v>#VALUE!</v>
      </c>
      <c r="AE38" t="e">
        <f>AND('Single Rope Pairs Freestyle'!F57,"AAAAAF89fh4=")</f>
        <v>#VALUE!</v>
      </c>
      <c r="AF38" t="e">
        <f>AND('Single Rope Pairs Freestyle'!G57,"AAAAAF89fh8=")</f>
        <v>#VALUE!</v>
      </c>
      <c r="AG38">
        <f>IF('Single Rope Pairs Freestyle'!58:58,"AAAAAF89fiA=",0)</f>
        <v>0</v>
      </c>
      <c r="AH38" t="e">
        <f>AND('Single Rope Pairs Freestyle'!A58,"AAAAAF89fiE=")</f>
        <v>#VALUE!</v>
      </c>
      <c r="AI38" t="e">
        <f>AND('Single Rope Pairs Freestyle'!B58,"AAAAAF89fiI=")</f>
        <v>#VALUE!</v>
      </c>
      <c r="AJ38" t="e">
        <f>AND('Single Rope Pairs Freestyle'!C58,"AAAAAF89fiM=")</f>
        <v>#VALUE!</v>
      </c>
      <c r="AK38" t="e">
        <f>AND('Single Rope Pairs Freestyle'!D58,"AAAAAF89fiQ=")</f>
        <v>#VALUE!</v>
      </c>
      <c r="AL38" t="e">
        <f>AND('Single Rope Pairs Freestyle'!E58,"AAAAAF89fiU=")</f>
        <v>#VALUE!</v>
      </c>
      <c r="AM38" t="e">
        <f>AND('Single Rope Pairs Freestyle'!F58,"AAAAAF89fiY=")</f>
        <v>#VALUE!</v>
      </c>
      <c r="AN38" t="e">
        <f>AND('Single Rope Pairs Freestyle'!G58,"AAAAAF89fic=")</f>
        <v>#VALUE!</v>
      </c>
      <c r="AO38">
        <f>IF('Single Rope Pairs Freestyle'!59:59,"AAAAAF89fig=",0)</f>
        <v>0</v>
      </c>
      <c r="AP38" t="e">
        <f>AND('Single Rope Pairs Freestyle'!A59,"AAAAAF89fik=")</f>
        <v>#VALUE!</v>
      </c>
      <c r="AQ38" t="e">
        <f>AND('Single Rope Pairs Freestyle'!B59,"AAAAAF89fio=")</f>
        <v>#VALUE!</v>
      </c>
      <c r="AR38" t="e">
        <f>AND('Single Rope Pairs Freestyle'!C59,"AAAAAF89fis=")</f>
        <v>#VALUE!</v>
      </c>
      <c r="AS38" t="e">
        <f>AND('Single Rope Pairs Freestyle'!D59,"AAAAAF89fiw=")</f>
        <v>#VALUE!</v>
      </c>
      <c r="AT38" t="e">
        <f>AND('Single Rope Pairs Freestyle'!E59,"AAAAAF89fi0=")</f>
        <v>#VALUE!</v>
      </c>
      <c r="AU38" t="e">
        <f>AND('Single Rope Pairs Freestyle'!F59,"AAAAAF89fi4=")</f>
        <v>#VALUE!</v>
      </c>
      <c r="AV38" t="e">
        <f>AND('Single Rope Pairs Freestyle'!G59,"AAAAAF89fi8=")</f>
        <v>#VALUE!</v>
      </c>
      <c r="AW38">
        <f>IF('Single Rope Pairs Freestyle'!72:72,"AAAAAF89fjA=",0)</f>
        <v>0</v>
      </c>
      <c r="AX38" t="e">
        <f>AND('Single Rope Pairs Freestyle'!A72,"AAAAAF89fjE=")</f>
        <v>#VALUE!</v>
      </c>
      <c r="AY38" t="e">
        <f>AND('Single Rope Pairs Freestyle'!B72,"AAAAAF89fjI=")</f>
        <v>#VALUE!</v>
      </c>
      <c r="AZ38" t="e">
        <f>AND('Single Rope Pairs Freestyle'!C72,"AAAAAF89fjM=")</f>
        <v>#VALUE!</v>
      </c>
      <c r="BA38" t="e">
        <f>AND('Single Rope Pairs Freestyle'!D72,"AAAAAF89fjQ=")</f>
        <v>#VALUE!</v>
      </c>
      <c r="BB38" t="e">
        <f>AND('Single Rope Pairs Freestyle'!E72,"AAAAAF89fjU=")</f>
        <v>#VALUE!</v>
      </c>
      <c r="BC38" t="e">
        <f>AND('Single Rope Pairs Freestyle'!F72,"AAAAAF89fjY=")</f>
        <v>#VALUE!</v>
      </c>
      <c r="BD38" t="e">
        <f>AND('Single Rope Pairs Freestyle'!G72,"AAAAAF89fjc=")</f>
        <v>#VALUE!</v>
      </c>
      <c r="BE38">
        <f>IF('Single Rope Pairs Freestyle'!73:73,"AAAAAF89fjg=",0)</f>
        <v>0</v>
      </c>
      <c r="BF38" t="e">
        <f>AND('Single Rope Pairs Freestyle'!A73,"AAAAAF89fjk=")</f>
        <v>#VALUE!</v>
      </c>
      <c r="BG38" t="e">
        <f>AND('Single Rope Pairs Freestyle'!B73,"AAAAAF89fjo=")</f>
        <v>#VALUE!</v>
      </c>
      <c r="BH38" t="e">
        <f>AND('Single Rope Pairs Freestyle'!C73,"AAAAAF89fjs=")</f>
        <v>#VALUE!</v>
      </c>
      <c r="BI38" t="e">
        <f>AND('Single Rope Pairs Freestyle'!D73,"AAAAAF89fjw=")</f>
        <v>#VALUE!</v>
      </c>
      <c r="BJ38" t="e">
        <f>AND('Single Rope Pairs Freestyle'!E73,"AAAAAF89fj0=")</f>
        <v>#VALUE!</v>
      </c>
      <c r="BK38" t="e">
        <f>AND('Single Rope Pairs Freestyle'!F73,"AAAAAF89fj4=")</f>
        <v>#VALUE!</v>
      </c>
      <c r="BL38" t="e">
        <f>AND('Single Rope Pairs Freestyle'!G73,"AAAAAF89fj8=")</f>
        <v>#VALUE!</v>
      </c>
      <c r="BM38">
        <f>IF('Single Rope Pairs Freestyle'!74:74,"AAAAAF89fkA=",0)</f>
        <v>0</v>
      </c>
      <c r="BN38" t="e">
        <f>AND('Single Rope Pairs Freestyle'!A74,"AAAAAF89fkE=")</f>
        <v>#VALUE!</v>
      </c>
      <c r="BO38" t="e">
        <f>AND('Single Rope Pairs Freestyle'!B74,"AAAAAF89fkI=")</f>
        <v>#VALUE!</v>
      </c>
      <c r="BP38" t="e">
        <f>AND('Single Rope Pairs Freestyle'!C74,"AAAAAF89fkM=")</f>
        <v>#VALUE!</v>
      </c>
      <c r="BQ38" t="e">
        <f>AND('Single Rope Pairs Freestyle'!D74,"AAAAAF89fkQ=")</f>
        <v>#VALUE!</v>
      </c>
      <c r="BR38" t="e">
        <f>AND('Single Rope Pairs Freestyle'!E74,"AAAAAF89fkU=")</f>
        <v>#VALUE!</v>
      </c>
      <c r="BS38" t="e">
        <f>AND('Single Rope Pairs Freestyle'!F74,"AAAAAF89fkY=")</f>
        <v>#VALUE!</v>
      </c>
      <c r="BT38" t="e">
        <f>AND('Single Rope Pairs Freestyle'!G74,"AAAAAF89fkc=")</f>
        <v>#VALUE!</v>
      </c>
      <c r="BU38">
        <f>IF('Single Rope Pairs Freestyle'!75:75,"AAAAAF89fkg=",0)</f>
        <v>0</v>
      </c>
      <c r="BV38" t="e">
        <f>AND('Single Rope Pairs Freestyle'!A75,"AAAAAF89fkk=")</f>
        <v>#VALUE!</v>
      </c>
      <c r="BW38" t="e">
        <f>AND('Single Rope Pairs Freestyle'!B75,"AAAAAF89fko=")</f>
        <v>#VALUE!</v>
      </c>
      <c r="BX38" t="e">
        <f>AND('Single Rope Pairs Freestyle'!C75,"AAAAAF89fks=")</f>
        <v>#VALUE!</v>
      </c>
      <c r="BY38" t="e">
        <f>AND('Single Rope Pairs Freestyle'!D75,"AAAAAF89fkw=")</f>
        <v>#VALUE!</v>
      </c>
      <c r="BZ38" t="e">
        <f>AND('Single Rope Pairs Freestyle'!E75,"AAAAAF89fk0=")</f>
        <v>#VALUE!</v>
      </c>
      <c r="CA38" t="e">
        <f>AND('Single Rope Pairs Freestyle'!F75,"AAAAAF89fk4=")</f>
        <v>#VALUE!</v>
      </c>
      <c r="CB38" t="e">
        <f>AND('Single Rope Pairs Freestyle'!G75,"AAAAAF89fk8=")</f>
        <v>#VALUE!</v>
      </c>
      <c r="CC38">
        <f>IF('Single Rope Pairs Freestyle'!76:76,"AAAAAF89flA=",0)</f>
        <v>0</v>
      </c>
      <c r="CD38" t="e">
        <f>AND('Single Rope Pairs Freestyle'!A76,"AAAAAF89flE=")</f>
        <v>#VALUE!</v>
      </c>
      <c r="CE38" t="e">
        <f>AND('Single Rope Pairs Freestyle'!B76,"AAAAAF89flI=")</f>
        <v>#VALUE!</v>
      </c>
      <c r="CF38" t="e">
        <f>AND('Single Rope Pairs Freestyle'!C76,"AAAAAF89flM=")</f>
        <v>#VALUE!</v>
      </c>
      <c r="CG38" t="e">
        <f>AND('Single Rope Pairs Freestyle'!D76,"AAAAAF89flQ=")</f>
        <v>#VALUE!</v>
      </c>
      <c r="CH38" t="e">
        <f>AND('Single Rope Pairs Freestyle'!E76,"AAAAAF89flU=")</f>
        <v>#VALUE!</v>
      </c>
      <c r="CI38" t="e">
        <f>AND('Single Rope Pairs Freestyle'!F76,"AAAAAF89flY=")</f>
        <v>#VALUE!</v>
      </c>
      <c r="CJ38" t="e">
        <f>AND('Single Rope Pairs Freestyle'!G76,"AAAAAF89flc=")</f>
        <v>#VALUE!</v>
      </c>
      <c r="CK38">
        <f>IF('Single Rope Pairs Freestyle'!77:77,"AAAAAF89flg=",0)</f>
        <v>0</v>
      </c>
      <c r="CL38" t="e">
        <f>AND('Single Rope Pairs Freestyle'!A77,"AAAAAF89flk=")</f>
        <v>#VALUE!</v>
      </c>
      <c r="CM38" t="e">
        <f>AND('Single Rope Pairs Freestyle'!B77,"AAAAAF89flo=")</f>
        <v>#VALUE!</v>
      </c>
      <c r="CN38" t="e">
        <f>AND('Single Rope Pairs Freestyle'!C77,"AAAAAF89fls=")</f>
        <v>#VALUE!</v>
      </c>
      <c r="CO38" t="e">
        <f>AND('Single Rope Pairs Freestyle'!D77,"AAAAAF89flw=")</f>
        <v>#VALUE!</v>
      </c>
      <c r="CP38" t="e">
        <f>AND('Single Rope Pairs Freestyle'!E77,"AAAAAF89fl0=")</f>
        <v>#VALUE!</v>
      </c>
      <c r="CQ38" t="e">
        <f>AND('Single Rope Pairs Freestyle'!F77,"AAAAAF89fl4=")</f>
        <v>#VALUE!</v>
      </c>
      <c r="CR38" t="e">
        <f>AND('Single Rope Pairs Freestyle'!G77,"AAAAAF89fl8=")</f>
        <v>#VALUE!</v>
      </c>
      <c r="CS38">
        <f>IF('Single Rope Pairs Freestyle'!78:78,"AAAAAF89fmA=",0)</f>
        <v>0</v>
      </c>
      <c r="CT38" t="e">
        <f>AND('Single Rope Pairs Freestyle'!A78,"AAAAAF89fmE=")</f>
        <v>#VALUE!</v>
      </c>
      <c r="CU38" t="e">
        <f>AND('Single Rope Pairs Freestyle'!B78,"AAAAAF89fmI=")</f>
        <v>#VALUE!</v>
      </c>
      <c r="CV38" t="e">
        <f>AND('Single Rope Pairs Freestyle'!C78,"AAAAAF89fmM=")</f>
        <v>#VALUE!</v>
      </c>
      <c r="CW38" t="e">
        <f>AND('Single Rope Pairs Freestyle'!D78,"AAAAAF89fmQ=")</f>
        <v>#VALUE!</v>
      </c>
      <c r="CX38" t="e">
        <f>AND('Single Rope Pairs Freestyle'!E78,"AAAAAF89fmU=")</f>
        <v>#VALUE!</v>
      </c>
      <c r="CY38" t="e">
        <f>AND('Single Rope Pairs Freestyle'!F78,"AAAAAF89fmY=")</f>
        <v>#VALUE!</v>
      </c>
      <c r="CZ38" t="e">
        <f>AND('Single Rope Pairs Freestyle'!G78,"AAAAAF89fmc=")</f>
        <v>#VALUE!</v>
      </c>
      <c r="DA38">
        <f>IF('Single Rope Pairs Freestyle'!79:79,"AAAAAF89fmg=",0)</f>
        <v>0</v>
      </c>
      <c r="DB38" t="e">
        <f>AND('Single Rope Pairs Freestyle'!A79,"AAAAAF89fmk=")</f>
        <v>#VALUE!</v>
      </c>
      <c r="DC38" t="e">
        <f>AND('Single Rope Pairs Freestyle'!B79,"AAAAAF89fmo=")</f>
        <v>#VALUE!</v>
      </c>
      <c r="DD38" t="e">
        <f>AND('Single Rope Pairs Freestyle'!C79,"AAAAAF89fms=")</f>
        <v>#VALUE!</v>
      </c>
      <c r="DE38" t="e">
        <f>AND('Single Rope Pairs Freestyle'!D79,"AAAAAF89fmw=")</f>
        <v>#VALUE!</v>
      </c>
      <c r="DF38" t="e">
        <f>AND('Single Rope Pairs Freestyle'!E79,"AAAAAF89fm0=")</f>
        <v>#VALUE!</v>
      </c>
      <c r="DG38" t="e">
        <f>AND('Single Rope Pairs Freestyle'!F79,"AAAAAF89fm4=")</f>
        <v>#VALUE!</v>
      </c>
      <c r="DH38" t="e">
        <f>AND('Single Rope Pairs Freestyle'!G79,"AAAAAF89fm8=")</f>
        <v>#VALUE!</v>
      </c>
      <c r="DI38">
        <f>IF('Single Rope Pairs Freestyle'!80:80,"AAAAAF89fnA=",0)</f>
        <v>0</v>
      </c>
      <c r="DJ38" t="e">
        <f>AND('Single Rope Pairs Freestyle'!A80,"AAAAAF89fnE=")</f>
        <v>#VALUE!</v>
      </c>
      <c r="DK38" t="e">
        <f>AND('Single Rope Pairs Freestyle'!B80,"AAAAAF89fnI=")</f>
        <v>#VALUE!</v>
      </c>
      <c r="DL38" t="e">
        <f>AND('Single Rope Pairs Freestyle'!C80,"AAAAAF89fnM=")</f>
        <v>#VALUE!</v>
      </c>
      <c r="DM38" t="e">
        <f>AND('Single Rope Pairs Freestyle'!D80,"AAAAAF89fnQ=")</f>
        <v>#VALUE!</v>
      </c>
      <c r="DN38" t="e">
        <f>AND('Single Rope Pairs Freestyle'!E80,"AAAAAF89fnU=")</f>
        <v>#VALUE!</v>
      </c>
      <c r="DO38" t="e">
        <f>AND('Single Rope Pairs Freestyle'!F80,"AAAAAF89fnY=")</f>
        <v>#VALUE!</v>
      </c>
      <c r="DP38" t="e">
        <f>AND('Single Rope Pairs Freestyle'!G80,"AAAAAF89fnc=")</f>
        <v>#VALUE!</v>
      </c>
      <c r="DQ38">
        <f>IF('Single Rope Pairs Freestyle'!81:81,"AAAAAF89fng=",0)</f>
        <v>0</v>
      </c>
      <c r="DR38" t="e">
        <f>AND('Single Rope Pairs Freestyle'!A81,"AAAAAF89fnk=")</f>
        <v>#VALUE!</v>
      </c>
      <c r="DS38" t="e">
        <f>AND('Single Rope Pairs Freestyle'!B81,"AAAAAF89fno=")</f>
        <v>#VALUE!</v>
      </c>
      <c r="DT38" t="e">
        <f>AND('Single Rope Pairs Freestyle'!C81,"AAAAAF89fns=")</f>
        <v>#VALUE!</v>
      </c>
      <c r="DU38" t="e">
        <f>AND('Single Rope Pairs Freestyle'!D81,"AAAAAF89fnw=")</f>
        <v>#VALUE!</v>
      </c>
      <c r="DV38" t="e">
        <f>AND('Single Rope Pairs Freestyle'!E81,"AAAAAF89fn0=")</f>
        <v>#VALUE!</v>
      </c>
      <c r="DW38" t="e">
        <f>AND('Single Rope Pairs Freestyle'!F81,"AAAAAF89fn4=")</f>
        <v>#VALUE!</v>
      </c>
      <c r="DX38" t="e">
        <f>AND('Single Rope Pairs Freestyle'!G81,"AAAAAF89fn8=")</f>
        <v>#VALUE!</v>
      </c>
      <c r="DY38">
        <f>IF('Single Rope Pairs Freestyle'!82:82,"AAAAAF89foA=",0)</f>
        <v>0</v>
      </c>
      <c r="DZ38" t="e">
        <f>AND('Single Rope Pairs Freestyle'!A82,"AAAAAF89foE=")</f>
        <v>#VALUE!</v>
      </c>
      <c r="EA38" t="e">
        <f>AND('Single Rope Pairs Freestyle'!B82,"AAAAAF89foI=")</f>
        <v>#VALUE!</v>
      </c>
      <c r="EB38" t="e">
        <f>AND('Single Rope Pairs Freestyle'!C82,"AAAAAF89foM=")</f>
        <v>#VALUE!</v>
      </c>
      <c r="EC38" t="e">
        <f>AND('Single Rope Pairs Freestyle'!D82,"AAAAAF89foQ=")</f>
        <v>#VALUE!</v>
      </c>
      <c r="ED38" t="e">
        <f>AND('Single Rope Pairs Freestyle'!E82,"AAAAAF89foU=")</f>
        <v>#VALUE!</v>
      </c>
      <c r="EE38" t="e">
        <f>AND('Single Rope Pairs Freestyle'!F82,"AAAAAF89foY=")</f>
        <v>#VALUE!</v>
      </c>
      <c r="EF38" t="e">
        <f>AND('Single Rope Pairs Freestyle'!G82,"AAAAAF89foc=")</f>
        <v>#VALUE!</v>
      </c>
      <c r="EG38">
        <f>IF('Single Rope Pairs Freestyle'!83:83,"AAAAAF89fog=",0)</f>
        <v>0</v>
      </c>
      <c r="EH38" t="e">
        <f>AND('Single Rope Pairs Freestyle'!A83,"AAAAAF89fok=")</f>
        <v>#VALUE!</v>
      </c>
      <c r="EI38" t="e">
        <f>AND('Single Rope Pairs Freestyle'!B83,"AAAAAF89foo=")</f>
        <v>#VALUE!</v>
      </c>
      <c r="EJ38" t="e">
        <f>AND('Single Rope Pairs Freestyle'!C83,"AAAAAF89fos=")</f>
        <v>#VALUE!</v>
      </c>
      <c r="EK38" t="e">
        <f>AND('Single Rope Pairs Freestyle'!D83,"AAAAAF89fow=")</f>
        <v>#VALUE!</v>
      </c>
      <c r="EL38" t="e">
        <f>AND('Single Rope Pairs Freestyle'!E83,"AAAAAF89fo0=")</f>
        <v>#VALUE!</v>
      </c>
      <c r="EM38" t="e">
        <f>AND('Single Rope Pairs Freestyle'!F83,"AAAAAF89fo4=")</f>
        <v>#VALUE!</v>
      </c>
      <c r="EN38" t="e">
        <f>AND('Single Rope Pairs Freestyle'!G83,"AAAAAF89fo8=")</f>
        <v>#VALUE!</v>
      </c>
      <c r="EO38">
        <f>IF('Single Rope Pairs Freestyle'!84:84,"AAAAAF89fpA=",0)</f>
        <v>0</v>
      </c>
      <c r="EP38" t="e">
        <f>AND('Single Rope Pairs Freestyle'!A84,"AAAAAF89fpE=")</f>
        <v>#VALUE!</v>
      </c>
      <c r="EQ38" t="e">
        <f>AND('Single Rope Pairs Freestyle'!B84,"AAAAAF89fpI=")</f>
        <v>#VALUE!</v>
      </c>
      <c r="ER38" t="e">
        <f>AND('Single Rope Pairs Freestyle'!C84,"AAAAAF89fpM=")</f>
        <v>#VALUE!</v>
      </c>
      <c r="ES38" t="e">
        <f>AND('Single Rope Pairs Freestyle'!D84,"AAAAAF89fpQ=")</f>
        <v>#VALUE!</v>
      </c>
      <c r="ET38" t="e">
        <f>AND('Single Rope Pairs Freestyle'!E84,"AAAAAF89fpU=")</f>
        <v>#VALUE!</v>
      </c>
      <c r="EU38" t="e">
        <f>AND('Single Rope Pairs Freestyle'!F84,"AAAAAF89fpY=")</f>
        <v>#VALUE!</v>
      </c>
      <c r="EV38" t="e">
        <f>AND('Single Rope Pairs Freestyle'!G84,"AAAAAF89fpc=")</f>
        <v>#VALUE!</v>
      </c>
      <c r="EW38">
        <f>IF('Single Rope Pairs Freestyle'!85:85,"AAAAAF89fpg=",0)</f>
        <v>0</v>
      </c>
      <c r="EX38" t="e">
        <f>AND('Single Rope Pairs Freestyle'!A85,"AAAAAF89fpk=")</f>
        <v>#VALUE!</v>
      </c>
      <c r="EY38" t="e">
        <f>AND('Single Rope Pairs Freestyle'!B85,"AAAAAF89fpo=")</f>
        <v>#VALUE!</v>
      </c>
      <c r="EZ38" t="e">
        <f>AND('Single Rope Pairs Freestyle'!C85,"AAAAAF89fps=")</f>
        <v>#VALUE!</v>
      </c>
      <c r="FA38" t="e">
        <f>AND('Single Rope Pairs Freestyle'!D85,"AAAAAF89fpw=")</f>
        <v>#VALUE!</v>
      </c>
      <c r="FB38" t="e">
        <f>AND('Single Rope Pairs Freestyle'!E85,"AAAAAF89fp0=")</f>
        <v>#VALUE!</v>
      </c>
      <c r="FC38" t="e">
        <f>AND('Single Rope Pairs Freestyle'!F85,"AAAAAF89fp4=")</f>
        <v>#VALUE!</v>
      </c>
      <c r="FD38" t="e">
        <f>AND('Single Rope Pairs Freestyle'!G85,"AAAAAF89fp8=")</f>
        <v>#VALUE!</v>
      </c>
      <c r="FE38">
        <f>IF('Single Rope Pairs Freestyle'!86:86,"AAAAAF89fqA=",0)</f>
        <v>0</v>
      </c>
      <c r="FF38" t="e">
        <f>AND('Single Rope Pairs Freestyle'!A86,"AAAAAF89fqE=")</f>
        <v>#VALUE!</v>
      </c>
      <c r="FG38" t="e">
        <f>AND('Single Rope Pairs Freestyle'!B86,"AAAAAF89fqI=")</f>
        <v>#VALUE!</v>
      </c>
      <c r="FH38" t="e">
        <f>AND('Single Rope Pairs Freestyle'!C86,"AAAAAF89fqM=")</f>
        <v>#VALUE!</v>
      </c>
      <c r="FI38" t="e">
        <f>AND('Single Rope Pairs Freestyle'!D86,"AAAAAF89fqQ=")</f>
        <v>#VALUE!</v>
      </c>
      <c r="FJ38" t="e">
        <f>AND('Single Rope Pairs Freestyle'!E86,"AAAAAF89fqU=")</f>
        <v>#VALUE!</v>
      </c>
      <c r="FK38" t="e">
        <f>AND('Single Rope Pairs Freestyle'!F86,"AAAAAF89fqY=")</f>
        <v>#VALUE!</v>
      </c>
      <c r="FL38" t="e">
        <f>AND('Single Rope Pairs Freestyle'!G86,"AAAAAF89fqc=")</f>
        <v>#VALUE!</v>
      </c>
      <c r="FM38">
        <f>IF('Single Rope Pairs Freestyle'!87:87,"AAAAAF89fqg=",0)</f>
        <v>0</v>
      </c>
      <c r="FN38" t="e">
        <f>AND('Single Rope Pairs Freestyle'!A87,"AAAAAF89fqk=")</f>
        <v>#VALUE!</v>
      </c>
      <c r="FO38" t="e">
        <f>AND('Single Rope Pairs Freestyle'!B87,"AAAAAF89fqo=")</f>
        <v>#VALUE!</v>
      </c>
      <c r="FP38" t="e">
        <f>AND('Single Rope Pairs Freestyle'!C87,"AAAAAF89fqs=")</f>
        <v>#VALUE!</v>
      </c>
      <c r="FQ38" t="e">
        <f>AND('Single Rope Pairs Freestyle'!D87,"AAAAAF89fqw=")</f>
        <v>#VALUE!</v>
      </c>
      <c r="FR38" t="e">
        <f>AND('Single Rope Pairs Freestyle'!E87,"AAAAAF89fq0=")</f>
        <v>#VALUE!</v>
      </c>
      <c r="FS38" t="e">
        <f>AND('Single Rope Pairs Freestyle'!F87,"AAAAAF89fq4=")</f>
        <v>#VALUE!</v>
      </c>
      <c r="FT38" t="e">
        <f>AND('Single Rope Pairs Freestyle'!G87,"AAAAAF89fq8=")</f>
        <v>#VALUE!</v>
      </c>
      <c r="FU38">
        <f>IF('Single Rope Pairs Freestyle'!88:88,"AAAAAF89frA=",0)</f>
        <v>0</v>
      </c>
      <c r="FV38" t="e">
        <f>AND('Single Rope Pairs Freestyle'!A88,"AAAAAF89frE=")</f>
        <v>#VALUE!</v>
      </c>
      <c r="FW38" t="e">
        <f>AND('Single Rope Pairs Freestyle'!B88,"AAAAAF89frI=")</f>
        <v>#VALUE!</v>
      </c>
      <c r="FX38" t="e">
        <f>AND('Single Rope Pairs Freestyle'!C88,"AAAAAF89frM=")</f>
        <v>#VALUE!</v>
      </c>
      <c r="FY38" t="e">
        <f>AND('Single Rope Pairs Freestyle'!D88,"AAAAAF89frQ=")</f>
        <v>#VALUE!</v>
      </c>
      <c r="FZ38" t="e">
        <f>AND('Single Rope Pairs Freestyle'!E88,"AAAAAF89frU=")</f>
        <v>#VALUE!</v>
      </c>
      <c r="GA38" t="e">
        <f>AND('Single Rope Pairs Freestyle'!F88,"AAAAAF89frY=")</f>
        <v>#VALUE!</v>
      </c>
      <c r="GB38" t="e">
        <f>AND('Single Rope Pairs Freestyle'!G88,"AAAAAF89frc=")</f>
        <v>#VALUE!</v>
      </c>
      <c r="GC38">
        <f>IF('Single Rope Pairs Freestyle'!89:89,"AAAAAF89frg=",0)</f>
        <v>0</v>
      </c>
      <c r="GD38" t="e">
        <f>AND('Single Rope Pairs Freestyle'!A89,"AAAAAF89frk=")</f>
        <v>#VALUE!</v>
      </c>
      <c r="GE38" t="e">
        <f>AND('Single Rope Pairs Freestyle'!B89,"AAAAAF89fro=")</f>
        <v>#VALUE!</v>
      </c>
      <c r="GF38" t="e">
        <f>AND('Single Rope Pairs Freestyle'!C89,"AAAAAF89frs=")</f>
        <v>#VALUE!</v>
      </c>
      <c r="GG38" t="e">
        <f>AND('Single Rope Pairs Freestyle'!D89,"AAAAAF89frw=")</f>
        <v>#VALUE!</v>
      </c>
      <c r="GH38" t="e">
        <f>AND('Single Rope Pairs Freestyle'!E89,"AAAAAF89fr0=")</f>
        <v>#VALUE!</v>
      </c>
      <c r="GI38" t="e">
        <f>AND('Single Rope Pairs Freestyle'!F89,"AAAAAF89fr4=")</f>
        <v>#VALUE!</v>
      </c>
      <c r="GJ38" t="e">
        <f>AND('Single Rope Pairs Freestyle'!G89,"AAAAAF89fr8=")</f>
        <v>#VALUE!</v>
      </c>
      <c r="GK38">
        <f>IF('Single Rope Pairs Freestyle'!90:90,"AAAAAF89fsA=",0)</f>
        <v>0</v>
      </c>
      <c r="GL38" t="e">
        <f>AND('Single Rope Pairs Freestyle'!A90,"AAAAAF89fsE=")</f>
        <v>#VALUE!</v>
      </c>
      <c r="GM38" t="e">
        <f>AND('Single Rope Pairs Freestyle'!B90,"AAAAAF89fsI=")</f>
        <v>#VALUE!</v>
      </c>
      <c r="GN38" t="e">
        <f>AND('Single Rope Pairs Freestyle'!C90,"AAAAAF89fsM=")</f>
        <v>#VALUE!</v>
      </c>
      <c r="GO38" t="e">
        <f>AND('Single Rope Pairs Freestyle'!D90,"AAAAAF89fsQ=")</f>
        <v>#VALUE!</v>
      </c>
      <c r="GP38" t="e">
        <f>AND('Single Rope Pairs Freestyle'!E90,"AAAAAF89fsU=")</f>
        <v>#VALUE!</v>
      </c>
      <c r="GQ38" t="e">
        <f>AND('Single Rope Pairs Freestyle'!F90,"AAAAAF89fsY=")</f>
        <v>#VALUE!</v>
      </c>
      <c r="GR38" t="e">
        <f>AND('Single Rope Pairs Freestyle'!G90,"AAAAAF89fsc=")</f>
        <v>#VALUE!</v>
      </c>
      <c r="GS38">
        <f>IF('Single Rope Pairs Freestyle'!103:103,"AAAAAF89fsg=",0)</f>
        <v>0</v>
      </c>
      <c r="GT38" t="e">
        <f>AND('Single Rope Pairs Freestyle'!A103,"AAAAAF89fsk=")</f>
        <v>#VALUE!</v>
      </c>
      <c r="GU38" t="e">
        <f>AND('Single Rope Pairs Freestyle'!B103,"AAAAAF89fso=")</f>
        <v>#VALUE!</v>
      </c>
      <c r="GV38" t="e">
        <f>AND('Single Rope Pairs Freestyle'!C103,"AAAAAF89fss=")</f>
        <v>#VALUE!</v>
      </c>
      <c r="GW38" t="e">
        <f>AND('Single Rope Pairs Freestyle'!D103,"AAAAAF89fsw=")</f>
        <v>#VALUE!</v>
      </c>
      <c r="GX38" t="e">
        <f>AND('Single Rope Pairs Freestyle'!E103,"AAAAAF89fs0=")</f>
        <v>#VALUE!</v>
      </c>
      <c r="GY38" t="e">
        <f>AND('Single Rope Pairs Freestyle'!F103,"AAAAAF89fs4=")</f>
        <v>#VALUE!</v>
      </c>
      <c r="GZ38" t="e">
        <f>AND('Single Rope Pairs Freestyle'!G103,"AAAAAF89fs8=")</f>
        <v>#VALUE!</v>
      </c>
      <c r="HA38">
        <f>IF('Single Rope Pairs Freestyle'!104:104,"AAAAAF89ftA=",0)</f>
        <v>0</v>
      </c>
      <c r="HB38" t="e">
        <f>AND('Single Rope Pairs Freestyle'!A104,"AAAAAF89ftE=")</f>
        <v>#VALUE!</v>
      </c>
      <c r="HC38" t="e">
        <f>AND('Single Rope Pairs Freestyle'!B104,"AAAAAF89ftI=")</f>
        <v>#VALUE!</v>
      </c>
      <c r="HD38" t="e">
        <f>AND('Single Rope Pairs Freestyle'!C104,"AAAAAF89ftM=")</f>
        <v>#VALUE!</v>
      </c>
      <c r="HE38" t="e">
        <f>AND('Single Rope Pairs Freestyle'!D104,"AAAAAF89ftQ=")</f>
        <v>#VALUE!</v>
      </c>
      <c r="HF38" t="e">
        <f>AND('Single Rope Pairs Freestyle'!E104,"AAAAAF89ftU=")</f>
        <v>#VALUE!</v>
      </c>
      <c r="HG38" t="e">
        <f>AND('Single Rope Pairs Freestyle'!F104,"AAAAAF89ftY=")</f>
        <v>#VALUE!</v>
      </c>
      <c r="HH38" t="e">
        <f>AND('Single Rope Pairs Freestyle'!G104,"AAAAAF89ftc=")</f>
        <v>#VALUE!</v>
      </c>
      <c r="HI38">
        <f>IF('Single Rope Pairs Freestyle'!105:105,"AAAAAF89ftg=",0)</f>
        <v>0</v>
      </c>
      <c r="HJ38" t="e">
        <f>AND('Single Rope Pairs Freestyle'!A105,"AAAAAF89ftk=")</f>
        <v>#VALUE!</v>
      </c>
      <c r="HK38" t="e">
        <f>AND('Single Rope Pairs Freestyle'!B105,"AAAAAF89fto=")</f>
        <v>#VALUE!</v>
      </c>
      <c r="HL38" t="e">
        <f>AND('Single Rope Pairs Freestyle'!C105,"AAAAAF89fts=")</f>
        <v>#VALUE!</v>
      </c>
      <c r="HM38" t="e">
        <f>AND('Single Rope Pairs Freestyle'!D105,"AAAAAF89ftw=")</f>
        <v>#VALUE!</v>
      </c>
      <c r="HN38" t="e">
        <f>AND('Single Rope Pairs Freestyle'!E105,"AAAAAF89ft0=")</f>
        <v>#VALUE!</v>
      </c>
      <c r="HO38" t="e">
        <f>AND('Single Rope Pairs Freestyle'!F105,"AAAAAF89ft4=")</f>
        <v>#VALUE!</v>
      </c>
      <c r="HP38" t="e">
        <f>AND('Single Rope Pairs Freestyle'!G105,"AAAAAF89ft8=")</f>
        <v>#VALUE!</v>
      </c>
      <c r="HQ38">
        <f>IF('Single Rope Pairs Freestyle'!106:106,"AAAAAF89fuA=",0)</f>
        <v>0</v>
      </c>
      <c r="HR38" t="e">
        <f>AND('Single Rope Pairs Freestyle'!A106,"AAAAAF89fuE=")</f>
        <v>#VALUE!</v>
      </c>
      <c r="HS38" t="e">
        <f>AND('Single Rope Pairs Freestyle'!B106,"AAAAAF89fuI=")</f>
        <v>#VALUE!</v>
      </c>
      <c r="HT38" t="e">
        <f>AND('Single Rope Pairs Freestyle'!C106,"AAAAAF89fuM=")</f>
        <v>#VALUE!</v>
      </c>
      <c r="HU38" t="e">
        <f>AND('Single Rope Pairs Freestyle'!D106,"AAAAAF89fuQ=")</f>
        <v>#VALUE!</v>
      </c>
      <c r="HV38" t="e">
        <f>AND('Single Rope Pairs Freestyle'!E106,"AAAAAF89fuU=")</f>
        <v>#VALUE!</v>
      </c>
      <c r="HW38" t="e">
        <f>AND('Single Rope Pairs Freestyle'!F106,"AAAAAF89fuY=")</f>
        <v>#VALUE!</v>
      </c>
      <c r="HX38" t="e">
        <f>AND('Single Rope Pairs Freestyle'!G106,"AAAAAF89fuc=")</f>
        <v>#VALUE!</v>
      </c>
      <c r="HY38">
        <f>IF('Single Rope Pairs Freestyle'!107:107,"AAAAAF89fug=",0)</f>
        <v>0</v>
      </c>
      <c r="HZ38" t="e">
        <f>AND('Single Rope Pairs Freestyle'!A107,"AAAAAF89fuk=")</f>
        <v>#VALUE!</v>
      </c>
      <c r="IA38" t="e">
        <f>AND('Single Rope Pairs Freestyle'!B107,"AAAAAF89fuo=")</f>
        <v>#VALUE!</v>
      </c>
      <c r="IB38" t="e">
        <f>AND('Single Rope Pairs Freestyle'!C107,"AAAAAF89fus=")</f>
        <v>#VALUE!</v>
      </c>
      <c r="IC38" t="e">
        <f>AND('Single Rope Pairs Freestyle'!D107,"AAAAAF89fuw=")</f>
        <v>#VALUE!</v>
      </c>
      <c r="ID38" t="e">
        <f>AND('Single Rope Pairs Freestyle'!E107,"AAAAAF89fu0=")</f>
        <v>#VALUE!</v>
      </c>
      <c r="IE38" t="e">
        <f>AND('Single Rope Pairs Freestyle'!F107,"AAAAAF89fu4=")</f>
        <v>#VALUE!</v>
      </c>
      <c r="IF38" t="e">
        <f>AND('Single Rope Pairs Freestyle'!G107,"AAAAAF89fu8=")</f>
        <v>#VALUE!</v>
      </c>
      <c r="IG38">
        <f>IF('Single Rope Pairs Freestyle'!108:108,"AAAAAF89fvA=",0)</f>
        <v>0</v>
      </c>
      <c r="IH38" t="e">
        <f>AND('Single Rope Pairs Freestyle'!A108,"AAAAAF89fvE=")</f>
        <v>#VALUE!</v>
      </c>
      <c r="II38" t="e">
        <f>AND('Single Rope Pairs Freestyle'!B108,"AAAAAF89fvI=")</f>
        <v>#VALUE!</v>
      </c>
      <c r="IJ38" t="e">
        <f>AND('Single Rope Pairs Freestyle'!C108,"AAAAAF89fvM=")</f>
        <v>#VALUE!</v>
      </c>
      <c r="IK38" t="e">
        <f>AND('Single Rope Pairs Freestyle'!D108,"AAAAAF89fvQ=")</f>
        <v>#VALUE!</v>
      </c>
      <c r="IL38" t="e">
        <f>AND('Single Rope Pairs Freestyle'!E108,"AAAAAF89fvU=")</f>
        <v>#VALUE!</v>
      </c>
      <c r="IM38" t="e">
        <f>AND('Single Rope Pairs Freestyle'!F108,"AAAAAF89fvY=")</f>
        <v>#VALUE!</v>
      </c>
      <c r="IN38" t="e">
        <f>AND('Single Rope Pairs Freestyle'!G108,"AAAAAF89fvc=")</f>
        <v>#VALUE!</v>
      </c>
      <c r="IO38">
        <f>IF('Single Rope Pairs Freestyle'!109:109,"AAAAAF89fvg=",0)</f>
        <v>0</v>
      </c>
      <c r="IP38" t="e">
        <f>AND('Single Rope Pairs Freestyle'!A109,"AAAAAF89fvk=")</f>
        <v>#VALUE!</v>
      </c>
      <c r="IQ38" t="e">
        <f>AND('Single Rope Pairs Freestyle'!B109,"AAAAAF89fvo=")</f>
        <v>#VALUE!</v>
      </c>
      <c r="IR38" t="e">
        <f>AND('Single Rope Pairs Freestyle'!C109,"AAAAAF89fvs=")</f>
        <v>#VALUE!</v>
      </c>
      <c r="IS38" t="e">
        <f>AND('Single Rope Pairs Freestyle'!D109,"AAAAAF89fvw=")</f>
        <v>#VALUE!</v>
      </c>
      <c r="IT38" t="e">
        <f>AND('Single Rope Pairs Freestyle'!E109,"AAAAAF89fv0=")</f>
        <v>#VALUE!</v>
      </c>
      <c r="IU38" t="e">
        <f>AND('Single Rope Pairs Freestyle'!F109,"AAAAAF89fv4=")</f>
        <v>#VALUE!</v>
      </c>
      <c r="IV38" t="e">
        <f>AND('Single Rope Pairs Freestyle'!G109,"AAAAAF89fv8=")</f>
        <v>#VALUE!</v>
      </c>
    </row>
    <row r="39" spans="1:256" x14ac:dyDescent="0.25">
      <c r="A39" t="str">
        <f>IF('Single Rope Pairs Freestyle'!110:110,"AAAAAF//3wA=",0)</f>
        <v>AAAAAF//3wA=</v>
      </c>
      <c r="B39" t="e">
        <f>AND('Single Rope Pairs Freestyle'!A110,"AAAAAF//3wE=")</f>
        <v>#VALUE!</v>
      </c>
      <c r="C39" t="e">
        <f>AND('Single Rope Pairs Freestyle'!B110,"AAAAAF//3wI=")</f>
        <v>#VALUE!</v>
      </c>
      <c r="D39" t="e">
        <f>AND('Single Rope Pairs Freestyle'!C110,"AAAAAF//3wM=")</f>
        <v>#VALUE!</v>
      </c>
      <c r="E39" t="e">
        <f>AND('Single Rope Pairs Freestyle'!D110,"AAAAAF//3wQ=")</f>
        <v>#VALUE!</v>
      </c>
      <c r="F39" t="e">
        <f>AND('Single Rope Pairs Freestyle'!E110,"AAAAAF//3wU=")</f>
        <v>#VALUE!</v>
      </c>
      <c r="G39" t="e">
        <f>AND('Single Rope Pairs Freestyle'!F110,"AAAAAF//3wY=")</f>
        <v>#VALUE!</v>
      </c>
      <c r="H39" t="e">
        <f>AND('Single Rope Pairs Freestyle'!G110,"AAAAAF//3wc=")</f>
        <v>#VALUE!</v>
      </c>
      <c r="I39">
        <f>IF('Single Rope Pairs Freestyle'!111:111,"AAAAAF//3wg=",0)</f>
        <v>0</v>
      </c>
      <c r="J39" t="e">
        <f>AND('Single Rope Pairs Freestyle'!A111,"AAAAAF//3wk=")</f>
        <v>#VALUE!</v>
      </c>
      <c r="K39" t="e">
        <f>AND('Single Rope Pairs Freestyle'!B111,"AAAAAF//3wo=")</f>
        <v>#VALUE!</v>
      </c>
      <c r="L39" t="e">
        <f>AND('Single Rope Pairs Freestyle'!C111,"AAAAAF//3ws=")</f>
        <v>#VALUE!</v>
      </c>
      <c r="M39" t="e">
        <f>AND('Single Rope Pairs Freestyle'!D111,"AAAAAF//3ww=")</f>
        <v>#VALUE!</v>
      </c>
      <c r="N39" t="e">
        <f>AND('Single Rope Pairs Freestyle'!E111,"AAAAAF//3w0=")</f>
        <v>#VALUE!</v>
      </c>
      <c r="O39" t="e">
        <f>AND('Single Rope Pairs Freestyle'!F111,"AAAAAF//3w4=")</f>
        <v>#VALUE!</v>
      </c>
      <c r="P39" t="e">
        <f>AND('Single Rope Pairs Freestyle'!G111,"AAAAAF//3w8=")</f>
        <v>#VALUE!</v>
      </c>
      <c r="Q39">
        <f>IF('Single Rope Pairs Freestyle'!112:112,"AAAAAF//3xA=",0)</f>
        <v>0</v>
      </c>
      <c r="R39" t="e">
        <f>AND('Single Rope Pairs Freestyle'!A112,"AAAAAF//3xE=")</f>
        <v>#VALUE!</v>
      </c>
      <c r="S39" t="e">
        <f>AND('Single Rope Pairs Freestyle'!B112,"AAAAAF//3xI=")</f>
        <v>#VALUE!</v>
      </c>
      <c r="T39" t="e">
        <f>AND('Single Rope Pairs Freestyle'!C112,"AAAAAF//3xM=")</f>
        <v>#VALUE!</v>
      </c>
      <c r="U39" t="e">
        <f>AND('Single Rope Pairs Freestyle'!D112,"AAAAAF//3xQ=")</f>
        <v>#VALUE!</v>
      </c>
      <c r="V39" t="e">
        <f>AND('Single Rope Pairs Freestyle'!E112,"AAAAAF//3xU=")</f>
        <v>#VALUE!</v>
      </c>
      <c r="W39" t="e">
        <f>AND('Single Rope Pairs Freestyle'!F112,"AAAAAF//3xY=")</f>
        <v>#VALUE!</v>
      </c>
      <c r="X39" t="e">
        <f>AND('Single Rope Pairs Freestyle'!G112,"AAAAAF//3xc=")</f>
        <v>#VALUE!</v>
      </c>
      <c r="Y39">
        <f>IF('Single Rope Pairs Freestyle'!113:113,"AAAAAF//3xg=",0)</f>
        <v>0</v>
      </c>
      <c r="Z39" t="e">
        <f>AND('Single Rope Pairs Freestyle'!A113,"AAAAAF//3xk=")</f>
        <v>#VALUE!</v>
      </c>
      <c r="AA39" t="e">
        <f>AND('Single Rope Pairs Freestyle'!B113,"AAAAAF//3xo=")</f>
        <v>#VALUE!</v>
      </c>
      <c r="AB39" t="e">
        <f>AND('Single Rope Pairs Freestyle'!C113,"AAAAAF//3xs=")</f>
        <v>#VALUE!</v>
      </c>
      <c r="AC39" t="e">
        <f>AND('Single Rope Pairs Freestyle'!D113,"AAAAAF//3xw=")</f>
        <v>#VALUE!</v>
      </c>
      <c r="AD39" t="e">
        <f>AND('Single Rope Pairs Freestyle'!E113,"AAAAAF//3x0=")</f>
        <v>#VALUE!</v>
      </c>
      <c r="AE39" t="e">
        <f>AND('Single Rope Pairs Freestyle'!F113,"AAAAAF//3x4=")</f>
        <v>#VALUE!</v>
      </c>
      <c r="AF39" t="e">
        <f>AND('Single Rope Pairs Freestyle'!G113,"AAAAAF//3x8=")</f>
        <v>#VALUE!</v>
      </c>
      <c r="AG39">
        <f>IF('Single Rope Pairs Freestyle'!126:126,"AAAAAF//3yA=",0)</f>
        <v>0</v>
      </c>
      <c r="AH39" t="e">
        <f>AND('Single Rope Pairs Freestyle'!A126,"AAAAAF//3yE=")</f>
        <v>#VALUE!</v>
      </c>
      <c r="AI39" t="e">
        <f>AND('Single Rope Pairs Freestyle'!B126,"AAAAAF//3yI=")</f>
        <v>#VALUE!</v>
      </c>
      <c r="AJ39" t="e">
        <f>AND('Single Rope Pairs Freestyle'!C126,"AAAAAF//3yM=")</f>
        <v>#VALUE!</v>
      </c>
      <c r="AK39" t="e">
        <f>AND('Single Rope Pairs Freestyle'!D126,"AAAAAF//3yQ=")</f>
        <v>#VALUE!</v>
      </c>
      <c r="AL39" t="e">
        <f>AND('Single Rope Pairs Freestyle'!E126,"AAAAAF//3yU=")</f>
        <v>#VALUE!</v>
      </c>
      <c r="AM39" t="e">
        <f>AND('Single Rope Pairs Freestyle'!F126,"AAAAAF//3yY=")</f>
        <v>#VALUE!</v>
      </c>
      <c r="AN39" t="e">
        <f>AND('Single Rope Pairs Freestyle'!G126,"AAAAAF//3yc=")</f>
        <v>#VALUE!</v>
      </c>
      <c r="AO39">
        <f>IF('Single Rope Pairs Freestyle'!127:127,"AAAAAF//3yg=",0)</f>
        <v>0</v>
      </c>
      <c r="AP39" t="e">
        <f>AND('Single Rope Pairs Freestyle'!A127,"AAAAAF//3yk=")</f>
        <v>#VALUE!</v>
      </c>
      <c r="AQ39" t="e">
        <f>AND('Single Rope Pairs Freestyle'!B127,"AAAAAF//3yo=")</f>
        <v>#VALUE!</v>
      </c>
      <c r="AR39" t="e">
        <f>AND('Single Rope Pairs Freestyle'!C127,"AAAAAF//3ys=")</f>
        <v>#VALUE!</v>
      </c>
      <c r="AS39" t="e">
        <f>AND('Single Rope Pairs Freestyle'!D127,"AAAAAF//3yw=")</f>
        <v>#VALUE!</v>
      </c>
      <c r="AT39" t="e">
        <f>AND('Single Rope Pairs Freestyle'!E127,"AAAAAF//3y0=")</f>
        <v>#VALUE!</v>
      </c>
      <c r="AU39" t="e">
        <f>AND('Single Rope Pairs Freestyle'!F127,"AAAAAF//3y4=")</f>
        <v>#VALUE!</v>
      </c>
      <c r="AV39" t="e">
        <f>AND('Single Rope Pairs Freestyle'!G127,"AAAAAF//3y8=")</f>
        <v>#VALUE!</v>
      </c>
      <c r="AW39">
        <f>IF('Single Rope Pairs Freestyle'!128:128,"AAAAAF//3zA=",0)</f>
        <v>0</v>
      </c>
      <c r="AX39" t="e">
        <f>AND('Single Rope Pairs Freestyle'!A128,"AAAAAF//3zE=")</f>
        <v>#VALUE!</v>
      </c>
      <c r="AY39" t="e">
        <f>AND('Single Rope Pairs Freestyle'!B128,"AAAAAF//3zI=")</f>
        <v>#VALUE!</v>
      </c>
      <c r="AZ39" t="e">
        <f>AND('Single Rope Pairs Freestyle'!C128,"AAAAAF//3zM=")</f>
        <v>#VALUE!</v>
      </c>
      <c r="BA39" t="e">
        <f>AND('Single Rope Pairs Freestyle'!D128,"AAAAAF//3zQ=")</f>
        <v>#VALUE!</v>
      </c>
      <c r="BB39" t="e">
        <f>AND('Single Rope Pairs Freestyle'!E128,"AAAAAF//3zU=")</f>
        <v>#VALUE!</v>
      </c>
      <c r="BC39" t="e">
        <f>AND('Single Rope Pairs Freestyle'!F128,"AAAAAF//3zY=")</f>
        <v>#VALUE!</v>
      </c>
      <c r="BD39" t="e">
        <f>AND('Single Rope Pairs Freestyle'!G128,"AAAAAF//3zc=")</f>
        <v>#VALUE!</v>
      </c>
      <c r="BE39">
        <f>IF('Single Rope Pairs Freestyle'!129:129,"AAAAAF//3zg=",0)</f>
        <v>0</v>
      </c>
      <c r="BF39" t="e">
        <f>AND('Single Rope Pairs Freestyle'!A129,"AAAAAF//3zk=")</f>
        <v>#VALUE!</v>
      </c>
      <c r="BG39" t="e">
        <f>AND('Single Rope Pairs Freestyle'!B129,"AAAAAF//3zo=")</f>
        <v>#VALUE!</v>
      </c>
      <c r="BH39" t="e">
        <f>AND('Single Rope Pairs Freestyle'!C129,"AAAAAF//3zs=")</f>
        <v>#VALUE!</v>
      </c>
      <c r="BI39" t="e">
        <f>AND('Single Rope Pairs Freestyle'!D129,"AAAAAF//3zw=")</f>
        <v>#VALUE!</v>
      </c>
      <c r="BJ39" t="e">
        <f>AND('Single Rope Pairs Freestyle'!E129,"AAAAAF//3z0=")</f>
        <v>#VALUE!</v>
      </c>
      <c r="BK39" t="e">
        <f>AND('Single Rope Pairs Freestyle'!F129,"AAAAAF//3z4=")</f>
        <v>#VALUE!</v>
      </c>
      <c r="BL39" t="e">
        <f>AND('Single Rope Pairs Freestyle'!G129,"AAAAAF//3z8=")</f>
        <v>#VALUE!</v>
      </c>
      <c r="BM39">
        <f>IF('Single Rope Pairs Freestyle'!130:130,"AAAAAF//30A=",0)</f>
        <v>0</v>
      </c>
      <c r="BN39" t="e">
        <f>AND('Single Rope Pairs Freestyle'!A130,"AAAAAF//30E=")</f>
        <v>#VALUE!</v>
      </c>
      <c r="BO39" t="e">
        <f>AND('Single Rope Pairs Freestyle'!B130,"AAAAAF//30I=")</f>
        <v>#VALUE!</v>
      </c>
      <c r="BP39" t="e">
        <f>AND('Single Rope Pairs Freestyle'!C130,"AAAAAF//30M=")</f>
        <v>#VALUE!</v>
      </c>
      <c r="BQ39" t="e">
        <f>AND('Single Rope Pairs Freestyle'!D130,"AAAAAF//30Q=")</f>
        <v>#VALUE!</v>
      </c>
      <c r="BR39" t="e">
        <f>AND('Single Rope Pairs Freestyle'!E130,"AAAAAF//30U=")</f>
        <v>#VALUE!</v>
      </c>
      <c r="BS39" t="e">
        <f>AND('Single Rope Pairs Freestyle'!F130,"AAAAAF//30Y=")</f>
        <v>#VALUE!</v>
      </c>
      <c r="BT39" t="e">
        <f>AND('Single Rope Pairs Freestyle'!G130,"AAAAAF//30c=")</f>
        <v>#VALUE!</v>
      </c>
      <c r="BU39">
        <f>IF('Single Rope Pairs Freestyle'!131:131,"AAAAAF//30g=",0)</f>
        <v>0</v>
      </c>
      <c r="BV39" t="e">
        <f>AND('Single Rope Pairs Freestyle'!A131,"AAAAAF//30k=")</f>
        <v>#VALUE!</v>
      </c>
      <c r="BW39" t="e">
        <f>AND('Single Rope Pairs Freestyle'!B131,"AAAAAF//30o=")</f>
        <v>#VALUE!</v>
      </c>
      <c r="BX39" t="e">
        <f>AND('Single Rope Pairs Freestyle'!C131,"AAAAAF//30s=")</f>
        <v>#VALUE!</v>
      </c>
      <c r="BY39" t="e">
        <f>AND('Single Rope Pairs Freestyle'!D131,"AAAAAF//30w=")</f>
        <v>#VALUE!</v>
      </c>
      <c r="BZ39" t="e">
        <f>AND('Single Rope Pairs Freestyle'!E131,"AAAAAF//300=")</f>
        <v>#VALUE!</v>
      </c>
      <c r="CA39" t="e">
        <f>AND('Single Rope Pairs Freestyle'!F131,"AAAAAF//304=")</f>
        <v>#VALUE!</v>
      </c>
      <c r="CB39" t="e">
        <f>AND('Single Rope Pairs Freestyle'!G131,"AAAAAF//308=")</f>
        <v>#VALUE!</v>
      </c>
      <c r="CC39">
        <f>IF('Single Rope Pairs Freestyle'!132:132,"AAAAAF//31A=",0)</f>
        <v>0</v>
      </c>
      <c r="CD39" t="e">
        <f>AND('Single Rope Pairs Freestyle'!A132,"AAAAAF//31E=")</f>
        <v>#VALUE!</v>
      </c>
      <c r="CE39" t="e">
        <f>AND('Single Rope Pairs Freestyle'!B132,"AAAAAF//31I=")</f>
        <v>#VALUE!</v>
      </c>
      <c r="CF39" t="e">
        <f>AND('Single Rope Pairs Freestyle'!C132,"AAAAAF//31M=")</f>
        <v>#VALUE!</v>
      </c>
      <c r="CG39" t="e">
        <f>AND('Single Rope Pairs Freestyle'!D132,"AAAAAF//31Q=")</f>
        <v>#VALUE!</v>
      </c>
      <c r="CH39" t="e">
        <f>AND('Single Rope Pairs Freestyle'!E132,"AAAAAF//31U=")</f>
        <v>#VALUE!</v>
      </c>
      <c r="CI39" t="e">
        <f>AND('Single Rope Pairs Freestyle'!F132,"AAAAAF//31Y=")</f>
        <v>#VALUE!</v>
      </c>
      <c r="CJ39" t="e">
        <f>AND('Single Rope Pairs Freestyle'!G132,"AAAAAF//31c=")</f>
        <v>#VALUE!</v>
      </c>
      <c r="CK39">
        <f>IF('Single Rope Pairs Freestyle'!133:133,"AAAAAF//31g=",0)</f>
        <v>0</v>
      </c>
      <c r="CL39" t="e">
        <f>AND('Single Rope Pairs Freestyle'!A133,"AAAAAF//31k=")</f>
        <v>#VALUE!</v>
      </c>
      <c r="CM39" t="e">
        <f>AND('Single Rope Pairs Freestyle'!B133,"AAAAAF//31o=")</f>
        <v>#VALUE!</v>
      </c>
      <c r="CN39" t="e">
        <f>AND('Single Rope Pairs Freestyle'!C133,"AAAAAF//31s=")</f>
        <v>#VALUE!</v>
      </c>
      <c r="CO39" t="e">
        <f>AND('Single Rope Pairs Freestyle'!D133,"AAAAAF//31w=")</f>
        <v>#VALUE!</v>
      </c>
      <c r="CP39" t="e">
        <f>AND('Single Rope Pairs Freestyle'!E133,"AAAAAF//310=")</f>
        <v>#VALUE!</v>
      </c>
      <c r="CQ39" t="e">
        <f>AND('Single Rope Pairs Freestyle'!F133,"AAAAAF//314=")</f>
        <v>#VALUE!</v>
      </c>
      <c r="CR39" t="e">
        <f>AND('Single Rope Pairs Freestyle'!G133,"AAAAAF//318=")</f>
        <v>#VALUE!</v>
      </c>
      <c r="CS39">
        <f>IF('Single Rope Pairs Freestyle'!134:134,"AAAAAF//32A=",0)</f>
        <v>0</v>
      </c>
      <c r="CT39" t="e">
        <f>AND('Single Rope Pairs Freestyle'!A134,"AAAAAF//32E=")</f>
        <v>#VALUE!</v>
      </c>
      <c r="CU39" t="e">
        <f>AND('Single Rope Pairs Freestyle'!B134,"AAAAAF//32I=")</f>
        <v>#VALUE!</v>
      </c>
      <c r="CV39" t="e">
        <f>AND('Single Rope Pairs Freestyle'!C134,"AAAAAF//32M=")</f>
        <v>#VALUE!</v>
      </c>
      <c r="CW39" t="e">
        <f>AND('Single Rope Pairs Freestyle'!D134,"AAAAAF//32Q=")</f>
        <v>#VALUE!</v>
      </c>
      <c r="CX39" t="e">
        <f>AND('Single Rope Pairs Freestyle'!E134,"AAAAAF//32U=")</f>
        <v>#VALUE!</v>
      </c>
      <c r="CY39" t="e">
        <f>AND('Single Rope Pairs Freestyle'!F134,"AAAAAF//32Y=")</f>
        <v>#VALUE!</v>
      </c>
      <c r="CZ39" t="e">
        <f>AND('Single Rope Pairs Freestyle'!G134,"AAAAAF//32c=")</f>
        <v>#VALUE!</v>
      </c>
      <c r="DA39">
        <f>IF('Single Rope Pairs Freestyle'!135:135,"AAAAAF//32g=",0)</f>
        <v>0</v>
      </c>
      <c r="DB39" t="e">
        <f>AND('Single Rope Pairs Freestyle'!A135,"AAAAAF//32k=")</f>
        <v>#VALUE!</v>
      </c>
      <c r="DC39" t="e">
        <f>AND('Single Rope Pairs Freestyle'!B135,"AAAAAF//32o=")</f>
        <v>#VALUE!</v>
      </c>
      <c r="DD39" t="e">
        <f>AND('Single Rope Pairs Freestyle'!C135,"AAAAAF//32s=")</f>
        <v>#VALUE!</v>
      </c>
      <c r="DE39" t="e">
        <f>AND('Single Rope Pairs Freestyle'!D135,"AAAAAF//32w=")</f>
        <v>#VALUE!</v>
      </c>
      <c r="DF39" t="e">
        <f>AND('Single Rope Pairs Freestyle'!E135,"AAAAAF//320=")</f>
        <v>#VALUE!</v>
      </c>
      <c r="DG39" t="e">
        <f>AND('Single Rope Pairs Freestyle'!F135,"AAAAAF//324=")</f>
        <v>#VALUE!</v>
      </c>
      <c r="DH39" t="e">
        <f>AND('Single Rope Pairs Freestyle'!G135,"AAAAAF//328=")</f>
        <v>#VALUE!</v>
      </c>
      <c r="DI39">
        <f>IF('Single Rope Pairs Freestyle'!136:136,"AAAAAF//33A=",0)</f>
        <v>0</v>
      </c>
      <c r="DJ39" t="e">
        <f>AND('Single Rope Pairs Freestyle'!A136,"AAAAAF//33E=")</f>
        <v>#VALUE!</v>
      </c>
      <c r="DK39" t="e">
        <f>AND('Single Rope Pairs Freestyle'!B136,"AAAAAF//33I=")</f>
        <v>#VALUE!</v>
      </c>
      <c r="DL39" t="e">
        <f>AND('Single Rope Pairs Freestyle'!C136,"AAAAAF//33M=")</f>
        <v>#VALUE!</v>
      </c>
      <c r="DM39" t="e">
        <f>AND('Single Rope Pairs Freestyle'!D136,"AAAAAF//33Q=")</f>
        <v>#VALUE!</v>
      </c>
      <c r="DN39" t="e">
        <f>AND('Single Rope Pairs Freestyle'!E136,"AAAAAF//33U=")</f>
        <v>#VALUE!</v>
      </c>
      <c r="DO39" t="e">
        <f>AND('Single Rope Pairs Freestyle'!F136,"AAAAAF//33Y=")</f>
        <v>#VALUE!</v>
      </c>
      <c r="DP39" t="e">
        <f>AND('Single Rope Pairs Freestyle'!G136,"AAAAAF//33c=")</f>
        <v>#VALUE!</v>
      </c>
      <c r="DQ39">
        <f>IF('Single Rope Pairs Freestyle'!137:137,"AAAAAF//33g=",0)</f>
        <v>0</v>
      </c>
      <c r="DR39" t="e">
        <f>AND('Single Rope Pairs Freestyle'!A137,"AAAAAF//33k=")</f>
        <v>#VALUE!</v>
      </c>
      <c r="DS39" t="e">
        <f>AND('Single Rope Pairs Freestyle'!B137,"AAAAAF//33o=")</f>
        <v>#VALUE!</v>
      </c>
      <c r="DT39" t="e">
        <f>AND('Single Rope Pairs Freestyle'!C137,"AAAAAF//33s=")</f>
        <v>#VALUE!</v>
      </c>
      <c r="DU39" t="e">
        <f>AND('Single Rope Pairs Freestyle'!D137,"AAAAAF//33w=")</f>
        <v>#VALUE!</v>
      </c>
      <c r="DV39" t="e">
        <f>AND('Single Rope Pairs Freestyle'!E137,"AAAAAF//330=")</f>
        <v>#VALUE!</v>
      </c>
      <c r="DW39" t="e">
        <f>AND('Single Rope Pairs Freestyle'!F137,"AAAAAF//334=")</f>
        <v>#VALUE!</v>
      </c>
      <c r="DX39" t="e">
        <f>AND('Single Rope Pairs Freestyle'!G137,"AAAAAF//338=")</f>
        <v>#VALUE!</v>
      </c>
      <c r="DY39">
        <f>IF('Single Rope Pairs Freestyle'!150:150,"AAAAAF//34A=",0)</f>
        <v>0</v>
      </c>
      <c r="DZ39" t="e">
        <f>AND('Single Rope Pairs Freestyle'!A150,"AAAAAF//34E=")</f>
        <v>#VALUE!</v>
      </c>
      <c r="EA39" t="e">
        <f>AND('Single Rope Pairs Freestyle'!B150,"AAAAAF//34I=")</f>
        <v>#VALUE!</v>
      </c>
      <c r="EB39" t="e">
        <f>AND('Single Rope Pairs Freestyle'!C150,"AAAAAF//34M=")</f>
        <v>#VALUE!</v>
      </c>
      <c r="EC39" t="e">
        <f>AND('Single Rope Pairs Freestyle'!D150,"AAAAAF//34Q=")</f>
        <v>#VALUE!</v>
      </c>
      <c r="ED39" t="e">
        <f>AND('Single Rope Pairs Freestyle'!E150,"AAAAAF//34U=")</f>
        <v>#VALUE!</v>
      </c>
      <c r="EE39" t="e">
        <f>AND('Single Rope Pairs Freestyle'!F150,"AAAAAF//34Y=")</f>
        <v>#VALUE!</v>
      </c>
      <c r="EF39" t="e">
        <f>AND('Single Rope Pairs Freestyle'!G150,"AAAAAF//34c=")</f>
        <v>#VALUE!</v>
      </c>
      <c r="EG39">
        <f>IF('Single Rope Pairs Freestyle'!151:151,"AAAAAF//34g=",0)</f>
        <v>0</v>
      </c>
      <c r="EH39" t="e">
        <f>AND('Single Rope Pairs Freestyle'!A151,"AAAAAF//34k=")</f>
        <v>#VALUE!</v>
      </c>
      <c r="EI39" t="e">
        <f>AND('Single Rope Pairs Freestyle'!B151,"AAAAAF//34o=")</f>
        <v>#VALUE!</v>
      </c>
      <c r="EJ39" t="e">
        <f>AND('Single Rope Pairs Freestyle'!C151,"AAAAAF//34s=")</f>
        <v>#VALUE!</v>
      </c>
      <c r="EK39" t="e">
        <f>AND('Single Rope Pairs Freestyle'!D151,"AAAAAF//34w=")</f>
        <v>#VALUE!</v>
      </c>
      <c r="EL39" t="e">
        <f>AND('Single Rope Pairs Freestyle'!E151,"AAAAAF//340=")</f>
        <v>#VALUE!</v>
      </c>
      <c r="EM39" t="e">
        <f>AND('Single Rope Pairs Freestyle'!F151,"AAAAAF//344=")</f>
        <v>#VALUE!</v>
      </c>
      <c r="EN39" t="e">
        <f>AND('Single Rope Pairs Freestyle'!G151,"AAAAAF//348=")</f>
        <v>#VALUE!</v>
      </c>
      <c r="EO39">
        <f>IF('Single Rope Pairs Freestyle'!152:152,"AAAAAF//35A=",0)</f>
        <v>0</v>
      </c>
      <c r="EP39" t="e">
        <f>AND('Single Rope Pairs Freestyle'!A152,"AAAAAF//35E=")</f>
        <v>#VALUE!</v>
      </c>
      <c r="EQ39" t="e">
        <f>AND('Single Rope Pairs Freestyle'!B152,"AAAAAF//35I=")</f>
        <v>#VALUE!</v>
      </c>
      <c r="ER39" t="e">
        <f>AND('Single Rope Pairs Freestyle'!C152,"AAAAAF//35M=")</f>
        <v>#VALUE!</v>
      </c>
      <c r="ES39" t="e">
        <f>AND('Single Rope Pairs Freestyle'!D152,"AAAAAF//35Q=")</f>
        <v>#VALUE!</v>
      </c>
      <c r="ET39" t="e">
        <f>AND('Single Rope Pairs Freestyle'!E152,"AAAAAF//35U=")</f>
        <v>#VALUE!</v>
      </c>
      <c r="EU39" t="e">
        <f>AND('Single Rope Pairs Freestyle'!F152,"AAAAAF//35Y=")</f>
        <v>#VALUE!</v>
      </c>
      <c r="EV39" t="e">
        <f>AND('Single Rope Pairs Freestyle'!G152,"AAAAAF//35c=")</f>
        <v>#VALUE!</v>
      </c>
      <c r="EW39">
        <f>IF('Single Rope Pairs Freestyle'!153:153,"AAAAAF//35g=",0)</f>
        <v>0</v>
      </c>
      <c r="EX39" t="e">
        <f>AND('Single Rope Pairs Freestyle'!A153,"AAAAAF//35k=")</f>
        <v>#VALUE!</v>
      </c>
      <c r="EY39" t="e">
        <f>AND('Single Rope Pairs Freestyle'!B153,"AAAAAF//35o=")</f>
        <v>#VALUE!</v>
      </c>
      <c r="EZ39" t="e">
        <f>AND('Single Rope Pairs Freestyle'!C153,"AAAAAF//35s=")</f>
        <v>#VALUE!</v>
      </c>
      <c r="FA39" t="e">
        <f>AND('Single Rope Pairs Freestyle'!D153,"AAAAAF//35w=")</f>
        <v>#VALUE!</v>
      </c>
      <c r="FB39" t="e">
        <f>AND('Single Rope Pairs Freestyle'!E153,"AAAAAF//350=")</f>
        <v>#VALUE!</v>
      </c>
      <c r="FC39" t="e">
        <f>AND('Single Rope Pairs Freestyle'!F153,"AAAAAF//354=")</f>
        <v>#VALUE!</v>
      </c>
      <c r="FD39" t="e">
        <f>AND('Single Rope Pairs Freestyle'!G153,"AAAAAF//358=")</f>
        <v>#VALUE!</v>
      </c>
      <c r="FE39">
        <f>IF('Single Rope Pairs Freestyle'!154:154,"AAAAAF//36A=",0)</f>
        <v>0</v>
      </c>
      <c r="FF39" t="e">
        <f>AND('Single Rope Pairs Freestyle'!A154,"AAAAAF//36E=")</f>
        <v>#VALUE!</v>
      </c>
      <c r="FG39" t="e">
        <f>AND('Single Rope Pairs Freestyle'!B154,"AAAAAF//36I=")</f>
        <v>#VALUE!</v>
      </c>
      <c r="FH39" t="e">
        <f>AND('Single Rope Pairs Freestyle'!C154,"AAAAAF//36M=")</f>
        <v>#VALUE!</v>
      </c>
      <c r="FI39" t="e">
        <f>AND('Single Rope Pairs Freestyle'!D154,"AAAAAF//36Q=")</f>
        <v>#VALUE!</v>
      </c>
      <c r="FJ39" t="e">
        <f>AND('Single Rope Pairs Freestyle'!E154,"AAAAAF//36U=")</f>
        <v>#VALUE!</v>
      </c>
      <c r="FK39" t="e">
        <f>AND('Single Rope Pairs Freestyle'!F154,"AAAAAF//36Y=")</f>
        <v>#VALUE!</v>
      </c>
      <c r="FL39" t="e">
        <f>AND('Single Rope Pairs Freestyle'!G154,"AAAAAF//36c=")</f>
        <v>#VALUE!</v>
      </c>
      <c r="FM39">
        <f>IF('Single Rope Pairs Freestyle'!155:155,"AAAAAF//36g=",0)</f>
        <v>0</v>
      </c>
      <c r="FN39" t="e">
        <f>AND('Single Rope Pairs Freestyle'!A155,"AAAAAF//36k=")</f>
        <v>#VALUE!</v>
      </c>
      <c r="FO39" t="e">
        <f>AND('Single Rope Pairs Freestyle'!B155,"AAAAAF//36o=")</f>
        <v>#VALUE!</v>
      </c>
      <c r="FP39" t="e">
        <f>AND('Single Rope Pairs Freestyle'!C155,"AAAAAF//36s=")</f>
        <v>#VALUE!</v>
      </c>
      <c r="FQ39" t="e">
        <f>AND('Single Rope Pairs Freestyle'!D155,"AAAAAF//36w=")</f>
        <v>#VALUE!</v>
      </c>
      <c r="FR39" t="e">
        <f>AND('Single Rope Pairs Freestyle'!E155,"AAAAAF//360=")</f>
        <v>#VALUE!</v>
      </c>
      <c r="FS39" t="e">
        <f>AND('Single Rope Pairs Freestyle'!F155,"AAAAAF//364=")</f>
        <v>#VALUE!</v>
      </c>
      <c r="FT39" t="e">
        <f>AND('Single Rope Pairs Freestyle'!G155,"AAAAAF//368=")</f>
        <v>#VALUE!</v>
      </c>
      <c r="FU39">
        <f>IF('Single Rope Pairs Freestyle'!156:156,"AAAAAF//37A=",0)</f>
        <v>0</v>
      </c>
      <c r="FV39" t="e">
        <f>AND('Single Rope Pairs Freestyle'!A156,"AAAAAF//37E=")</f>
        <v>#VALUE!</v>
      </c>
      <c r="FW39" t="e">
        <f>AND('Single Rope Pairs Freestyle'!B156,"AAAAAF//37I=")</f>
        <v>#VALUE!</v>
      </c>
      <c r="FX39" t="e">
        <f>AND('Single Rope Pairs Freestyle'!C156,"AAAAAF//37M=")</f>
        <v>#VALUE!</v>
      </c>
      <c r="FY39" t="e">
        <f>AND('Single Rope Pairs Freestyle'!D156,"AAAAAF//37Q=")</f>
        <v>#VALUE!</v>
      </c>
      <c r="FZ39" t="e">
        <f>AND('Single Rope Pairs Freestyle'!E156,"AAAAAF//37U=")</f>
        <v>#VALUE!</v>
      </c>
      <c r="GA39" t="e">
        <f>AND('Single Rope Pairs Freestyle'!F156,"AAAAAF//37Y=")</f>
        <v>#VALUE!</v>
      </c>
      <c r="GB39" t="e">
        <f>AND('Single Rope Pairs Freestyle'!G156,"AAAAAF//37c=")</f>
        <v>#VALUE!</v>
      </c>
      <c r="GC39">
        <f>IF('Single Rope Pairs Freestyle'!157:157,"AAAAAF//37g=",0)</f>
        <v>0</v>
      </c>
      <c r="GD39" t="e">
        <f>AND('Single Rope Pairs Freestyle'!A157,"AAAAAF//37k=")</f>
        <v>#VALUE!</v>
      </c>
      <c r="GE39" t="e">
        <f>AND('Single Rope Pairs Freestyle'!B157,"AAAAAF//37o=")</f>
        <v>#VALUE!</v>
      </c>
      <c r="GF39" t="e">
        <f>AND('Single Rope Pairs Freestyle'!C157,"AAAAAF//37s=")</f>
        <v>#VALUE!</v>
      </c>
      <c r="GG39" t="e">
        <f>AND('Single Rope Pairs Freestyle'!D157,"AAAAAF//37w=")</f>
        <v>#VALUE!</v>
      </c>
      <c r="GH39" t="e">
        <f>AND('Single Rope Pairs Freestyle'!E157,"AAAAAF//370=")</f>
        <v>#VALUE!</v>
      </c>
      <c r="GI39" t="e">
        <f>AND('Single Rope Pairs Freestyle'!F157,"AAAAAF//374=")</f>
        <v>#VALUE!</v>
      </c>
      <c r="GJ39" t="e">
        <f>AND('Single Rope Pairs Freestyle'!G157,"AAAAAF//378=")</f>
        <v>#VALUE!</v>
      </c>
      <c r="GK39">
        <f>IF('Single Rope Pairs Freestyle'!158:158,"AAAAAF//38A=",0)</f>
        <v>0</v>
      </c>
      <c r="GL39" t="e">
        <f>AND('Single Rope Pairs Freestyle'!A158,"AAAAAF//38E=")</f>
        <v>#VALUE!</v>
      </c>
      <c r="GM39" t="e">
        <f>AND('Single Rope Pairs Freestyle'!B158,"AAAAAF//38I=")</f>
        <v>#VALUE!</v>
      </c>
      <c r="GN39" t="e">
        <f>AND('Single Rope Pairs Freestyle'!C158,"AAAAAF//38M=")</f>
        <v>#VALUE!</v>
      </c>
      <c r="GO39" t="e">
        <f>AND('Single Rope Pairs Freestyle'!D158,"AAAAAF//38Q=")</f>
        <v>#VALUE!</v>
      </c>
      <c r="GP39" t="e">
        <f>AND('Single Rope Pairs Freestyle'!E158,"AAAAAF//38U=")</f>
        <v>#VALUE!</v>
      </c>
      <c r="GQ39" t="e">
        <f>AND('Single Rope Pairs Freestyle'!F158,"AAAAAF//38Y=")</f>
        <v>#VALUE!</v>
      </c>
      <c r="GR39" t="e">
        <f>AND('Single Rope Pairs Freestyle'!G158,"AAAAAF//38c=")</f>
        <v>#VALUE!</v>
      </c>
      <c r="GS39">
        <f>IF('Single Rope Pairs Freestyle'!159:159,"AAAAAF//38g=",0)</f>
        <v>0</v>
      </c>
      <c r="GT39" t="e">
        <f>AND('Single Rope Pairs Freestyle'!A159,"AAAAAF//38k=")</f>
        <v>#VALUE!</v>
      </c>
      <c r="GU39" t="e">
        <f>AND('Single Rope Pairs Freestyle'!B159,"AAAAAF//38o=")</f>
        <v>#VALUE!</v>
      </c>
      <c r="GV39" t="e">
        <f>AND('Single Rope Pairs Freestyle'!C159,"AAAAAF//38s=")</f>
        <v>#VALUE!</v>
      </c>
      <c r="GW39" t="e">
        <f>AND('Single Rope Pairs Freestyle'!D159,"AAAAAF//38w=")</f>
        <v>#VALUE!</v>
      </c>
      <c r="GX39" t="e">
        <f>AND('Single Rope Pairs Freestyle'!E159,"AAAAAF//380=")</f>
        <v>#VALUE!</v>
      </c>
      <c r="GY39" t="e">
        <f>AND('Single Rope Pairs Freestyle'!F159,"AAAAAF//384=")</f>
        <v>#VALUE!</v>
      </c>
      <c r="GZ39" t="e">
        <f>AND('Single Rope Pairs Freestyle'!G159,"AAAAAF//388=")</f>
        <v>#VALUE!</v>
      </c>
      <c r="HA39">
        <f>IF('Single Rope Pairs Freestyle'!160:160,"AAAAAF//39A=",0)</f>
        <v>0</v>
      </c>
      <c r="HB39" t="e">
        <f>AND('Single Rope Pairs Freestyle'!A160,"AAAAAF//39E=")</f>
        <v>#VALUE!</v>
      </c>
      <c r="HC39" t="e">
        <f>AND('Single Rope Pairs Freestyle'!B160,"AAAAAF//39I=")</f>
        <v>#VALUE!</v>
      </c>
      <c r="HD39" t="e">
        <f>AND('Single Rope Pairs Freestyle'!C160,"AAAAAF//39M=")</f>
        <v>#VALUE!</v>
      </c>
      <c r="HE39" t="e">
        <f>AND('Single Rope Pairs Freestyle'!D160,"AAAAAF//39Q=")</f>
        <v>#VALUE!</v>
      </c>
      <c r="HF39" t="e">
        <f>AND('Single Rope Pairs Freestyle'!E160,"AAAAAF//39U=")</f>
        <v>#VALUE!</v>
      </c>
      <c r="HG39" t="e">
        <f>AND('Single Rope Pairs Freestyle'!F160,"AAAAAF//39Y=")</f>
        <v>#VALUE!</v>
      </c>
      <c r="HH39" t="e">
        <f>AND('Single Rope Pairs Freestyle'!G160,"AAAAAF//39c=")</f>
        <v>#VALUE!</v>
      </c>
      <c r="HI39" t="str">
        <f>IF('Single Rope Pairs Freestyle'!A:A,"AAAAAF//39g=",0)</f>
        <v>AAAAAF//39g=</v>
      </c>
      <c r="HJ39" t="e">
        <f>IF('Single Rope Pairs Freestyle'!B:B,"AAAAAF//39k=",0)</f>
        <v>#VALUE!</v>
      </c>
      <c r="HK39" t="e">
        <f>IF('Single Rope Pairs Freestyle'!C:C,"AAAAAF//39o=",0)</f>
        <v>#VALUE!</v>
      </c>
      <c r="HL39">
        <f>IF('Single Rope Pairs Freestyle'!D:D,"AAAAAF//39s=",0)</f>
        <v>0</v>
      </c>
      <c r="HM39" t="e">
        <f>IF('Single Rope Pairs Freestyle'!E:E,"AAAAAF//39w=",0)</f>
        <v>#VALUE!</v>
      </c>
      <c r="HN39">
        <f>IF('Single Rope Pairs Freestyle'!F:F,"AAAAAF//390=",0)</f>
        <v>0</v>
      </c>
      <c r="HO39" t="e">
        <f>IF('Single Rope Pairs Freestyle'!G:G,"AAAAAF//394=",0)</f>
        <v>#VALUE!</v>
      </c>
      <c r="HP39">
        <f>IF('Double Dutch Single Freestyle'!1:1,"AAAAAF//398=",0)</f>
        <v>0</v>
      </c>
      <c r="HQ39" t="e">
        <f>AND('Double Dutch Single Freestyle'!A1,"AAAAAF//3+A=")</f>
        <v>#VALUE!</v>
      </c>
      <c r="HR39" t="e">
        <f>AND('Double Dutch Single Freestyle'!B1,"AAAAAF//3+E=")</f>
        <v>#VALUE!</v>
      </c>
      <c r="HS39" t="e">
        <f>AND('Double Dutch Single Freestyle'!C1,"AAAAAF//3+I=")</f>
        <v>#VALUE!</v>
      </c>
      <c r="HT39" t="e">
        <f>AND('Double Dutch Single Freestyle'!D1,"AAAAAF//3+M=")</f>
        <v>#VALUE!</v>
      </c>
      <c r="HU39" t="e">
        <f>AND('Double Dutch Single Freestyle'!E1,"AAAAAF//3+Q=")</f>
        <v>#VALUE!</v>
      </c>
      <c r="HV39" t="e">
        <f>AND('Double Dutch Single Freestyle'!F1,"AAAAAF//3+U=")</f>
        <v>#VALUE!</v>
      </c>
      <c r="HW39" t="e">
        <f>AND('Double Dutch Single Freestyle'!G1,"AAAAAF//3+Y=")</f>
        <v>#VALUE!</v>
      </c>
      <c r="HX39" t="e">
        <f>AND('Double Dutch Single Freestyle'!H1,"AAAAAF//3+c=")</f>
        <v>#VALUE!</v>
      </c>
      <c r="HY39" t="e">
        <f>AND('Double Dutch Single Freestyle'!I1,"AAAAAF//3+g=")</f>
        <v>#VALUE!</v>
      </c>
      <c r="HZ39">
        <f>IF('Double Dutch Single Freestyle'!2:2,"AAAAAF//3+k=",0)</f>
        <v>0</v>
      </c>
      <c r="IA39" t="e">
        <f>AND('Double Dutch Single Freestyle'!A2,"AAAAAF//3+o=")</f>
        <v>#VALUE!</v>
      </c>
      <c r="IB39" t="e">
        <f>AND('Double Dutch Single Freestyle'!B2,"AAAAAF//3+s=")</f>
        <v>#VALUE!</v>
      </c>
      <c r="IC39" t="e">
        <f>AND('Double Dutch Single Freestyle'!C2,"AAAAAF//3+w=")</f>
        <v>#VALUE!</v>
      </c>
      <c r="ID39" t="e">
        <f>AND('Double Dutch Single Freestyle'!D2,"AAAAAF//3+0=")</f>
        <v>#VALUE!</v>
      </c>
      <c r="IE39" t="e">
        <f>AND('Double Dutch Single Freestyle'!E2,"AAAAAF//3+4=")</f>
        <v>#VALUE!</v>
      </c>
      <c r="IF39" t="e">
        <f>AND('Double Dutch Single Freestyle'!F2,"AAAAAF//3+8=")</f>
        <v>#VALUE!</v>
      </c>
      <c r="IG39" t="e">
        <f>AND('Double Dutch Single Freestyle'!G2,"AAAAAF//3/A=")</f>
        <v>#VALUE!</v>
      </c>
      <c r="IH39" t="e">
        <f>AND('Double Dutch Single Freestyle'!H2,"AAAAAF//3/E=")</f>
        <v>#VALUE!</v>
      </c>
      <c r="II39" t="e">
        <f>AND('Double Dutch Single Freestyle'!I2,"AAAAAF//3/I=")</f>
        <v>#VALUE!</v>
      </c>
      <c r="IJ39">
        <f>IF('Double Dutch Single Freestyle'!3:3,"AAAAAF//3/M=",0)</f>
        <v>0</v>
      </c>
      <c r="IK39" t="e">
        <f>AND('Double Dutch Single Freestyle'!A3,"AAAAAF//3/Q=")</f>
        <v>#VALUE!</v>
      </c>
      <c r="IL39" t="e">
        <f>AND('Double Dutch Single Freestyle'!B3,"AAAAAF//3/U=")</f>
        <v>#VALUE!</v>
      </c>
      <c r="IM39" t="e">
        <f>AND('Double Dutch Single Freestyle'!C3,"AAAAAF//3/Y=")</f>
        <v>#VALUE!</v>
      </c>
      <c r="IN39" t="e">
        <f>AND('Double Dutch Single Freestyle'!D3,"AAAAAF//3/c=")</f>
        <v>#VALUE!</v>
      </c>
      <c r="IO39" t="e">
        <f>AND('Double Dutch Single Freestyle'!E3,"AAAAAF//3/g=")</f>
        <v>#VALUE!</v>
      </c>
      <c r="IP39" t="e">
        <f>AND('Double Dutch Single Freestyle'!F3,"AAAAAF//3/k=")</f>
        <v>#VALUE!</v>
      </c>
      <c r="IQ39" t="e">
        <f>AND('Double Dutch Single Freestyle'!G3,"AAAAAF//3/o=")</f>
        <v>#VALUE!</v>
      </c>
      <c r="IR39" t="e">
        <f>AND('Double Dutch Single Freestyle'!H3,"AAAAAF//3/s=")</f>
        <v>#VALUE!</v>
      </c>
      <c r="IS39" t="e">
        <f>AND('Double Dutch Single Freestyle'!I3,"AAAAAF//3/w=")</f>
        <v>#VALUE!</v>
      </c>
      <c r="IT39">
        <f>IF('Double Dutch Single Freestyle'!4:4,"AAAAAF//3/0=",0)</f>
        <v>0</v>
      </c>
      <c r="IU39" t="e">
        <f>AND('Double Dutch Single Freestyle'!A4,"AAAAAF//3/4=")</f>
        <v>#VALUE!</v>
      </c>
      <c r="IV39" t="e">
        <f>AND('Double Dutch Single Freestyle'!B4,"AAAAAF//3/8=")</f>
        <v>#VALUE!</v>
      </c>
    </row>
    <row r="40" spans="1:256" x14ac:dyDescent="0.25">
      <c r="A40" t="e">
        <f>AND('Double Dutch Single Freestyle'!C4,"AAAAAH2enQA=")</f>
        <v>#VALUE!</v>
      </c>
      <c r="B40" t="e">
        <f>AND('Double Dutch Single Freestyle'!D4,"AAAAAH2enQE=")</f>
        <v>#VALUE!</v>
      </c>
      <c r="C40" t="e">
        <f>AND('Double Dutch Single Freestyle'!E4,"AAAAAH2enQI=")</f>
        <v>#VALUE!</v>
      </c>
      <c r="D40" t="e">
        <f>AND('Double Dutch Single Freestyle'!F4,"AAAAAH2enQM=")</f>
        <v>#VALUE!</v>
      </c>
      <c r="E40" t="e">
        <f>AND('Double Dutch Single Freestyle'!G4,"AAAAAH2enQQ=")</f>
        <v>#VALUE!</v>
      </c>
      <c r="F40" t="e">
        <f>AND('Double Dutch Single Freestyle'!H4,"AAAAAH2enQU=")</f>
        <v>#VALUE!</v>
      </c>
      <c r="G40" t="e">
        <f>AND('Double Dutch Single Freestyle'!I4,"AAAAAH2enQY=")</f>
        <v>#VALUE!</v>
      </c>
      <c r="H40">
        <f>IF('Double Dutch Single Freestyle'!22:22,"AAAAAH2enQc=",0)</f>
        <v>0</v>
      </c>
      <c r="I40" t="e">
        <f>AND('Double Dutch Single Freestyle'!A22,"AAAAAH2enQg=")</f>
        <v>#VALUE!</v>
      </c>
      <c r="J40" t="e">
        <f>AND('Double Dutch Single Freestyle'!B22,"AAAAAH2enQk=")</f>
        <v>#VALUE!</v>
      </c>
      <c r="K40" t="e">
        <f>AND('Double Dutch Single Freestyle'!C22,"AAAAAH2enQo=")</f>
        <v>#VALUE!</v>
      </c>
      <c r="L40" t="e">
        <f>AND('Double Dutch Single Freestyle'!D22,"AAAAAH2enQs=")</f>
        <v>#VALUE!</v>
      </c>
      <c r="M40" t="e">
        <f>AND('Double Dutch Single Freestyle'!E22,"AAAAAH2enQw=")</f>
        <v>#VALUE!</v>
      </c>
      <c r="N40" t="e">
        <f>AND('Double Dutch Single Freestyle'!F22,"AAAAAH2enQ0=")</f>
        <v>#VALUE!</v>
      </c>
      <c r="O40" t="e">
        <f>AND('Double Dutch Single Freestyle'!G22,"AAAAAH2enQ4=")</f>
        <v>#VALUE!</v>
      </c>
      <c r="P40" t="e">
        <f>AND('Double Dutch Single Freestyle'!H22,"AAAAAH2enQ8=")</f>
        <v>#VALUE!</v>
      </c>
      <c r="Q40" t="e">
        <f>AND('Double Dutch Single Freestyle'!I22,"AAAAAH2enRA=")</f>
        <v>#VALUE!</v>
      </c>
      <c r="R40">
        <f>IF('Double Dutch Single Freestyle'!23:23,"AAAAAH2enRE=",0)</f>
        <v>0</v>
      </c>
      <c r="S40" t="e">
        <f>AND('Double Dutch Single Freestyle'!A23,"AAAAAH2enRI=")</f>
        <v>#VALUE!</v>
      </c>
      <c r="T40" t="e">
        <f>AND('Double Dutch Single Freestyle'!B23,"AAAAAH2enRM=")</f>
        <v>#VALUE!</v>
      </c>
      <c r="U40" t="e">
        <f>AND('Double Dutch Single Freestyle'!C23,"AAAAAH2enRQ=")</f>
        <v>#VALUE!</v>
      </c>
      <c r="V40" t="e">
        <f>AND('Double Dutch Single Freestyle'!D23,"AAAAAH2enRU=")</f>
        <v>#VALUE!</v>
      </c>
      <c r="W40" t="e">
        <f>AND('Double Dutch Single Freestyle'!E23,"AAAAAH2enRY=")</f>
        <v>#VALUE!</v>
      </c>
      <c r="X40" t="e">
        <f>AND('Double Dutch Single Freestyle'!F23,"AAAAAH2enRc=")</f>
        <v>#VALUE!</v>
      </c>
      <c r="Y40" t="e">
        <f>AND('Double Dutch Single Freestyle'!G23,"AAAAAH2enRg=")</f>
        <v>#VALUE!</v>
      </c>
      <c r="Z40" t="e">
        <f>AND('Double Dutch Single Freestyle'!H23,"AAAAAH2enRk=")</f>
        <v>#VALUE!</v>
      </c>
      <c r="AA40" t="e">
        <f>AND('Double Dutch Single Freestyle'!I23,"AAAAAH2enRo=")</f>
        <v>#VALUE!</v>
      </c>
      <c r="AB40">
        <f>IF('Double Dutch Single Freestyle'!24:24,"AAAAAH2enRs=",0)</f>
        <v>0</v>
      </c>
      <c r="AC40" t="e">
        <f>AND('Double Dutch Single Freestyle'!A24,"AAAAAH2enRw=")</f>
        <v>#VALUE!</v>
      </c>
      <c r="AD40" t="e">
        <f>AND('Double Dutch Single Freestyle'!B24,"AAAAAH2enR0=")</f>
        <v>#VALUE!</v>
      </c>
      <c r="AE40" t="e">
        <f>AND('Double Dutch Single Freestyle'!C24,"AAAAAH2enR4=")</f>
        <v>#VALUE!</v>
      </c>
      <c r="AF40" t="e">
        <f>AND('Double Dutch Single Freestyle'!D24,"AAAAAH2enR8=")</f>
        <v>#VALUE!</v>
      </c>
      <c r="AG40" t="e">
        <f>AND('Double Dutch Single Freestyle'!E24,"AAAAAH2enSA=")</f>
        <v>#VALUE!</v>
      </c>
      <c r="AH40" t="e">
        <f>AND('Double Dutch Single Freestyle'!F24,"AAAAAH2enSE=")</f>
        <v>#VALUE!</v>
      </c>
      <c r="AI40" t="e">
        <f>AND('Double Dutch Single Freestyle'!G24,"AAAAAH2enSI=")</f>
        <v>#VALUE!</v>
      </c>
      <c r="AJ40" t="e">
        <f>AND('Double Dutch Single Freestyle'!H24,"AAAAAH2enSM=")</f>
        <v>#VALUE!</v>
      </c>
      <c r="AK40" t="e">
        <f>AND('Double Dutch Single Freestyle'!I24,"AAAAAH2enSQ=")</f>
        <v>#VALUE!</v>
      </c>
      <c r="AL40">
        <f>IF('Double Dutch Single Freestyle'!25:25,"AAAAAH2enSU=",0)</f>
        <v>0</v>
      </c>
      <c r="AM40" t="e">
        <f>AND('Double Dutch Single Freestyle'!A25,"AAAAAH2enSY=")</f>
        <v>#VALUE!</v>
      </c>
      <c r="AN40" t="e">
        <f>AND('Double Dutch Single Freestyle'!B25,"AAAAAH2enSc=")</f>
        <v>#VALUE!</v>
      </c>
      <c r="AO40" t="e">
        <f>AND('Double Dutch Single Freestyle'!C25,"AAAAAH2enSg=")</f>
        <v>#VALUE!</v>
      </c>
      <c r="AP40" t="e">
        <f>AND('Double Dutch Single Freestyle'!D25,"AAAAAH2enSk=")</f>
        <v>#VALUE!</v>
      </c>
      <c r="AQ40" t="e">
        <f>AND('Double Dutch Single Freestyle'!E25,"AAAAAH2enSo=")</f>
        <v>#VALUE!</v>
      </c>
      <c r="AR40" t="e">
        <f>AND('Double Dutch Single Freestyle'!F25,"AAAAAH2enSs=")</f>
        <v>#VALUE!</v>
      </c>
      <c r="AS40" t="e">
        <f>AND('Double Dutch Single Freestyle'!G25,"AAAAAH2enSw=")</f>
        <v>#VALUE!</v>
      </c>
      <c r="AT40" t="e">
        <f>AND('Double Dutch Single Freestyle'!H25,"AAAAAH2enS0=")</f>
        <v>#VALUE!</v>
      </c>
      <c r="AU40" t="e">
        <f>AND('Double Dutch Single Freestyle'!I25,"AAAAAH2enS4=")</f>
        <v>#VALUE!</v>
      </c>
      <c r="AV40">
        <f>IF('Double Dutch Single Freestyle'!26:26,"AAAAAH2enS8=",0)</f>
        <v>0</v>
      </c>
      <c r="AW40" t="e">
        <f>AND('Double Dutch Single Freestyle'!A26,"AAAAAH2enTA=")</f>
        <v>#VALUE!</v>
      </c>
      <c r="AX40" t="e">
        <f>AND('Double Dutch Single Freestyle'!B26,"AAAAAH2enTE=")</f>
        <v>#VALUE!</v>
      </c>
      <c r="AY40" t="e">
        <f>AND('Double Dutch Single Freestyle'!C26,"AAAAAH2enTI=")</f>
        <v>#VALUE!</v>
      </c>
      <c r="AZ40" t="e">
        <f>AND('Double Dutch Single Freestyle'!D26,"AAAAAH2enTM=")</f>
        <v>#VALUE!</v>
      </c>
      <c r="BA40" t="e">
        <f>AND('Double Dutch Single Freestyle'!E26,"AAAAAH2enTQ=")</f>
        <v>#VALUE!</v>
      </c>
      <c r="BB40" t="e">
        <f>AND('Double Dutch Single Freestyle'!F26,"AAAAAH2enTU=")</f>
        <v>#VALUE!</v>
      </c>
      <c r="BC40" t="e">
        <f>AND('Double Dutch Single Freestyle'!G26,"AAAAAH2enTY=")</f>
        <v>#VALUE!</v>
      </c>
      <c r="BD40" t="e">
        <f>AND('Double Dutch Single Freestyle'!H26,"AAAAAH2enTc=")</f>
        <v>#VALUE!</v>
      </c>
      <c r="BE40" t="e">
        <f>AND('Double Dutch Single Freestyle'!I26,"AAAAAH2enTg=")</f>
        <v>#VALUE!</v>
      </c>
      <c r="BF40">
        <f>IF('Double Dutch Single Freestyle'!27:27,"AAAAAH2enTk=",0)</f>
        <v>0</v>
      </c>
      <c r="BG40" t="e">
        <f>AND('Double Dutch Single Freestyle'!A27,"AAAAAH2enTo=")</f>
        <v>#VALUE!</v>
      </c>
      <c r="BH40" t="e">
        <f>AND('Double Dutch Single Freestyle'!B27,"AAAAAH2enTs=")</f>
        <v>#VALUE!</v>
      </c>
      <c r="BI40" t="e">
        <f>AND('Double Dutch Single Freestyle'!C27,"AAAAAH2enTw=")</f>
        <v>#VALUE!</v>
      </c>
      <c r="BJ40" t="e">
        <f>AND('Double Dutch Single Freestyle'!D27,"AAAAAH2enT0=")</f>
        <v>#VALUE!</v>
      </c>
      <c r="BK40" t="e">
        <f>AND('Double Dutch Single Freestyle'!E27,"AAAAAH2enT4=")</f>
        <v>#VALUE!</v>
      </c>
      <c r="BL40" t="e">
        <f>AND('Double Dutch Single Freestyle'!F27,"AAAAAH2enT8=")</f>
        <v>#VALUE!</v>
      </c>
      <c r="BM40" t="e">
        <f>AND('Double Dutch Single Freestyle'!G27,"AAAAAH2enUA=")</f>
        <v>#VALUE!</v>
      </c>
      <c r="BN40" t="e">
        <f>AND('Double Dutch Single Freestyle'!H27,"AAAAAH2enUE=")</f>
        <v>#VALUE!</v>
      </c>
      <c r="BO40" t="e">
        <f>AND('Double Dutch Single Freestyle'!I27,"AAAAAH2enUI=")</f>
        <v>#VALUE!</v>
      </c>
      <c r="BP40">
        <f>IF('Double Dutch Single Freestyle'!28:28,"AAAAAH2enUM=",0)</f>
        <v>0</v>
      </c>
      <c r="BQ40" t="e">
        <f>AND('Double Dutch Single Freestyle'!A28,"AAAAAH2enUQ=")</f>
        <v>#VALUE!</v>
      </c>
      <c r="BR40" t="e">
        <f>AND('Double Dutch Single Freestyle'!B28,"AAAAAH2enUU=")</f>
        <v>#VALUE!</v>
      </c>
      <c r="BS40" t="e">
        <f>AND('Double Dutch Single Freestyle'!C28,"AAAAAH2enUY=")</f>
        <v>#VALUE!</v>
      </c>
      <c r="BT40" t="e">
        <f>AND('Double Dutch Single Freestyle'!D28,"AAAAAH2enUc=")</f>
        <v>#VALUE!</v>
      </c>
      <c r="BU40" t="e">
        <f>AND('Double Dutch Single Freestyle'!E28,"AAAAAH2enUg=")</f>
        <v>#VALUE!</v>
      </c>
      <c r="BV40" t="e">
        <f>AND('Double Dutch Single Freestyle'!F28,"AAAAAH2enUk=")</f>
        <v>#VALUE!</v>
      </c>
      <c r="BW40" t="e">
        <f>AND('Double Dutch Single Freestyle'!G28,"AAAAAH2enUo=")</f>
        <v>#VALUE!</v>
      </c>
      <c r="BX40" t="e">
        <f>AND('Double Dutch Single Freestyle'!H28,"AAAAAH2enUs=")</f>
        <v>#VALUE!</v>
      </c>
      <c r="BY40" t="e">
        <f>AND('Double Dutch Single Freestyle'!I28,"AAAAAH2enUw=")</f>
        <v>#VALUE!</v>
      </c>
      <c r="BZ40">
        <f>IF('Double Dutch Single Freestyle'!29:29,"AAAAAH2enU0=",0)</f>
        <v>0</v>
      </c>
      <c r="CA40" t="e">
        <f>AND('Double Dutch Single Freestyle'!A29,"AAAAAH2enU4=")</f>
        <v>#VALUE!</v>
      </c>
      <c r="CB40" t="e">
        <f>AND('Double Dutch Single Freestyle'!B29,"AAAAAH2enU8=")</f>
        <v>#VALUE!</v>
      </c>
      <c r="CC40" t="e">
        <f>AND('Double Dutch Single Freestyle'!C29,"AAAAAH2enVA=")</f>
        <v>#VALUE!</v>
      </c>
      <c r="CD40" t="e">
        <f>AND('Double Dutch Single Freestyle'!D29,"AAAAAH2enVE=")</f>
        <v>#VALUE!</v>
      </c>
      <c r="CE40" t="e">
        <f>AND('Double Dutch Single Freestyle'!E29,"AAAAAH2enVI=")</f>
        <v>#VALUE!</v>
      </c>
      <c r="CF40" t="e">
        <f>AND('Double Dutch Single Freestyle'!F29,"AAAAAH2enVM=")</f>
        <v>#VALUE!</v>
      </c>
      <c r="CG40" t="e">
        <f>AND('Double Dutch Single Freestyle'!G29,"AAAAAH2enVQ=")</f>
        <v>#VALUE!</v>
      </c>
      <c r="CH40" t="e">
        <f>AND('Double Dutch Single Freestyle'!H29,"AAAAAH2enVU=")</f>
        <v>#VALUE!</v>
      </c>
      <c r="CI40" t="e">
        <f>AND('Double Dutch Single Freestyle'!I29,"AAAAAH2enVY=")</f>
        <v>#VALUE!</v>
      </c>
      <c r="CJ40">
        <f>IF('Double Dutch Single Freestyle'!30:30,"AAAAAH2enVc=",0)</f>
        <v>0</v>
      </c>
      <c r="CK40" t="e">
        <f>AND('Double Dutch Single Freestyle'!A30,"AAAAAH2enVg=")</f>
        <v>#VALUE!</v>
      </c>
      <c r="CL40" t="e">
        <f>AND('Double Dutch Single Freestyle'!B30,"AAAAAH2enVk=")</f>
        <v>#VALUE!</v>
      </c>
      <c r="CM40" t="e">
        <f>AND('Double Dutch Single Freestyle'!C30,"AAAAAH2enVo=")</f>
        <v>#VALUE!</v>
      </c>
      <c r="CN40" t="e">
        <f>AND('Double Dutch Single Freestyle'!D30,"AAAAAH2enVs=")</f>
        <v>#VALUE!</v>
      </c>
      <c r="CO40" t="e">
        <f>AND('Double Dutch Single Freestyle'!E30,"AAAAAH2enVw=")</f>
        <v>#VALUE!</v>
      </c>
      <c r="CP40" t="e">
        <f>AND('Double Dutch Single Freestyle'!F30,"AAAAAH2enV0=")</f>
        <v>#VALUE!</v>
      </c>
      <c r="CQ40" t="e">
        <f>AND('Double Dutch Single Freestyle'!G30,"AAAAAH2enV4=")</f>
        <v>#VALUE!</v>
      </c>
      <c r="CR40" t="e">
        <f>AND('Double Dutch Single Freestyle'!H30,"AAAAAH2enV8=")</f>
        <v>#VALUE!</v>
      </c>
      <c r="CS40" t="e">
        <f>AND('Double Dutch Single Freestyle'!I30,"AAAAAH2enWA=")</f>
        <v>#VALUE!</v>
      </c>
      <c r="CT40">
        <f>IF('Double Dutch Single Freestyle'!31:31,"AAAAAH2enWE=",0)</f>
        <v>0</v>
      </c>
      <c r="CU40" t="e">
        <f>AND('Double Dutch Single Freestyle'!A31,"AAAAAH2enWI=")</f>
        <v>#VALUE!</v>
      </c>
      <c r="CV40" t="e">
        <f>AND('Double Dutch Single Freestyle'!B31,"AAAAAH2enWM=")</f>
        <v>#VALUE!</v>
      </c>
      <c r="CW40" t="e">
        <f>AND('Double Dutch Single Freestyle'!C31,"AAAAAH2enWQ=")</f>
        <v>#VALUE!</v>
      </c>
      <c r="CX40" t="e">
        <f>AND('Double Dutch Single Freestyle'!D31,"AAAAAH2enWU=")</f>
        <v>#VALUE!</v>
      </c>
      <c r="CY40" t="e">
        <f>AND('Double Dutch Single Freestyle'!E31,"AAAAAH2enWY=")</f>
        <v>#VALUE!</v>
      </c>
      <c r="CZ40" t="e">
        <f>AND('Double Dutch Single Freestyle'!F31,"AAAAAH2enWc=")</f>
        <v>#VALUE!</v>
      </c>
      <c r="DA40" t="e">
        <f>AND('Double Dutch Single Freestyle'!G31,"AAAAAH2enWg=")</f>
        <v>#VALUE!</v>
      </c>
      <c r="DB40" t="e">
        <f>AND('Double Dutch Single Freestyle'!H31,"AAAAAH2enWk=")</f>
        <v>#VALUE!</v>
      </c>
      <c r="DC40" t="e">
        <f>AND('Double Dutch Single Freestyle'!I31,"AAAAAH2enWo=")</f>
        <v>#VALUE!</v>
      </c>
      <c r="DD40">
        <f>IF('Double Dutch Single Freestyle'!39:39,"AAAAAH2enWs=",0)</f>
        <v>0</v>
      </c>
      <c r="DE40" t="e">
        <f>AND('Double Dutch Single Freestyle'!A39,"AAAAAH2enWw=")</f>
        <v>#VALUE!</v>
      </c>
      <c r="DF40" t="e">
        <f>AND('Double Dutch Single Freestyle'!B39,"AAAAAH2enW0=")</f>
        <v>#VALUE!</v>
      </c>
      <c r="DG40" t="e">
        <f>AND('Double Dutch Single Freestyle'!C39,"AAAAAH2enW4=")</f>
        <v>#VALUE!</v>
      </c>
      <c r="DH40" t="e">
        <f>AND('Double Dutch Single Freestyle'!D39,"AAAAAH2enW8=")</f>
        <v>#VALUE!</v>
      </c>
      <c r="DI40" t="e">
        <f>AND('Double Dutch Single Freestyle'!E39,"AAAAAH2enXA=")</f>
        <v>#VALUE!</v>
      </c>
      <c r="DJ40" t="e">
        <f>AND('Double Dutch Single Freestyle'!F39,"AAAAAH2enXE=")</f>
        <v>#VALUE!</v>
      </c>
      <c r="DK40" t="e">
        <f>AND('Double Dutch Single Freestyle'!G39,"AAAAAH2enXI=")</f>
        <v>#VALUE!</v>
      </c>
      <c r="DL40" t="e">
        <f>AND('Double Dutch Single Freestyle'!H39,"AAAAAH2enXM=")</f>
        <v>#VALUE!</v>
      </c>
      <c r="DM40" t="e">
        <f>AND('Double Dutch Single Freestyle'!I39,"AAAAAH2enXQ=")</f>
        <v>#VALUE!</v>
      </c>
      <c r="DN40">
        <f>IF('Double Dutch Single Freestyle'!40:40,"AAAAAH2enXU=",0)</f>
        <v>0</v>
      </c>
      <c r="DO40" t="e">
        <f>AND('Double Dutch Single Freestyle'!A40,"AAAAAH2enXY=")</f>
        <v>#VALUE!</v>
      </c>
      <c r="DP40" t="e">
        <f>AND('Double Dutch Single Freestyle'!B40,"AAAAAH2enXc=")</f>
        <v>#VALUE!</v>
      </c>
      <c r="DQ40" t="e">
        <f>AND('Double Dutch Single Freestyle'!C40,"AAAAAH2enXg=")</f>
        <v>#VALUE!</v>
      </c>
      <c r="DR40" t="e">
        <f>AND('Double Dutch Single Freestyle'!D40,"AAAAAH2enXk=")</f>
        <v>#VALUE!</v>
      </c>
      <c r="DS40" t="e">
        <f>AND('Double Dutch Single Freestyle'!E40,"AAAAAH2enXo=")</f>
        <v>#VALUE!</v>
      </c>
      <c r="DT40" t="e">
        <f>AND('Double Dutch Single Freestyle'!F40,"AAAAAH2enXs=")</f>
        <v>#VALUE!</v>
      </c>
      <c r="DU40" t="e">
        <f>AND('Double Dutch Single Freestyle'!G40,"AAAAAH2enXw=")</f>
        <v>#VALUE!</v>
      </c>
      <c r="DV40" t="e">
        <f>AND('Double Dutch Single Freestyle'!H40,"AAAAAH2enX0=")</f>
        <v>#VALUE!</v>
      </c>
      <c r="DW40" t="e">
        <f>AND('Double Dutch Single Freestyle'!I40,"AAAAAH2enX4=")</f>
        <v>#VALUE!</v>
      </c>
      <c r="DX40">
        <f>IF('Double Dutch Single Freestyle'!41:41,"AAAAAH2enX8=",0)</f>
        <v>0</v>
      </c>
      <c r="DY40" t="e">
        <f>AND('Double Dutch Single Freestyle'!A41,"AAAAAH2enYA=")</f>
        <v>#VALUE!</v>
      </c>
      <c r="DZ40" t="e">
        <f>AND('Double Dutch Single Freestyle'!B41,"AAAAAH2enYE=")</f>
        <v>#VALUE!</v>
      </c>
      <c r="EA40" t="e">
        <f>AND('Double Dutch Single Freestyle'!C41,"AAAAAH2enYI=")</f>
        <v>#VALUE!</v>
      </c>
      <c r="EB40" t="e">
        <f>AND('Double Dutch Single Freestyle'!D41,"AAAAAH2enYM=")</f>
        <v>#VALUE!</v>
      </c>
      <c r="EC40" t="e">
        <f>AND('Double Dutch Single Freestyle'!E41,"AAAAAH2enYQ=")</f>
        <v>#VALUE!</v>
      </c>
      <c r="ED40" t="e">
        <f>AND('Double Dutch Single Freestyle'!F41,"AAAAAH2enYU=")</f>
        <v>#VALUE!</v>
      </c>
      <c r="EE40" t="e">
        <f>AND('Double Dutch Single Freestyle'!G41,"AAAAAH2enYY=")</f>
        <v>#VALUE!</v>
      </c>
      <c r="EF40" t="e">
        <f>AND('Double Dutch Single Freestyle'!H41,"AAAAAH2enYc=")</f>
        <v>#VALUE!</v>
      </c>
      <c r="EG40" t="e">
        <f>AND('Double Dutch Single Freestyle'!I41,"AAAAAH2enYg=")</f>
        <v>#VALUE!</v>
      </c>
      <c r="EH40">
        <f>IF('Double Dutch Single Freestyle'!42:42,"AAAAAH2enYk=",0)</f>
        <v>0</v>
      </c>
      <c r="EI40" t="e">
        <f>AND('Double Dutch Single Freestyle'!A42,"AAAAAH2enYo=")</f>
        <v>#VALUE!</v>
      </c>
      <c r="EJ40" t="e">
        <f>AND('Double Dutch Single Freestyle'!B42,"AAAAAH2enYs=")</f>
        <v>#VALUE!</v>
      </c>
      <c r="EK40" t="e">
        <f>AND('Double Dutch Single Freestyle'!C42,"AAAAAH2enYw=")</f>
        <v>#VALUE!</v>
      </c>
      <c r="EL40" t="e">
        <f>AND('Double Dutch Single Freestyle'!D42,"AAAAAH2enY0=")</f>
        <v>#VALUE!</v>
      </c>
      <c r="EM40" t="e">
        <f>AND('Double Dutch Single Freestyle'!E42,"AAAAAH2enY4=")</f>
        <v>#VALUE!</v>
      </c>
      <c r="EN40" t="e">
        <f>AND('Double Dutch Single Freestyle'!F42,"AAAAAH2enY8=")</f>
        <v>#VALUE!</v>
      </c>
      <c r="EO40" t="e">
        <f>AND('Double Dutch Single Freestyle'!G42,"AAAAAH2enZA=")</f>
        <v>#VALUE!</v>
      </c>
      <c r="EP40" t="e">
        <f>AND('Double Dutch Single Freestyle'!H42,"AAAAAH2enZE=")</f>
        <v>#VALUE!</v>
      </c>
      <c r="EQ40" t="e">
        <f>AND('Double Dutch Single Freestyle'!I42,"AAAAAH2enZI=")</f>
        <v>#VALUE!</v>
      </c>
      <c r="ER40">
        <f>IF('Double Dutch Single Freestyle'!43:43,"AAAAAH2enZM=",0)</f>
        <v>0</v>
      </c>
      <c r="ES40" t="e">
        <f>AND('Double Dutch Single Freestyle'!A43,"AAAAAH2enZQ=")</f>
        <v>#VALUE!</v>
      </c>
      <c r="ET40" t="e">
        <f>AND('Double Dutch Single Freestyle'!B43,"AAAAAH2enZU=")</f>
        <v>#VALUE!</v>
      </c>
      <c r="EU40" t="e">
        <f>AND('Double Dutch Single Freestyle'!C43,"AAAAAH2enZY=")</f>
        <v>#VALUE!</v>
      </c>
      <c r="EV40" t="e">
        <f>AND('Double Dutch Single Freestyle'!D43,"AAAAAH2enZc=")</f>
        <v>#VALUE!</v>
      </c>
      <c r="EW40" t="e">
        <f>AND('Double Dutch Single Freestyle'!E43,"AAAAAH2enZg=")</f>
        <v>#VALUE!</v>
      </c>
      <c r="EX40" t="e">
        <f>AND('Double Dutch Single Freestyle'!F43,"AAAAAH2enZk=")</f>
        <v>#VALUE!</v>
      </c>
      <c r="EY40" t="e">
        <f>AND('Double Dutch Single Freestyle'!G43,"AAAAAH2enZo=")</f>
        <v>#VALUE!</v>
      </c>
      <c r="EZ40" t="e">
        <f>AND('Double Dutch Single Freestyle'!H43,"AAAAAH2enZs=")</f>
        <v>#VALUE!</v>
      </c>
      <c r="FA40" t="e">
        <f>AND('Double Dutch Single Freestyle'!I43,"AAAAAH2enZw=")</f>
        <v>#VALUE!</v>
      </c>
      <c r="FB40">
        <f>IF('Double Dutch Single Freestyle'!44:44,"AAAAAH2enZ0=",0)</f>
        <v>0</v>
      </c>
      <c r="FC40" t="e">
        <f>AND('Double Dutch Single Freestyle'!A44,"AAAAAH2enZ4=")</f>
        <v>#VALUE!</v>
      </c>
      <c r="FD40" t="e">
        <f>AND('Double Dutch Single Freestyle'!B44,"AAAAAH2enZ8=")</f>
        <v>#VALUE!</v>
      </c>
      <c r="FE40" t="e">
        <f>AND('Double Dutch Single Freestyle'!C44,"AAAAAH2enaA=")</f>
        <v>#VALUE!</v>
      </c>
      <c r="FF40" t="e">
        <f>AND('Double Dutch Single Freestyle'!D44,"AAAAAH2enaE=")</f>
        <v>#VALUE!</v>
      </c>
      <c r="FG40" t="e">
        <f>AND('Double Dutch Single Freestyle'!E44,"AAAAAH2enaI=")</f>
        <v>#VALUE!</v>
      </c>
      <c r="FH40" t="e">
        <f>AND('Double Dutch Single Freestyle'!F44,"AAAAAH2enaM=")</f>
        <v>#VALUE!</v>
      </c>
      <c r="FI40" t="e">
        <f>AND('Double Dutch Single Freestyle'!G44,"AAAAAH2enaQ=")</f>
        <v>#VALUE!</v>
      </c>
      <c r="FJ40" t="e">
        <f>AND('Double Dutch Single Freestyle'!H44,"AAAAAH2enaU=")</f>
        <v>#VALUE!</v>
      </c>
      <c r="FK40" t="e">
        <f>AND('Double Dutch Single Freestyle'!I44,"AAAAAH2enaY=")</f>
        <v>#VALUE!</v>
      </c>
      <c r="FL40">
        <f>IF('Double Dutch Single Freestyle'!45:45,"AAAAAH2enac=",0)</f>
        <v>0</v>
      </c>
      <c r="FM40" t="e">
        <f>AND('Double Dutch Single Freestyle'!A45,"AAAAAH2enag=")</f>
        <v>#VALUE!</v>
      </c>
      <c r="FN40" t="e">
        <f>AND('Double Dutch Single Freestyle'!B45,"AAAAAH2enak=")</f>
        <v>#VALUE!</v>
      </c>
      <c r="FO40" t="e">
        <f>AND('Double Dutch Single Freestyle'!C45,"AAAAAH2enao=")</f>
        <v>#VALUE!</v>
      </c>
      <c r="FP40" t="e">
        <f>AND('Double Dutch Single Freestyle'!D45,"AAAAAH2enas=")</f>
        <v>#VALUE!</v>
      </c>
      <c r="FQ40" t="e">
        <f>AND('Double Dutch Single Freestyle'!E45,"AAAAAH2enaw=")</f>
        <v>#VALUE!</v>
      </c>
      <c r="FR40" t="e">
        <f>AND('Double Dutch Single Freestyle'!F45,"AAAAAH2ena0=")</f>
        <v>#VALUE!</v>
      </c>
      <c r="FS40" t="e">
        <f>AND('Double Dutch Single Freestyle'!G45,"AAAAAH2ena4=")</f>
        <v>#VALUE!</v>
      </c>
      <c r="FT40" t="e">
        <f>AND('Double Dutch Single Freestyle'!H45,"AAAAAH2ena8=")</f>
        <v>#VALUE!</v>
      </c>
      <c r="FU40" t="e">
        <f>AND('Double Dutch Single Freestyle'!I45,"AAAAAH2enbA=")</f>
        <v>#VALUE!</v>
      </c>
      <c r="FV40">
        <f>IF('Double Dutch Single Freestyle'!46:46,"AAAAAH2enbE=",0)</f>
        <v>0</v>
      </c>
      <c r="FW40" t="e">
        <f>AND('Double Dutch Single Freestyle'!A46,"AAAAAH2enbI=")</f>
        <v>#VALUE!</v>
      </c>
      <c r="FX40" t="e">
        <f>AND('Double Dutch Single Freestyle'!B46,"AAAAAH2enbM=")</f>
        <v>#VALUE!</v>
      </c>
      <c r="FY40" t="e">
        <f>AND('Double Dutch Single Freestyle'!C46,"AAAAAH2enbQ=")</f>
        <v>#VALUE!</v>
      </c>
      <c r="FZ40" t="e">
        <f>AND('Double Dutch Single Freestyle'!D46,"AAAAAH2enbU=")</f>
        <v>#VALUE!</v>
      </c>
      <c r="GA40" t="e">
        <f>AND('Double Dutch Single Freestyle'!E46,"AAAAAH2enbY=")</f>
        <v>#VALUE!</v>
      </c>
      <c r="GB40" t="e">
        <f>AND('Double Dutch Single Freestyle'!F46,"AAAAAH2enbc=")</f>
        <v>#VALUE!</v>
      </c>
      <c r="GC40" t="e">
        <f>AND('Double Dutch Single Freestyle'!G46,"AAAAAH2enbg=")</f>
        <v>#VALUE!</v>
      </c>
      <c r="GD40" t="e">
        <f>AND('Double Dutch Single Freestyle'!H46,"AAAAAH2enbk=")</f>
        <v>#VALUE!</v>
      </c>
      <c r="GE40" t="e">
        <f>AND('Double Dutch Single Freestyle'!I46,"AAAAAH2enbo=")</f>
        <v>#VALUE!</v>
      </c>
      <c r="GF40">
        <f>IF('Double Dutch Single Freestyle'!47:47,"AAAAAH2enbs=",0)</f>
        <v>0</v>
      </c>
      <c r="GG40" t="e">
        <f>AND('Double Dutch Single Freestyle'!A47,"AAAAAH2enbw=")</f>
        <v>#VALUE!</v>
      </c>
      <c r="GH40" t="e">
        <f>AND('Double Dutch Single Freestyle'!B47,"AAAAAH2enb0=")</f>
        <v>#VALUE!</v>
      </c>
      <c r="GI40" t="e">
        <f>AND('Double Dutch Single Freestyle'!C47,"AAAAAH2enb4=")</f>
        <v>#VALUE!</v>
      </c>
      <c r="GJ40" t="e">
        <f>AND('Double Dutch Single Freestyle'!D47,"AAAAAH2enb8=")</f>
        <v>#VALUE!</v>
      </c>
      <c r="GK40" t="e">
        <f>AND('Double Dutch Single Freestyle'!E47,"AAAAAH2encA=")</f>
        <v>#VALUE!</v>
      </c>
      <c r="GL40" t="e">
        <f>AND('Double Dutch Single Freestyle'!F47,"AAAAAH2encE=")</f>
        <v>#VALUE!</v>
      </c>
      <c r="GM40" t="e">
        <f>AND('Double Dutch Single Freestyle'!G47,"AAAAAH2encI=")</f>
        <v>#VALUE!</v>
      </c>
      <c r="GN40" t="e">
        <f>AND('Double Dutch Single Freestyle'!H47,"AAAAAH2encM=")</f>
        <v>#VALUE!</v>
      </c>
      <c r="GO40" t="e">
        <f>AND('Double Dutch Single Freestyle'!I47,"AAAAAH2encQ=")</f>
        <v>#VALUE!</v>
      </c>
      <c r="GP40">
        <f>IF('Double Dutch Single Freestyle'!48:48,"AAAAAH2encU=",0)</f>
        <v>0</v>
      </c>
      <c r="GQ40" t="e">
        <f>AND('Double Dutch Single Freestyle'!A48,"AAAAAH2encY=")</f>
        <v>#VALUE!</v>
      </c>
      <c r="GR40" t="e">
        <f>AND('Double Dutch Single Freestyle'!B48,"AAAAAH2encc=")</f>
        <v>#VALUE!</v>
      </c>
      <c r="GS40" t="e">
        <f>AND('Double Dutch Single Freestyle'!C48,"AAAAAH2encg=")</f>
        <v>#VALUE!</v>
      </c>
      <c r="GT40" t="e">
        <f>AND('Double Dutch Single Freestyle'!D48,"AAAAAH2enck=")</f>
        <v>#VALUE!</v>
      </c>
      <c r="GU40" t="e">
        <f>AND('Double Dutch Single Freestyle'!E48,"AAAAAH2enco=")</f>
        <v>#VALUE!</v>
      </c>
      <c r="GV40" t="e">
        <f>AND('Double Dutch Single Freestyle'!F48,"AAAAAH2encs=")</f>
        <v>#VALUE!</v>
      </c>
      <c r="GW40" t="e">
        <f>AND('Double Dutch Single Freestyle'!G48,"AAAAAH2encw=")</f>
        <v>#VALUE!</v>
      </c>
      <c r="GX40" t="e">
        <f>AND('Double Dutch Single Freestyle'!H48,"AAAAAH2enc0=")</f>
        <v>#VALUE!</v>
      </c>
      <c r="GY40" t="e">
        <f>AND('Double Dutch Single Freestyle'!I48,"AAAAAH2enc4=")</f>
        <v>#VALUE!</v>
      </c>
      <c r="GZ40">
        <f>IF('Double Dutch Single Freestyle'!49:49,"AAAAAH2enc8=",0)</f>
        <v>0</v>
      </c>
      <c r="HA40" t="e">
        <f>AND('Double Dutch Single Freestyle'!A49,"AAAAAH2endA=")</f>
        <v>#VALUE!</v>
      </c>
      <c r="HB40" t="e">
        <f>AND('Double Dutch Single Freestyle'!B49,"AAAAAH2endE=")</f>
        <v>#VALUE!</v>
      </c>
      <c r="HC40" t="e">
        <f>AND('Double Dutch Single Freestyle'!C49,"AAAAAH2endI=")</f>
        <v>#VALUE!</v>
      </c>
      <c r="HD40" t="e">
        <f>AND('Double Dutch Single Freestyle'!D49,"AAAAAH2endM=")</f>
        <v>#VALUE!</v>
      </c>
      <c r="HE40" t="e">
        <f>AND('Double Dutch Single Freestyle'!E49,"AAAAAH2endQ=")</f>
        <v>#VALUE!</v>
      </c>
      <c r="HF40" t="e">
        <f>AND('Double Dutch Single Freestyle'!F49,"AAAAAH2endU=")</f>
        <v>#VALUE!</v>
      </c>
      <c r="HG40" t="e">
        <f>AND('Double Dutch Single Freestyle'!G49,"AAAAAH2endY=")</f>
        <v>#VALUE!</v>
      </c>
      <c r="HH40" t="e">
        <f>AND('Double Dutch Single Freestyle'!H49,"AAAAAH2endc=")</f>
        <v>#VALUE!</v>
      </c>
      <c r="HI40" t="e">
        <f>AND('Double Dutch Single Freestyle'!I49,"AAAAAH2endg=")</f>
        <v>#VALUE!</v>
      </c>
      <c r="HJ40">
        <f>IF('Double Dutch Single Freestyle'!54:54,"AAAAAH2endk=",0)</f>
        <v>0</v>
      </c>
      <c r="HK40" t="e">
        <f>AND('Double Dutch Single Freestyle'!A54,"AAAAAH2endo=")</f>
        <v>#VALUE!</v>
      </c>
      <c r="HL40" t="e">
        <f>AND('Double Dutch Single Freestyle'!B54,"AAAAAH2ends=")</f>
        <v>#VALUE!</v>
      </c>
      <c r="HM40" t="e">
        <f>AND('Double Dutch Single Freestyle'!C54,"AAAAAH2endw=")</f>
        <v>#VALUE!</v>
      </c>
      <c r="HN40" t="e">
        <f>AND('Double Dutch Single Freestyle'!D54,"AAAAAH2end0=")</f>
        <v>#VALUE!</v>
      </c>
      <c r="HO40" t="e">
        <f>AND('Double Dutch Single Freestyle'!E54,"AAAAAH2end4=")</f>
        <v>#VALUE!</v>
      </c>
      <c r="HP40" t="e">
        <f>AND('Double Dutch Single Freestyle'!F54,"AAAAAH2end8=")</f>
        <v>#VALUE!</v>
      </c>
      <c r="HQ40" t="e">
        <f>AND('Double Dutch Single Freestyle'!G54,"AAAAAH2eneA=")</f>
        <v>#VALUE!</v>
      </c>
      <c r="HR40" t="e">
        <f>AND('Double Dutch Single Freestyle'!H54,"AAAAAH2eneE=")</f>
        <v>#VALUE!</v>
      </c>
      <c r="HS40" t="e">
        <f>AND('Double Dutch Single Freestyle'!I54,"AAAAAH2eneI=")</f>
        <v>#VALUE!</v>
      </c>
      <c r="HT40">
        <f>IF('Double Dutch Single Freestyle'!55:55,"AAAAAH2eneM=",0)</f>
        <v>0</v>
      </c>
      <c r="HU40" t="e">
        <f>AND('Double Dutch Single Freestyle'!A55,"AAAAAH2eneQ=")</f>
        <v>#VALUE!</v>
      </c>
      <c r="HV40" t="e">
        <f>AND('Double Dutch Single Freestyle'!B55,"AAAAAH2eneU=")</f>
        <v>#VALUE!</v>
      </c>
      <c r="HW40" t="e">
        <f>AND('Double Dutch Single Freestyle'!C55,"AAAAAH2eneY=")</f>
        <v>#VALUE!</v>
      </c>
      <c r="HX40" t="e">
        <f>AND('Double Dutch Single Freestyle'!D55,"AAAAAH2enec=")</f>
        <v>#VALUE!</v>
      </c>
      <c r="HY40" t="e">
        <f>AND('Double Dutch Single Freestyle'!E55,"AAAAAH2eneg=")</f>
        <v>#VALUE!</v>
      </c>
      <c r="HZ40" t="e">
        <f>AND('Double Dutch Single Freestyle'!F55,"AAAAAH2enek=")</f>
        <v>#VALUE!</v>
      </c>
      <c r="IA40" t="e">
        <f>AND('Double Dutch Single Freestyle'!G55,"AAAAAH2eneo=")</f>
        <v>#VALUE!</v>
      </c>
      <c r="IB40" t="e">
        <f>AND('Double Dutch Single Freestyle'!H55,"AAAAAH2enes=")</f>
        <v>#VALUE!</v>
      </c>
      <c r="IC40" t="e">
        <f>AND('Double Dutch Single Freestyle'!I55,"AAAAAH2enew=")</f>
        <v>#VALUE!</v>
      </c>
      <c r="ID40">
        <f>IF('Double Dutch Single Freestyle'!56:56,"AAAAAH2ene0=",0)</f>
        <v>0</v>
      </c>
      <c r="IE40" t="e">
        <f>AND('Double Dutch Single Freestyle'!A56,"AAAAAH2ene4=")</f>
        <v>#VALUE!</v>
      </c>
      <c r="IF40" t="e">
        <f>AND('Double Dutch Single Freestyle'!B56,"AAAAAH2ene8=")</f>
        <v>#VALUE!</v>
      </c>
      <c r="IG40" t="e">
        <f>AND('Double Dutch Single Freestyle'!C56,"AAAAAH2enfA=")</f>
        <v>#VALUE!</v>
      </c>
      <c r="IH40" t="e">
        <f>AND('Double Dutch Single Freestyle'!D56,"AAAAAH2enfE=")</f>
        <v>#VALUE!</v>
      </c>
      <c r="II40" t="e">
        <f>AND('Double Dutch Single Freestyle'!E56,"AAAAAH2enfI=")</f>
        <v>#VALUE!</v>
      </c>
      <c r="IJ40" t="e">
        <f>AND('Double Dutch Single Freestyle'!F56,"AAAAAH2enfM=")</f>
        <v>#VALUE!</v>
      </c>
      <c r="IK40" t="e">
        <f>AND('Double Dutch Single Freestyle'!G56,"AAAAAH2enfQ=")</f>
        <v>#VALUE!</v>
      </c>
      <c r="IL40" t="e">
        <f>AND('Double Dutch Single Freestyle'!H56,"AAAAAH2enfU=")</f>
        <v>#VALUE!</v>
      </c>
      <c r="IM40" t="e">
        <f>AND('Double Dutch Single Freestyle'!I56,"AAAAAH2enfY=")</f>
        <v>#VALUE!</v>
      </c>
      <c r="IN40">
        <f>IF('Double Dutch Single Freestyle'!57:57,"AAAAAH2enfc=",0)</f>
        <v>0</v>
      </c>
      <c r="IO40" t="e">
        <f>AND('Double Dutch Single Freestyle'!A57,"AAAAAH2enfg=")</f>
        <v>#VALUE!</v>
      </c>
      <c r="IP40" t="e">
        <f>AND('Double Dutch Single Freestyle'!B57,"AAAAAH2enfk=")</f>
        <v>#VALUE!</v>
      </c>
      <c r="IQ40" t="e">
        <f>AND('Double Dutch Single Freestyle'!C57,"AAAAAH2enfo=")</f>
        <v>#VALUE!</v>
      </c>
      <c r="IR40" t="e">
        <f>AND('Double Dutch Single Freestyle'!D57,"AAAAAH2enfs=")</f>
        <v>#VALUE!</v>
      </c>
      <c r="IS40" t="e">
        <f>AND('Double Dutch Single Freestyle'!E57,"AAAAAH2enfw=")</f>
        <v>#VALUE!</v>
      </c>
      <c r="IT40" t="e">
        <f>AND('Double Dutch Single Freestyle'!F57,"AAAAAH2enf0=")</f>
        <v>#VALUE!</v>
      </c>
      <c r="IU40" t="e">
        <f>AND('Double Dutch Single Freestyle'!G57,"AAAAAH2enf4=")</f>
        <v>#VALUE!</v>
      </c>
      <c r="IV40" t="e">
        <f>AND('Double Dutch Single Freestyle'!H57,"AAAAAH2enf8=")</f>
        <v>#VALUE!</v>
      </c>
    </row>
    <row r="41" spans="1:256" x14ac:dyDescent="0.25">
      <c r="A41" t="e">
        <f>AND('Double Dutch Single Freestyle'!I57,"AAAAAGzb/wA=")</f>
        <v>#VALUE!</v>
      </c>
      <c r="B41" t="e">
        <f>IF('Double Dutch Single Freestyle'!58:58,"AAAAAGzb/wE=",0)</f>
        <v>#VALUE!</v>
      </c>
      <c r="C41" t="e">
        <f>AND('Double Dutch Single Freestyle'!A58,"AAAAAGzb/wI=")</f>
        <v>#VALUE!</v>
      </c>
      <c r="D41" t="e">
        <f>AND('Double Dutch Single Freestyle'!B58,"AAAAAGzb/wM=")</f>
        <v>#VALUE!</v>
      </c>
      <c r="E41" t="e">
        <f>AND('Double Dutch Single Freestyle'!C58,"AAAAAGzb/wQ=")</f>
        <v>#VALUE!</v>
      </c>
      <c r="F41" t="e">
        <f>AND('Double Dutch Single Freestyle'!D58,"AAAAAGzb/wU=")</f>
        <v>#VALUE!</v>
      </c>
      <c r="G41" t="e">
        <f>AND('Double Dutch Single Freestyle'!E58,"AAAAAGzb/wY=")</f>
        <v>#VALUE!</v>
      </c>
      <c r="H41" t="e">
        <f>AND('Double Dutch Single Freestyle'!F58,"AAAAAGzb/wc=")</f>
        <v>#VALUE!</v>
      </c>
      <c r="I41" t="e">
        <f>AND('Double Dutch Single Freestyle'!G58,"AAAAAGzb/wg=")</f>
        <v>#VALUE!</v>
      </c>
      <c r="J41" t="e">
        <f>AND('Double Dutch Single Freestyle'!H58,"AAAAAGzb/wk=")</f>
        <v>#VALUE!</v>
      </c>
      <c r="K41" t="e">
        <f>AND('Double Dutch Single Freestyle'!I58,"AAAAAGzb/wo=")</f>
        <v>#VALUE!</v>
      </c>
      <c r="L41">
        <f>IF('Double Dutch Single Freestyle'!59:59,"AAAAAGzb/ws=",0)</f>
        <v>0</v>
      </c>
      <c r="M41" t="e">
        <f>AND('Double Dutch Single Freestyle'!A59,"AAAAAGzb/ww=")</f>
        <v>#VALUE!</v>
      </c>
      <c r="N41" t="e">
        <f>AND('Double Dutch Single Freestyle'!B59,"AAAAAGzb/w0=")</f>
        <v>#VALUE!</v>
      </c>
      <c r="O41" t="e">
        <f>AND('Double Dutch Single Freestyle'!C59,"AAAAAGzb/w4=")</f>
        <v>#VALUE!</v>
      </c>
      <c r="P41" t="e">
        <f>AND('Double Dutch Single Freestyle'!D59,"AAAAAGzb/w8=")</f>
        <v>#VALUE!</v>
      </c>
      <c r="Q41" t="e">
        <f>AND('Double Dutch Single Freestyle'!E59,"AAAAAGzb/xA=")</f>
        <v>#VALUE!</v>
      </c>
      <c r="R41" t="e">
        <f>AND('Double Dutch Single Freestyle'!F59,"AAAAAGzb/xE=")</f>
        <v>#VALUE!</v>
      </c>
      <c r="S41" t="e">
        <f>AND('Double Dutch Single Freestyle'!G59,"AAAAAGzb/xI=")</f>
        <v>#VALUE!</v>
      </c>
      <c r="T41" t="e">
        <f>AND('Double Dutch Single Freestyle'!H59,"AAAAAGzb/xM=")</f>
        <v>#VALUE!</v>
      </c>
      <c r="U41" t="e">
        <f>AND('Double Dutch Single Freestyle'!I59,"AAAAAGzb/xQ=")</f>
        <v>#VALUE!</v>
      </c>
      <c r="V41">
        <f>IF('Double Dutch Single Freestyle'!60:60,"AAAAAGzb/xU=",0)</f>
        <v>0</v>
      </c>
      <c r="W41" t="e">
        <f>AND('Double Dutch Single Freestyle'!A60,"AAAAAGzb/xY=")</f>
        <v>#VALUE!</v>
      </c>
      <c r="X41" t="e">
        <f>AND('Double Dutch Single Freestyle'!B60,"AAAAAGzb/xc=")</f>
        <v>#VALUE!</v>
      </c>
      <c r="Y41" t="e">
        <f>AND('Double Dutch Single Freestyle'!C60,"AAAAAGzb/xg=")</f>
        <v>#VALUE!</v>
      </c>
      <c r="Z41" t="e">
        <f>AND('Double Dutch Single Freestyle'!D60,"AAAAAGzb/xk=")</f>
        <v>#VALUE!</v>
      </c>
      <c r="AA41" t="e">
        <f>AND('Double Dutch Single Freestyle'!E60,"AAAAAGzb/xo=")</f>
        <v>#VALUE!</v>
      </c>
      <c r="AB41" t="e">
        <f>AND('Double Dutch Single Freestyle'!F60,"AAAAAGzb/xs=")</f>
        <v>#VALUE!</v>
      </c>
      <c r="AC41" t="e">
        <f>AND('Double Dutch Single Freestyle'!G60,"AAAAAGzb/xw=")</f>
        <v>#VALUE!</v>
      </c>
      <c r="AD41" t="e">
        <f>AND('Double Dutch Single Freestyle'!H60,"AAAAAGzb/x0=")</f>
        <v>#VALUE!</v>
      </c>
      <c r="AE41" t="e">
        <f>AND('Double Dutch Single Freestyle'!I60,"AAAAAGzb/x4=")</f>
        <v>#VALUE!</v>
      </c>
      <c r="AF41">
        <f>IF('Double Dutch Single Freestyle'!61:61,"AAAAAGzb/x8=",0)</f>
        <v>0</v>
      </c>
      <c r="AG41" t="e">
        <f>AND('Double Dutch Single Freestyle'!A61,"AAAAAGzb/yA=")</f>
        <v>#VALUE!</v>
      </c>
      <c r="AH41" t="e">
        <f>AND('Double Dutch Single Freestyle'!B61,"AAAAAGzb/yE=")</f>
        <v>#VALUE!</v>
      </c>
      <c r="AI41" t="e">
        <f>AND('Double Dutch Single Freestyle'!C61,"AAAAAGzb/yI=")</f>
        <v>#VALUE!</v>
      </c>
      <c r="AJ41" t="e">
        <f>AND('Double Dutch Single Freestyle'!D61,"AAAAAGzb/yM=")</f>
        <v>#VALUE!</v>
      </c>
      <c r="AK41" t="e">
        <f>AND('Double Dutch Single Freestyle'!E61,"AAAAAGzb/yQ=")</f>
        <v>#VALUE!</v>
      </c>
      <c r="AL41" t="e">
        <f>AND('Double Dutch Single Freestyle'!F61,"AAAAAGzb/yU=")</f>
        <v>#VALUE!</v>
      </c>
      <c r="AM41" t="e">
        <f>AND('Double Dutch Single Freestyle'!G61,"AAAAAGzb/yY=")</f>
        <v>#VALUE!</v>
      </c>
      <c r="AN41" t="e">
        <f>AND('Double Dutch Single Freestyle'!H61,"AAAAAGzb/yc=")</f>
        <v>#VALUE!</v>
      </c>
      <c r="AO41" t="e">
        <f>AND('Double Dutch Single Freestyle'!I61,"AAAAAGzb/yg=")</f>
        <v>#VALUE!</v>
      </c>
      <c r="AP41">
        <f>IF('Double Dutch Single Freestyle'!62:62,"AAAAAGzb/yk=",0)</f>
        <v>0</v>
      </c>
      <c r="AQ41" t="e">
        <f>AND('Double Dutch Single Freestyle'!A62,"AAAAAGzb/yo=")</f>
        <v>#VALUE!</v>
      </c>
      <c r="AR41" t="e">
        <f>AND('Double Dutch Single Freestyle'!B62,"AAAAAGzb/ys=")</f>
        <v>#VALUE!</v>
      </c>
      <c r="AS41" t="e">
        <f>AND('Double Dutch Single Freestyle'!C62,"AAAAAGzb/yw=")</f>
        <v>#VALUE!</v>
      </c>
      <c r="AT41" t="e">
        <f>AND('Double Dutch Single Freestyle'!D62,"AAAAAGzb/y0=")</f>
        <v>#VALUE!</v>
      </c>
      <c r="AU41" t="e">
        <f>AND('Double Dutch Single Freestyle'!E62,"AAAAAGzb/y4=")</f>
        <v>#VALUE!</v>
      </c>
      <c r="AV41" t="e">
        <f>AND('Double Dutch Single Freestyle'!F62,"AAAAAGzb/y8=")</f>
        <v>#VALUE!</v>
      </c>
      <c r="AW41" t="e">
        <f>AND('Double Dutch Single Freestyle'!G62,"AAAAAGzb/zA=")</f>
        <v>#VALUE!</v>
      </c>
      <c r="AX41" t="e">
        <f>AND('Double Dutch Single Freestyle'!H62,"AAAAAGzb/zE=")</f>
        <v>#VALUE!</v>
      </c>
      <c r="AY41" t="e">
        <f>AND('Double Dutch Single Freestyle'!I62,"AAAAAGzb/zI=")</f>
        <v>#VALUE!</v>
      </c>
      <c r="AZ41">
        <f>IF('Double Dutch Single Freestyle'!63:63,"AAAAAGzb/zM=",0)</f>
        <v>0</v>
      </c>
      <c r="BA41" t="e">
        <f>AND('Double Dutch Single Freestyle'!A63,"AAAAAGzb/zQ=")</f>
        <v>#VALUE!</v>
      </c>
      <c r="BB41" t="e">
        <f>AND('Double Dutch Single Freestyle'!B63,"AAAAAGzb/zU=")</f>
        <v>#VALUE!</v>
      </c>
      <c r="BC41" t="e">
        <f>AND('Double Dutch Single Freestyle'!C63,"AAAAAGzb/zY=")</f>
        <v>#VALUE!</v>
      </c>
      <c r="BD41" t="e">
        <f>AND('Double Dutch Single Freestyle'!D63,"AAAAAGzb/zc=")</f>
        <v>#VALUE!</v>
      </c>
      <c r="BE41" t="e">
        <f>AND('Double Dutch Single Freestyle'!E63,"AAAAAGzb/zg=")</f>
        <v>#VALUE!</v>
      </c>
      <c r="BF41" t="e">
        <f>AND('Double Dutch Single Freestyle'!F63,"AAAAAGzb/zk=")</f>
        <v>#VALUE!</v>
      </c>
      <c r="BG41" t="e">
        <f>AND('Double Dutch Single Freestyle'!G63,"AAAAAGzb/zo=")</f>
        <v>#VALUE!</v>
      </c>
      <c r="BH41" t="e">
        <f>AND('Double Dutch Single Freestyle'!H63,"AAAAAGzb/zs=")</f>
        <v>#VALUE!</v>
      </c>
      <c r="BI41" t="e">
        <f>AND('Double Dutch Single Freestyle'!I63,"AAAAAGzb/zw=")</f>
        <v>#VALUE!</v>
      </c>
      <c r="BJ41">
        <f>IF('Double Dutch Single Freestyle'!64:64,"AAAAAGzb/z0=",0)</f>
        <v>0</v>
      </c>
      <c r="BK41" t="e">
        <f>AND('Double Dutch Single Freestyle'!A64,"AAAAAGzb/z4=")</f>
        <v>#VALUE!</v>
      </c>
      <c r="BL41" t="e">
        <f>AND('Double Dutch Single Freestyle'!B64,"AAAAAGzb/z8=")</f>
        <v>#VALUE!</v>
      </c>
      <c r="BM41" t="e">
        <f>AND('Double Dutch Single Freestyle'!C64,"AAAAAGzb/0A=")</f>
        <v>#VALUE!</v>
      </c>
      <c r="BN41" t="e">
        <f>AND('Double Dutch Single Freestyle'!D64,"AAAAAGzb/0E=")</f>
        <v>#VALUE!</v>
      </c>
      <c r="BO41" t="e">
        <f>AND('Double Dutch Single Freestyle'!E64,"AAAAAGzb/0I=")</f>
        <v>#VALUE!</v>
      </c>
      <c r="BP41" t="e">
        <f>AND('Double Dutch Single Freestyle'!F64,"AAAAAGzb/0M=")</f>
        <v>#VALUE!</v>
      </c>
      <c r="BQ41" t="e">
        <f>AND('Double Dutch Single Freestyle'!G64,"AAAAAGzb/0Q=")</f>
        <v>#VALUE!</v>
      </c>
      <c r="BR41" t="e">
        <f>AND('Double Dutch Single Freestyle'!H64,"AAAAAGzb/0U=")</f>
        <v>#VALUE!</v>
      </c>
      <c r="BS41" t="e">
        <f>AND('Double Dutch Single Freestyle'!I64,"AAAAAGzb/0Y=")</f>
        <v>#VALUE!</v>
      </c>
      <c r="BT41">
        <f>IF('Double Dutch Single Freestyle'!65:65,"AAAAAGzb/0c=",0)</f>
        <v>0</v>
      </c>
      <c r="BU41" t="e">
        <f>AND('Double Dutch Single Freestyle'!A65,"AAAAAGzb/0g=")</f>
        <v>#VALUE!</v>
      </c>
      <c r="BV41" t="e">
        <f>AND('Double Dutch Single Freestyle'!B65,"AAAAAGzb/0k=")</f>
        <v>#VALUE!</v>
      </c>
      <c r="BW41" t="e">
        <f>AND('Double Dutch Single Freestyle'!C65,"AAAAAGzb/0o=")</f>
        <v>#VALUE!</v>
      </c>
      <c r="BX41" t="e">
        <f>AND('Double Dutch Single Freestyle'!D65,"AAAAAGzb/0s=")</f>
        <v>#VALUE!</v>
      </c>
      <c r="BY41" t="e">
        <f>AND('Double Dutch Single Freestyle'!E65,"AAAAAGzb/0w=")</f>
        <v>#VALUE!</v>
      </c>
      <c r="BZ41" t="e">
        <f>AND('Double Dutch Single Freestyle'!F65,"AAAAAGzb/00=")</f>
        <v>#VALUE!</v>
      </c>
      <c r="CA41" t="e">
        <f>AND('Double Dutch Single Freestyle'!G65,"AAAAAGzb/04=")</f>
        <v>#VALUE!</v>
      </c>
      <c r="CB41" t="e">
        <f>AND('Double Dutch Single Freestyle'!H65,"AAAAAGzb/08=")</f>
        <v>#VALUE!</v>
      </c>
      <c r="CC41" t="e">
        <f>AND('Double Dutch Single Freestyle'!I65,"AAAAAGzb/1A=")</f>
        <v>#VALUE!</v>
      </c>
      <c r="CD41">
        <f>IF('Double Dutch Single Freestyle'!66:66,"AAAAAGzb/1E=",0)</f>
        <v>0</v>
      </c>
      <c r="CE41" t="e">
        <f>AND('Double Dutch Single Freestyle'!A66,"AAAAAGzb/1I=")</f>
        <v>#VALUE!</v>
      </c>
      <c r="CF41" t="e">
        <f>AND('Double Dutch Single Freestyle'!B66,"AAAAAGzb/1M=")</f>
        <v>#VALUE!</v>
      </c>
      <c r="CG41" t="e">
        <f>AND('Double Dutch Single Freestyle'!C66,"AAAAAGzb/1Q=")</f>
        <v>#VALUE!</v>
      </c>
      <c r="CH41" t="e">
        <f>AND('Double Dutch Single Freestyle'!D66,"AAAAAGzb/1U=")</f>
        <v>#VALUE!</v>
      </c>
      <c r="CI41" t="e">
        <f>AND('Double Dutch Single Freestyle'!E66,"AAAAAGzb/1Y=")</f>
        <v>#VALUE!</v>
      </c>
      <c r="CJ41" t="e">
        <f>AND('Double Dutch Single Freestyle'!F66,"AAAAAGzb/1c=")</f>
        <v>#VALUE!</v>
      </c>
      <c r="CK41" t="e">
        <f>AND('Double Dutch Single Freestyle'!G66,"AAAAAGzb/1g=")</f>
        <v>#VALUE!</v>
      </c>
      <c r="CL41" t="e">
        <f>AND('Double Dutch Single Freestyle'!H66,"AAAAAGzb/1k=")</f>
        <v>#VALUE!</v>
      </c>
      <c r="CM41" t="e">
        <f>AND('Double Dutch Single Freestyle'!I66,"AAAAAGzb/1o=")</f>
        <v>#VALUE!</v>
      </c>
      <c r="CN41">
        <f>IF('Double Dutch Single Freestyle'!67:67,"AAAAAGzb/1s=",0)</f>
        <v>0</v>
      </c>
      <c r="CO41" t="e">
        <f>AND('Double Dutch Single Freestyle'!A67,"AAAAAGzb/1w=")</f>
        <v>#VALUE!</v>
      </c>
      <c r="CP41" t="e">
        <f>AND('Double Dutch Single Freestyle'!B67,"AAAAAGzb/10=")</f>
        <v>#VALUE!</v>
      </c>
      <c r="CQ41" t="e">
        <f>AND('Double Dutch Single Freestyle'!C67,"AAAAAGzb/14=")</f>
        <v>#VALUE!</v>
      </c>
      <c r="CR41" t="e">
        <f>AND('Double Dutch Single Freestyle'!D67,"AAAAAGzb/18=")</f>
        <v>#VALUE!</v>
      </c>
      <c r="CS41" t="e">
        <f>AND('Double Dutch Single Freestyle'!E67,"AAAAAGzb/2A=")</f>
        <v>#VALUE!</v>
      </c>
      <c r="CT41" t="e">
        <f>AND('Double Dutch Single Freestyle'!F67,"AAAAAGzb/2E=")</f>
        <v>#VALUE!</v>
      </c>
      <c r="CU41" t="e">
        <f>AND('Double Dutch Single Freestyle'!G67,"AAAAAGzb/2I=")</f>
        <v>#VALUE!</v>
      </c>
      <c r="CV41" t="e">
        <f>AND('Double Dutch Single Freestyle'!H67,"AAAAAGzb/2M=")</f>
        <v>#VALUE!</v>
      </c>
      <c r="CW41" t="e">
        <f>AND('Double Dutch Single Freestyle'!I67,"AAAAAGzb/2Q=")</f>
        <v>#VALUE!</v>
      </c>
      <c r="CX41">
        <f>IF('Double Dutch Single Freestyle'!68:68,"AAAAAGzb/2U=",0)</f>
        <v>0</v>
      </c>
      <c r="CY41" t="e">
        <f>AND('Double Dutch Single Freestyle'!A68,"AAAAAGzb/2Y=")</f>
        <v>#VALUE!</v>
      </c>
      <c r="CZ41" t="e">
        <f>AND('Double Dutch Single Freestyle'!B68,"AAAAAGzb/2c=")</f>
        <v>#VALUE!</v>
      </c>
      <c r="DA41" t="e">
        <f>AND('Double Dutch Single Freestyle'!C68,"AAAAAGzb/2g=")</f>
        <v>#VALUE!</v>
      </c>
      <c r="DB41" t="e">
        <f>AND('Double Dutch Single Freestyle'!D68,"AAAAAGzb/2k=")</f>
        <v>#VALUE!</v>
      </c>
      <c r="DC41" t="e">
        <f>AND('Double Dutch Single Freestyle'!E68,"AAAAAGzb/2o=")</f>
        <v>#VALUE!</v>
      </c>
      <c r="DD41" t="e">
        <f>AND('Double Dutch Single Freestyle'!F68,"AAAAAGzb/2s=")</f>
        <v>#VALUE!</v>
      </c>
      <c r="DE41" t="e">
        <f>AND('Double Dutch Single Freestyle'!G68,"AAAAAGzb/2w=")</f>
        <v>#VALUE!</v>
      </c>
      <c r="DF41" t="e">
        <f>AND('Double Dutch Single Freestyle'!H68,"AAAAAGzb/20=")</f>
        <v>#VALUE!</v>
      </c>
      <c r="DG41" t="e">
        <f>AND('Double Dutch Single Freestyle'!I68,"AAAAAGzb/24=")</f>
        <v>#VALUE!</v>
      </c>
      <c r="DH41">
        <f>IF('Double Dutch Single Freestyle'!69:69,"AAAAAGzb/28=",0)</f>
        <v>0</v>
      </c>
      <c r="DI41" t="e">
        <f>AND('Double Dutch Single Freestyle'!A69,"AAAAAGzb/3A=")</f>
        <v>#VALUE!</v>
      </c>
      <c r="DJ41" t="e">
        <f>AND('Double Dutch Single Freestyle'!B69,"AAAAAGzb/3E=")</f>
        <v>#VALUE!</v>
      </c>
      <c r="DK41" t="e">
        <f>AND('Double Dutch Single Freestyle'!C69,"AAAAAGzb/3I=")</f>
        <v>#VALUE!</v>
      </c>
      <c r="DL41" t="e">
        <f>AND('Double Dutch Single Freestyle'!D69,"AAAAAGzb/3M=")</f>
        <v>#VALUE!</v>
      </c>
      <c r="DM41" t="e">
        <f>AND('Double Dutch Single Freestyle'!E69,"AAAAAGzb/3Q=")</f>
        <v>#VALUE!</v>
      </c>
      <c r="DN41" t="e">
        <f>AND('Double Dutch Single Freestyle'!F69,"AAAAAGzb/3U=")</f>
        <v>#VALUE!</v>
      </c>
      <c r="DO41" t="e">
        <f>AND('Double Dutch Single Freestyle'!G69,"AAAAAGzb/3Y=")</f>
        <v>#VALUE!</v>
      </c>
      <c r="DP41" t="e">
        <f>AND('Double Dutch Single Freestyle'!H69,"AAAAAGzb/3c=")</f>
        <v>#VALUE!</v>
      </c>
      <c r="DQ41" t="e">
        <f>AND('Double Dutch Single Freestyle'!I69,"AAAAAGzb/3g=")</f>
        <v>#VALUE!</v>
      </c>
      <c r="DR41">
        <f>IF('Double Dutch Single Freestyle'!70:70,"AAAAAGzb/3k=",0)</f>
        <v>0</v>
      </c>
      <c r="DS41" t="e">
        <f>AND('Double Dutch Single Freestyle'!A70,"AAAAAGzb/3o=")</f>
        <v>#VALUE!</v>
      </c>
      <c r="DT41" t="e">
        <f>AND('Double Dutch Single Freestyle'!B70,"AAAAAGzb/3s=")</f>
        <v>#VALUE!</v>
      </c>
      <c r="DU41" t="e">
        <f>AND('Double Dutch Single Freestyle'!C70,"AAAAAGzb/3w=")</f>
        <v>#VALUE!</v>
      </c>
      <c r="DV41" t="e">
        <f>AND('Double Dutch Single Freestyle'!D70,"AAAAAGzb/30=")</f>
        <v>#VALUE!</v>
      </c>
      <c r="DW41" t="e">
        <f>AND('Double Dutch Single Freestyle'!E70,"AAAAAGzb/34=")</f>
        <v>#VALUE!</v>
      </c>
      <c r="DX41" t="e">
        <f>AND('Double Dutch Single Freestyle'!F70,"AAAAAGzb/38=")</f>
        <v>#VALUE!</v>
      </c>
      <c r="DY41" t="e">
        <f>AND('Double Dutch Single Freestyle'!G70,"AAAAAGzb/4A=")</f>
        <v>#VALUE!</v>
      </c>
      <c r="DZ41" t="e">
        <f>AND('Double Dutch Single Freestyle'!H70,"AAAAAGzb/4E=")</f>
        <v>#VALUE!</v>
      </c>
      <c r="EA41" t="e">
        <f>AND('Double Dutch Single Freestyle'!I70,"AAAAAGzb/4I=")</f>
        <v>#VALUE!</v>
      </c>
      <c r="EB41">
        <f>IF('Double Dutch Single Freestyle'!71:71,"AAAAAGzb/4M=",0)</f>
        <v>0</v>
      </c>
      <c r="EC41" t="e">
        <f>AND('Double Dutch Single Freestyle'!A71,"AAAAAGzb/4Q=")</f>
        <v>#VALUE!</v>
      </c>
      <c r="ED41" t="e">
        <f>AND('Double Dutch Single Freestyle'!B71,"AAAAAGzb/4U=")</f>
        <v>#VALUE!</v>
      </c>
      <c r="EE41" t="e">
        <f>AND('Double Dutch Single Freestyle'!C71,"AAAAAGzb/4Y=")</f>
        <v>#VALUE!</v>
      </c>
      <c r="EF41" t="e">
        <f>AND('Double Dutch Single Freestyle'!D71,"AAAAAGzb/4c=")</f>
        <v>#VALUE!</v>
      </c>
      <c r="EG41" t="e">
        <f>AND('Double Dutch Single Freestyle'!E71,"AAAAAGzb/4g=")</f>
        <v>#VALUE!</v>
      </c>
      <c r="EH41" t="e">
        <f>AND('Double Dutch Single Freestyle'!F71,"AAAAAGzb/4k=")</f>
        <v>#VALUE!</v>
      </c>
      <c r="EI41" t="e">
        <f>AND('Double Dutch Single Freestyle'!G71,"AAAAAGzb/4o=")</f>
        <v>#VALUE!</v>
      </c>
      <c r="EJ41" t="e">
        <f>AND('Double Dutch Single Freestyle'!H71,"AAAAAGzb/4s=")</f>
        <v>#VALUE!</v>
      </c>
      <c r="EK41" t="e">
        <f>AND('Double Dutch Single Freestyle'!I71,"AAAAAGzb/4w=")</f>
        <v>#VALUE!</v>
      </c>
      <c r="EL41">
        <f>IF('Double Dutch Single Freestyle'!72:72,"AAAAAGzb/40=",0)</f>
        <v>0</v>
      </c>
      <c r="EM41" t="e">
        <f>AND('Double Dutch Single Freestyle'!A72,"AAAAAGzb/44=")</f>
        <v>#VALUE!</v>
      </c>
      <c r="EN41" t="e">
        <f>AND('Double Dutch Single Freestyle'!B72,"AAAAAGzb/48=")</f>
        <v>#VALUE!</v>
      </c>
      <c r="EO41" t="e">
        <f>AND('Double Dutch Single Freestyle'!C72,"AAAAAGzb/5A=")</f>
        <v>#VALUE!</v>
      </c>
      <c r="EP41" t="e">
        <f>AND('Double Dutch Single Freestyle'!D72,"AAAAAGzb/5E=")</f>
        <v>#VALUE!</v>
      </c>
      <c r="EQ41" t="e">
        <f>AND('Double Dutch Single Freestyle'!E72,"AAAAAGzb/5I=")</f>
        <v>#VALUE!</v>
      </c>
      <c r="ER41" t="e">
        <f>AND('Double Dutch Single Freestyle'!F72,"AAAAAGzb/5M=")</f>
        <v>#VALUE!</v>
      </c>
      <c r="ES41" t="e">
        <f>AND('Double Dutch Single Freestyle'!G72,"AAAAAGzb/5Q=")</f>
        <v>#VALUE!</v>
      </c>
      <c r="ET41" t="e">
        <f>AND('Double Dutch Single Freestyle'!H72,"AAAAAGzb/5U=")</f>
        <v>#VALUE!</v>
      </c>
      <c r="EU41" t="e">
        <f>AND('Double Dutch Single Freestyle'!I72,"AAAAAGzb/5Y=")</f>
        <v>#VALUE!</v>
      </c>
      <c r="EV41">
        <f>IF('Double Dutch Single Freestyle'!73:73,"AAAAAGzb/5c=",0)</f>
        <v>0</v>
      </c>
      <c r="EW41" t="e">
        <f>AND('Double Dutch Single Freestyle'!A73,"AAAAAGzb/5g=")</f>
        <v>#VALUE!</v>
      </c>
      <c r="EX41" t="e">
        <f>AND('Double Dutch Single Freestyle'!B73,"AAAAAGzb/5k=")</f>
        <v>#VALUE!</v>
      </c>
      <c r="EY41" t="e">
        <f>AND('Double Dutch Single Freestyle'!C73,"AAAAAGzb/5o=")</f>
        <v>#VALUE!</v>
      </c>
      <c r="EZ41" t="e">
        <f>AND('Double Dutch Single Freestyle'!D73,"AAAAAGzb/5s=")</f>
        <v>#VALUE!</v>
      </c>
      <c r="FA41" t="e">
        <f>AND('Double Dutch Single Freestyle'!E73,"AAAAAGzb/5w=")</f>
        <v>#VALUE!</v>
      </c>
      <c r="FB41" t="e">
        <f>AND('Double Dutch Single Freestyle'!F73,"AAAAAGzb/50=")</f>
        <v>#VALUE!</v>
      </c>
      <c r="FC41" t="e">
        <f>AND('Double Dutch Single Freestyle'!G73,"AAAAAGzb/54=")</f>
        <v>#VALUE!</v>
      </c>
      <c r="FD41" t="e">
        <f>AND('Double Dutch Single Freestyle'!H73,"AAAAAGzb/58=")</f>
        <v>#VALUE!</v>
      </c>
      <c r="FE41" t="e">
        <f>AND('Double Dutch Single Freestyle'!I73,"AAAAAGzb/6A=")</f>
        <v>#VALUE!</v>
      </c>
      <c r="FF41">
        <f>IF('Double Dutch Single Freestyle'!74:74,"AAAAAGzb/6E=",0)</f>
        <v>0</v>
      </c>
      <c r="FG41" t="e">
        <f>AND('Double Dutch Single Freestyle'!A74,"AAAAAGzb/6I=")</f>
        <v>#VALUE!</v>
      </c>
      <c r="FH41" t="e">
        <f>AND('Double Dutch Single Freestyle'!B74,"AAAAAGzb/6M=")</f>
        <v>#VALUE!</v>
      </c>
      <c r="FI41" t="e">
        <f>AND('Double Dutch Single Freestyle'!C74,"AAAAAGzb/6Q=")</f>
        <v>#VALUE!</v>
      </c>
      <c r="FJ41" t="e">
        <f>AND('Double Dutch Single Freestyle'!D74,"AAAAAGzb/6U=")</f>
        <v>#VALUE!</v>
      </c>
      <c r="FK41" t="e">
        <f>AND('Double Dutch Single Freestyle'!E74,"AAAAAGzb/6Y=")</f>
        <v>#VALUE!</v>
      </c>
      <c r="FL41" t="e">
        <f>AND('Double Dutch Single Freestyle'!F74,"AAAAAGzb/6c=")</f>
        <v>#VALUE!</v>
      </c>
      <c r="FM41" t="e">
        <f>AND('Double Dutch Single Freestyle'!G74,"AAAAAGzb/6g=")</f>
        <v>#VALUE!</v>
      </c>
      <c r="FN41" t="e">
        <f>AND('Double Dutch Single Freestyle'!H74,"AAAAAGzb/6k=")</f>
        <v>#VALUE!</v>
      </c>
      <c r="FO41" t="e">
        <f>AND('Double Dutch Single Freestyle'!I74,"AAAAAGzb/6o=")</f>
        <v>#VALUE!</v>
      </c>
      <c r="FP41">
        <f>IF('Double Dutch Single Freestyle'!75:75,"AAAAAGzb/6s=",0)</f>
        <v>0</v>
      </c>
      <c r="FQ41" t="e">
        <f>AND('Double Dutch Single Freestyle'!A75,"AAAAAGzb/6w=")</f>
        <v>#VALUE!</v>
      </c>
      <c r="FR41" t="e">
        <f>AND('Double Dutch Single Freestyle'!B75,"AAAAAGzb/60=")</f>
        <v>#VALUE!</v>
      </c>
      <c r="FS41" t="e">
        <f>AND('Double Dutch Single Freestyle'!C75,"AAAAAGzb/64=")</f>
        <v>#VALUE!</v>
      </c>
      <c r="FT41" t="e">
        <f>AND('Double Dutch Single Freestyle'!D75,"AAAAAGzb/68=")</f>
        <v>#VALUE!</v>
      </c>
      <c r="FU41" t="e">
        <f>AND('Double Dutch Single Freestyle'!E75,"AAAAAGzb/7A=")</f>
        <v>#VALUE!</v>
      </c>
      <c r="FV41" t="e">
        <f>AND('Double Dutch Single Freestyle'!F75,"AAAAAGzb/7E=")</f>
        <v>#VALUE!</v>
      </c>
      <c r="FW41" t="e">
        <f>AND('Double Dutch Single Freestyle'!G75,"AAAAAGzb/7I=")</f>
        <v>#VALUE!</v>
      </c>
      <c r="FX41" t="e">
        <f>AND('Double Dutch Single Freestyle'!H75,"AAAAAGzb/7M=")</f>
        <v>#VALUE!</v>
      </c>
      <c r="FY41" t="e">
        <f>AND('Double Dutch Single Freestyle'!I75,"AAAAAGzb/7Q=")</f>
        <v>#VALUE!</v>
      </c>
      <c r="FZ41">
        <f>IF('Double Dutch Single Freestyle'!76:76,"AAAAAGzb/7U=",0)</f>
        <v>0</v>
      </c>
      <c r="GA41" t="e">
        <f>AND('Double Dutch Single Freestyle'!A76,"AAAAAGzb/7Y=")</f>
        <v>#VALUE!</v>
      </c>
      <c r="GB41" t="e">
        <f>AND('Double Dutch Single Freestyle'!B76,"AAAAAGzb/7c=")</f>
        <v>#VALUE!</v>
      </c>
      <c r="GC41" t="e">
        <f>AND('Double Dutch Single Freestyle'!C76,"AAAAAGzb/7g=")</f>
        <v>#VALUE!</v>
      </c>
      <c r="GD41" t="e">
        <f>AND('Double Dutch Single Freestyle'!D76,"AAAAAGzb/7k=")</f>
        <v>#VALUE!</v>
      </c>
      <c r="GE41" t="e">
        <f>AND('Double Dutch Single Freestyle'!E76,"AAAAAGzb/7o=")</f>
        <v>#VALUE!</v>
      </c>
      <c r="GF41" t="e">
        <f>AND('Double Dutch Single Freestyle'!F76,"AAAAAGzb/7s=")</f>
        <v>#VALUE!</v>
      </c>
      <c r="GG41" t="e">
        <f>AND('Double Dutch Single Freestyle'!G76,"AAAAAGzb/7w=")</f>
        <v>#VALUE!</v>
      </c>
      <c r="GH41" t="e">
        <f>AND('Double Dutch Single Freestyle'!H76,"AAAAAGzb/70=")</f>
        <v>#VALUE!</v>
      </c>
      <c r="GI41" t="e">
        <f>AND('Double Dutch Single Freestyle'!I76,"AAAAAGzb/74=")</f>
        <v>#VALUE!</v>
      </c>
      <c r="GJ41">
        <f>IF('Double Dutch Single Freestyle'!77:77,"AAAAAGzb/78=",0)</f>
        <v>0</v>
      </c>
      <c r="GK41" t="e">
        <f>AND('Double Dutch Single Freestyle'!A77,"AAAAAGzb/8A=")</f>
        <v>#VALUE!</v>
      </c>
      <c r="GL41" t="e">
        <f>AND('Double Dutch Single Freestyle'!B77,"AAAAAGzb/8E=")</f>
        <v>#VALUE!</v>
      </c>
      <c r="GM41" t="e">
        <f>AND('Double Dutch Single Freestyle'!C77,"AAAAAGzb/8I=")</f>
        <v>#VALUE!</v>
      </c>
      <c r="GN41" t="e">
        <f>AND('Double Dutch Single Freestyle'!D77,"AAAAAGzb/8M=")</f>
        <v>#VALUE!</v>
      </c>
      <c r="GO41" t="e">
        <f>AND('Double Dutch Single Freestyle'!E77,"AAAAAGzb/8Q=")</f>
        <v>#VALUE!</v>
      </c>
      <c r="GP41" t="e">
        <f>AND('Double Dutch Single Freestyle'!F77,"AAAAAGzb/8U=")</f>
        <v>#VALUE!</v>
      </c>
      <c r="GQ41" t="e">
        <f>AND('Double Dutch Single Freestyle'!G77,"AAAAAGzb/8Y=")</f>
        <v>#VALUE!</v>
      </c>
      <c r="GR41" t="e">
        <f>AND('Double Dutch Single Freestyle'!H77,"AAAAAGzb/8c=")</f>
        <v>#VALUE!</v>
      </c>
      <c r="GS41" t="e">
        <f>AND('Double Dutch Single Freestyle'!I77,"AAAAAGzb/8g=")</f>
        <v>#VALUE!</v>
      </c>
      <c r="GT41">
        <f>IF('Double Dutch Single Freestyle'!78:78,"AAAAAGzb/8k=",0)</f>
        <v>0</v>
      </c>
      <c r="GU41" t="e">
        <f>AND('Double Dutch Single Freestyle'!A78,"AAAAAGzb/8o=")</f>
        <v>#VALUE!</v>
      </c>
      <c r="GV41" t="e">
        <f>AND('Double Dutch Single Freestyle'!B78,"AAAAAGzb/8s=")</f>
        <v>#VALUE!</v>
      </c>
      <c r="GW41" t="e">
        <f>AND('Double Dutch Single Freestyle'!C78,"AAAAAGzb/8w=")</f>
        <v>#VALUE!</v>
      </c>
      <c r="GX41" t="e">
        <f>AND('Double Dutch Single Freestyle'!D78,"AAAAAGzb/80=")</f>
        <v>#VALUE!</v>
      </c>
      <c r="GY41" t="e">
        <f>AND('Double Dutch Single Freestyle'!E78,"AAAAAGzb/84=")</f>
        <v>#VALUE!</v>
      </c>
      <c r="GZ41" t="e">
        <f>AND('Double Dutch Single Freestyle'!F78,"AAAAAGzb/88=")</f>
        <v>#VALUE!</v>
      </c>
      <c r="HA41" t="e">
        <f>AND('Double Dutch Single Freestyle'!G78,"AAAAAGzb/9A=")</f>
        <v>#VALUE!</v>
      </c>
      <c r="HB41" t="e">
        <f>AND('Double Dutch Single Freestyle'!H78,"AAAAAGzb/9E=")</f>
        <v>#VALUE!</v>
      </c>
      <c r="HC41" t="e">
        <f>AND('Double Dutch Single Freestyle'!I78,"AAAAAGzb/9I=")</f>
        <v>#VALUE!</v>
      </c>
      <c r="HD41">
        <f>IF('Double Dutch Single Freestyle'!79:79,"AAAAAGzb/9M=",0)</f>
        <v>0</v>
      </c>
      <c r="HE41" t="e">
        <f>AND('Double Dutch Single Freestyle'!A79,"AAAAAGzb/9Q=")</f>
        <v>#VALUE!</v>
      </c>
      <c r="HF41" t="e">
        <f>AND('Double Dutch Single Freestyle'!B79,"AAAAAGzb/9U=")</f>
        <v>#VALUE!</v>
      </c>
      <c r="HG41" t="e">
        <f>AND('Double Dutch Single Freestyle'!C79,"AAAAAGzb/9Y=")</f>
        <v>#VALUE!</v>
      </c>
      <c r="HH41" t="e">
        <f>AND('Double Dutch Single Freestyle'!D79,"AAAAAGzb/9c=")</f>
        <v>#VALUE!</v>
      </c>
      <c r="HI41" t="e">
        <f>AND('Double Dutch Single Freestyle'!E79,"AAAAAGzb/9g=")</f>
        <v>#VALUE!</v>
      </c>
      <c r="HJ41" t="e">
        <f>AND('Double Dutch Single Freestyle'!F79,"AAAAAGzb/9k=")</f>
        <v>#VALUE!</v>
      </c>
      <c r="HK41" t="e">
        <f>AND('Double Dutch Single Freestyle'!G79,"AAAAAGzb/9o=")</f>
        <v>#VALUE!</v>
      </c>
      <c r="HL41" t="e">
        <f>AND('Double Dutch Single Freestyle'!H79,"AAAAAGzb/9s=")</f>
        <v>#VALUE!</v>
      </c>
      <c r="HM41" t="e">
        <f>AND('Double Dutch Single Freestyle'!I79,"AAAAAGzb/9w=")</f>
        <v>#VALUE!</v>
      </c>
      <c r="HN41">
        <f>IF('Double Dutch Single Freestyle'!80:80,"AAAAAGzb/90=",0)</f>
        <v>0</v>
      </c>
      <c r="HO41" t="e">
        <f>AND('Double Dutch Single Freestyle'!A80,"AAAAAGzb/94=")</f>
        <v>#VALUE!</v>
      </c>
      <c r="HP41" t="e">
        <f>AND('Double Dutch Single Freestyle'!B80,"AAAAAGzb/98=")</f>
        <v>#VALUE!</v>
      </c>
      <c r="HQ41" t="e">
        <f>AND('Double Dutch Single Freestyle'!C80,"AAAAAGzb/+A=")</f>
        <v>#VALUE!</v>
      </c>
      <c r="HR41" t="e">
        <f>AND('Double Dutch Single Freestyle'!D80,"AAAAAGzb/+E=")</f>
        <v>#VALUE!</v>
      </c>
      <c r="HS41" t="e">
        <f>AND('Double Dutch Single Freestyle'!E80,"AAAAAGzb/+I=")</f>
        <v>#VALUE!</v>
      </c>
      <c r="HT41" t="e">
        <f>AND('Double Dutch Single Freestyle'!F80,"AAAAAGzb/+M=")</f>
        <v>#VALUE!</v>
      </c>
      <c r="HU41" t="e">
        <f>AND('Double Dutch Single Freestyle'!G80,"AAAAAGzb/+Q=")</f>
        <v>#VALUE!</v>
      </c>
      <c r="HV41" t="e">
        <f>AND('Double Dutch Single Freestyle'!H80,"AAAAAGzb/+U=")</f>
        <v>#VALUE!</v>
      </c>
      <c r="HW41" t="e">
        <f>AND('Double Dutch Single Freestyle'!I80,"AAAAAGzb/+Y=")</f>
        <v>#VALUE!</v>
      </c>
      <c r="HX41">
        <f>IF('Double Dutch Single Freestyle'!81:81,"AAAAAGzb/+c=",0)</f>
        <v>0</v>
      </c>
      <c r="HY41" t="e">
        <f>AND('Double Dutch Single Freestyle'!A81,"AAAAAGzb/+g=")</f>
        <v>#VALUE!</v>
      </c>
      <c r="HZ41" t="e">
        <f>AND('Double Dutch Single Freestyle'!B81,"AAAAAGzb/+k=")</f>
        <v>#VALUE!</v>
      </c>
      <c r="IA41" t="e">
        <f>AND('Double Dutch Single Freestyle'!C81,"AAAAAGzb/+o=")</f>
        <v>#VALUE!</v>
      </c>
      <c r="IB41" t="e">
        <f>AND('Double Dutch Single Freestyle'!D81,"AAAAAGzb/+s=")</f>
        <v>#VALUE!</v>
      </c>
      <c r="IC41" t="e">
        <f>AND('Double Dutch Single Freestyle'!E81,"AAAAAGzb/+w=")</f>
        <v>#VALUE!</v>
      </c>
      <c r="ID41" t="e">
        <f>AND('Double Dutch Single Freestyle'!F81,"AAAAAGzb/+0=")</f>
        <v>#VALUE!</v>
      </c>
      <c r="IE41" t="e">
        <f>AND('Double Dutch Single Freestyle'!G81,"AAAAAGzb/+4=")</f>
        <v>#VALUE!</v>
      </c>
      <c r="IF41" t="e">
        <f>AND('Double Dutch Single Freestyle'!H81,"AAAAAGzb/+8=")</f>
        <v>#VALUE!</v>
      </c>
      <c r="IG41" t="e">
        <f>AND('Double Dutch Single Freestyle'!I81,"AAAAAGzb//A=")</f>
        <v>#VALUE!</v>
      </c>
      <c r="IH41">
        <f>IF('Double Dutch Single Freestyle'!82:82,"AAAAAGzb//E=",0)</f>
        <v>0</v>
      </c>
      <c r="II41" t="e">
        <f>AND('Double Dutch Single Freestyle'!A82,"AAAAAGzb//I=")</f>
        <v>#VALUE!</v>
      </c>
      <c r="IJ41" t="e">
        <f>AND('Double Dutch Single Freestyle'!B82,"AAAAAGzb//M=")</f>
        <v>#VALUE!</v>
      </c>
      <c r="IK41" t="e">
        <f>AND('Double Dutch Single Freestyle'!C82,"AAAAAGzb//Q=")</f>
        <v>#VALUE!</v>
      </c>
      <c r="IL41" t="e">
        <f>AND('Double Dutch Single Freestyle'!D82,"AAAAAGzb//U=")</f>
        <v>#VALUE!</v>
      </c>
      <c r="IM41" t="e">
        <f>AND('Double Dutch Single Freestyle'!E82,"AAAAAGzb//Y=")</f>
        <v>#VALUE!</v>
      </c>
      <c r="IN41" t="e">
        <f>AND('Double Dutch Single Freestyle'!F82,"AAAAAGzb//c=")</f>
        <v>#VALUE!</v>
      </c>
      <c r="IO41" t="e">
        <f>AND('Double Dutch Single Freestyle'!G82,"AAAAAGzb//g=")</f>
        <v>#VALUE!</v>
      </c>
      <c r="IP41" t="e">
        <f>AND('Double Dutch Single Freestyle'!H82,"AAAAAGzb//k=")</f>
        <v>#VALUE!</v>
      </c>
      <c r="IQ41" t="e">
        <f>AND('Double Dutch Single Freestyle'!I82,"AAAAAGzb//o=")</f>
        <v>#VALUE!</v>
      </c>
      <c r="IR41">
        <f>IF('Double Dutch Single Freestyle'!83:83,"AAAAAGzb//s=",0)</f>
        <v>0</v>
      </c>
      <c r="IS41" t="e">
        <f>AND('Double Dutch Single Freestyle'!A83,"AAAAAGzb//w=")</f>
        <v>#VALUE!</v>
      </c>
      <c r="IT41" t="e">
        <f>AND('Double Dutch Single Freestyle'!B83,"AAAAAGzb//0=")</f>
        <v>#VALUE!</v>
      </c>
      <c r="IU41" t="e">
        <f>AND('Double Dutch Single Freestyle'!C83,"AAAAAGzb//4=")</f>
        <v>#VALUE!</v>
      </c>
      <c r="IV41" t="e">
        <f>AND('Double Dutch Single Freestyle'!D83,"AAAAAGzb//8=")</f>
        <v>#VALUE!</v>
      </c>
    </row>
    <row r="42" spans="1:256" x14ac:dyDescent="0.25">
      <c r="A42" t="e">
        <f>AND('Double Dutch Single Freestyle'!E83,"AAAAAG67vQA=")</f>
        <v>#VALUE!</v>
      </c>
      <c r="B42" t="e">
        <f>AND('Double Dutch Single Freestyle'!F83,"AAAAAG67vQE=")</f>
        <v>#VALUE!</v>
      </c>
      <c r="C42" t="e">
        <f>AND('Double Dutch Single Freestyle'!G83,"AAAAAG67vQI=")</f>
        <v>#VALUE!</v>
      </c>
      <c r="D42" t="e">
        <f>AND('Double Dutch Single Freestyle'!H83,"AAAAAG67vQM=")</f>
        <v>#VALUE!</v>
      </c>
      <c r="E42" t="e">
        <f>AND('Double Dutch Single Freestyle'!I83,"AAAAAG67vQQ=")</f>
        <v>#VALUE!</v>
      </c>
      <c r="F42">
        <f>IF('Double Dutch Single Freestyle'!84:84,"AAAAAG67vQU=",0)</f>
        <v>0</v>
      </c>
      <c r="G42" t="e">
        <f>AND('Double Dutch Single Freestyle'!A84,"AAAAAG67vQY=")</f>
        <v>#VALUE!</v>
      </c>
      <c r="H42" t="e">
        <f>AND('Double Dutch Single Freestyle'!B84,"AAAAAG67vQc=")</f>
        <v>#VALUE!</v>
      </c>
      <c r="I42" t="e">
        <f>AND('Double Dutch Single Freestyle'!C84,"AAAAAG67vQg=")</f>
        <v>#VALUE!</v>
      </c>
      <c r="J42" t="e">
        <f>AND('Double Dutch Single Freestyle'!D84,"AAAAAG67vQk=")</f>
        <v>#VALUE!</v>
      </c>
      <c r="K42" t="e">
        <f>AND('Double Dutch Single Freestyle'!E84,"AAAAAG67vQo=")</f>
        <v>#VALUE!</v>
      </c>
      <c r="L42" t="e">
        <f>AND('Double Dutch Single Freestyle'!F84,"AAAAAG67vQs=")</f>
        <v>#VALUE!</v>
      </c>
      <c r="M42" t="e">
        <f>AND('Double Dutch Single Freestyle'!G84,"AAAAAG67vQw=")</f>
        <v>#VALUE!</v>
      </c>
      <c r="N42" t="e">
        <f>AND('Double Dutch Single Freestyle'!H84,"AAAAAG67vQ0=")</f>
        <v>#VALUE!</v>
      </c>
      <c r="O42" t="e">
        <f>AND('Double Dutch Single Freestyle'!I84,"AAAAAG67vQ4=")</f>
        <v>#VALUE!</v>
      </c>
      <c r="P42">
        <f>IF('Double Dutch Single Freestyle'!85:85,"AAAAAG67vQ8=",0)</f>
        <v>0</v>
      </c>
      <c r="Q42" t="e">
        <f>AND('Double Dutch Single Freestyle'!A85,"AAAAAG67vRA=")</f>
        <v>#VALUE!</v>
      </c>
      <c r="R42" t="e">
        <f>AND('Double Dutch Single Freestyle'!B85,"AAAAAG67vRE=")</f>
        <v>#VALUE!</v>
      </c>
      <c r="S42" t="e">
        <f>AND('Double Dutch Single Freestyle'!C85,"AAAAAG67vRI=")</f>
        <v>#VALUE!</v>
      </c>
      <c r="T42" t="e">
        <f>AND('Double Dutch Single Freestyle'!D85,"AAAAAG67vRM=")</f>
        <v>#VALUE!</v>
      </c>
      <c r="U42" t="e">
        <f>AND('Double Dutch Single Freestyle'!E85,"AAAAAG67vRQ=")</f>
        <v>#VALUE!</v>
      </c>
      <c r="V42" t="e">
        <f>AND('Double Dutch Single Freestyle'!F85,"AAAAAG67vRU=")</f>
        <v>#VALUE!</v>
      </c>
      <c r="W42" t="e">
        <f>AND('Double Dutch Single Freestyle'!G85,"AAAAAG67vRY=")</f>
        <v>#VALUE!</v>
      </c>
      <c r="X42" t="e">
        <f>AND('Double Dutch Single Freestyle'!H85,"AAAAAG67vRc=")</f>
        <v>#VALUE!</v>
      </c>
      <c r="Y42" t="e">
        <f>AND('Double Dutch Single Freestyle'!I85,"AAAAAG67vRg=")</f>
        <v>#VALUE!</v>
      </c>
      <c r="Z42">
        <f>IF('Double Dutch Single Freestyle'!86:86,"AAAAAG67vRk=",0)</f>
        <v>0</v>
      </c>
      <c r="AA42" t="e">
        <f>AND('Double Dutch Single Freestyle'!A86,"AAAAAG67vRo=")</f>
        <v>#VALUE!</v>
      </c>
      <c r="AB42" t="e">
        <f>AND('Double Dutch Single Freestyle'!B86,"AAAAAG67vRs=")</f>
        <v>#VALUE!</v>
      </c>
      <c r="AC42" t="e">
        <f>AND('Double Dutch Single Freestyle'!C86,"AAAAAG67vRw=")</f>
        <v>#VALUE!</v>
      </c>
      <c r="AD42" t="e">
        <f>AND('Double Dutch Single Freestyle'!D86,"AAAAAG67vR0=")</f>
        <v>#VALUE!</v>
      </c>
      <c r="AE42" t="e">
        <f>AND('Double Dutch Single Freestyle'!E86,"AAAAAG67vR4=")</f>
        <v>#VALUE!</v>
      </c>
      <c r="AF42" t="e">
        <f>AND('Double Dutch Single Freestyle'!F86,"AAAAAG67vR8=")</f>
        <v>#VALUE!</v>
      </c>
      <c r="AG42" t="e">
        <f>AND('Double Dutch Single Freestyle'!G86,"AAAAAG67vSA=")</f>
        <v>#VALUE!</v>
      </c>
      <c r="AH42" t="e">
        <f>AND('Double Dutch Single Freestyle'!H86,"AAAAAG67vSE=")</f>
        <v>#VALUE!</v>
      </c>
      <c r="AI42" t="e">
        <f>AND('Double Dutch Single Freestyle'!I86,"AAAAAG67vSI=")</f>
        <v>#VALUE!</v>
      </c>
      <c r="AJ42">
        <f>IF('Double Dutch Single Freestyle'!87:87,"AAAAAG67vSM=",0)</f>
        <v>0</v>
      </c>
      <c r="AK42" t="e">
        <f>AND('Double Dutch Single Freestyle'!A87,"AAAAAG67vSQ=")</f>
        <v>#VALUE!</v>
      </c>
      <c r="AL42" t="e">
        <f>AND('Double Dutch Single Freestyle'!B87,"AAAAAG67vSU=")</f>
        <v>#VALUE!</v>
      </c>
      <c r="AM42" t="e">
        <f>AND('Double Dutch Single Freestyle'!C87,"AAAAAG67vSY=")</f>
        <v>#VALUE!</v>
      </c>
      <c r="AN42" t="e">
        <f>AND('Double Dutch Single Freestyle'!D87,"AAAAAG67vSc=")</f>
        <v>#VALUE!</v>
      </c>
      <c r="AO42" t="e">
        <f>AND('Double Dutch Single Freestyle'!E87,"AAAAAG67vSg=")</f>
        <v>#VALUE!</v>
      </c>
      <c r="AP42" t="e">
        <f>AND('Double Dutch Single Freestyle'!F87,"AAAAAG67vSk=")</f>
        <v>#VALUE!</v>
      </c>
      <c r="AQ42" t="e">
        <f>AND('Double Dutch Single Freestyle'!G87,"AAAAAG67vSo=")</f>
        <v>#VALUE!</v>
      </c>
      <c r="AR42" t="e">
        <f>AND('Double Dutch Single Freestyle'!H87,"AAAAAG67vSs=")</f>
        <v>#VALUE!</v>
      </c>
      <c r="AS42" t="e">
        <f>AND('Double Dutch Single Freestyle'!I87,"AAAAAG67vSw=")</f>
        <v>#VALUE!</v>
      </c>
      <c r="AT42">
        <f>IF('Double Dutch Single Freestyle'!88:88,"AAAAAG67vS0=",0)</f>
        <v>0</v>
      </c>
      <c r="AU42" t="e">
        <f>AND('Double Dutch Single Freestyle'!A88,"AAAAAG67vS4=")</f>
        <v>#VALUE!</v>
      </c>
      <c r="AV42" t="e">
        <f>AND('Double Dutch Single Freestyle'!B88,"AAAAAG67vS8=")</f>
        <v>#VALUE!</v>
      </c>
      <c r="AW42" t="e">
        <f>AND('Double Dutch Single Freestyle'!C88,"AAAAAG67vTA=")</f>
        <v>#VALUE!</v>
      </c>
      <c r="AX42" t="e">
        <f>AND('Double Dutch Single Freestyle'!D88,"AAAAAG67vTE=")</f>
        <v>#VALUE!</v>
      </c>
      <c r="AY42" t="e">
        <f>AND('Double Dutch Single Freestyle'!E88,"AAAAAG67vTI=")</f>
        <v>#VALUE!</v>
      </c>
      <c r="AZ42" t="e">
        <f>AND('Double Dutch Single Freestyle'!F88,"AAAAAG67vTM=")</f>
        <v>#VALUE!</v>
      </c>
      <c r="BA42" t="e">
        <f>AND('Double Dutch Single Freestyle'!G88,"AAAAAG67vTQ=")</f>
        <v>#VALUE!</v>
      </c>
      <c r="BB42" t="e">
        <f>AND('Double Dutch Single Freestyle'!H88,"AAAAAG67vTU=")</f>
        <v>#VALUE!</v>
      </c>
      <c r="BC42" t="e">
        <f>AND('Double Dutch Single Freestyle'!I88,"AAAAAG67vTY=")</f>
        <v>#VALUE!</v>
      </c>
      <c r="BD42">
        <f>IF('Double Dutch Single Freestyle'!89:89,"AAAAAG67vTc=",0)</f>
        <v>0</v>
      </c>
      <c r="BE42" t="e">
        <f>AND('Double Dutch Single Freestyle'!A89,"AAAAAG67vTg=")</f>
        <v>#VALUE!</v>
      </c>
      <c r="BF42" t="e">
        <f>AND('Double Dutch Single Freestyle'!B89,"AAAAAG67vTk=")</f>
        <v>#VALUE!</v>
      </c>
      <c r="BG42" t="e">
        <f>AND('Double Dutch Single Freestyle'!C89,"AAAAAG67vTo=")</f>
        <v>#VALUE!</v>
      </c>
      <c r="BH42" t="e">
        <f>AND('Double Dutch Single Freestyle'!D89,"AAAAAG67vTs=")</f>
        <v>#VALUE!</v>
      </c>
      <c r="BI42" t="e">
        <f>AND('Double Dutch Single Freestyle'!E89,"AAAAAG67vTw=")</f>
        <v>#VALUE!</v>
      </c>
      <c r="BJ42" t="e">
        <f>AND('Double Dutch Single Freestyle'!F89,"AAAAAG67vT0=")</f>
        <v>#VALUE!</v>
      </c>
      <c r="BK42" t="e">
        <f>AND('Double Dutch Single Freestyle'!G89,"AAAAAG67vT4=")</f>
        <v>#VALUE!</v>
      </c>
      <c r="BL42" t="e">
        <f>AND('Double Dutch Single Freestyle'!H89,"AAAAAG67vT8=")</f>
        <v>#VALUE!</v>
      </c>
      <c r="BM42" t="e">
        <f>AND('Double Dutch Single Freestyle'!I89,"AAAAAG67vUA=")</f>
        <v>#VALUE!</v>
      </c>
      <c r="BN42">
        <f>IF('Double Dutch Single Freestyle'!90:90,"AAAAAG67vUE=",0)</f>
        <v>0</v>
      </c>
      <c r="BO42" t="e">
        <f>AND('Double Dutch Single Freestyle'!A90,"AAAAAG67vUI=")</f>
        <v>#VALUE!</v>
      </c>
      <c r="BP42" t="e">
        <f>AND('Double Dutch Single Freestyle'!B90,"AAAAAG67vUM=")</f>
        <v>#VALUE!</v>
      </c>
      <c r="BQ42" t="e">
        <f>AND('Double Dutch Single Freestyle'!C90,"AAAAAG67vUQ=")</f>
        <v>#VALUE!</v>
      </c>
      <c r="BR42" t="e">
        <f>AND('Double Dutch Single Freestyle'!D90,"AAAAAG67vUU=")</f>
        <v>#VALUE!</v>
      </c>
      <c r="BS42" t="e">
        <f>AND('Double Dutch Single Freestyle'!E90,"AAAAAG67vUY=")</f>
        <v>#VALUE!</v>
      </c>
      <c r="BT42" t="e">
        <f>AND('Double Dutch Single Freestyle'!F90,"AAAAAG67vUc=")</f>
        <v>#VALUE!</v>
      </c>
      <c r="BU42" t="e">
        <f>AND('Double Dutch Single Freestyle'!G90,"AAAAAG67vUg=")</f>
        <v>#VALUE!</v>
      </c>
      <c r="BV42" t="e">
        <f>AND('Double Dutch Single Freestyle'!H90,"AAAAAG67vUk=")</f>
        <v>#VALUE!</v>
      </c>
      <c r="BW42" t="e">
        <f>AND('Double Dutch Single Freestyle'!I90,"AAAAAG67vUo=")</f>
        <v>#VALUE!</v>
      </c>
      <c r="BX42">
        <f>IF('Double Dutch Single Freestyle'!91:91,"AAAAAG67vUs=",0)</f>
        <v>0</v>
      </c>
      <c r="BY42" t="e">
        <f>AND('Double Dutch Single Freestyle'!A91,"AAAAAG67vUw=")</f>
        <v>#VALUE!</v>
      </c>
      <c r="BZ42" t="e">
        <f>AND('Double Dutch Single Freestyle'!B91,"AAAAAG67vU0=")</f>
        <v>#VALUE!</v>
      </c>
      <c r="CA42" t="e">
        <f>AND('Double Dutch Single Freestyle'!C91,"AAAAAG67vU4=")</f>
        <v>#VALUE!</v>
      </c>
      <c r="CB42" t="e">
        <f>AND('Double Dutch Single Freestyle'!D91,"AAAAAG67vU8=")</f>
        <v>#VALUE!</v>
      </c>
      <c r="CC42" t="e">
        <f>AND('Double Dutch Single Freestyle'!E91,"AAAAAG67vVA=")</f>
        <v>#VALUE!</v>
      </c>
      <c r="CD42" t="e">
        <f>AND('Double Dutch Single Freestyle'!F91,"AAAAAG67vVE=")</f>
        <v>#VALUE!</v>
      </c>
      <c r="CE42" t="e">
        <f>AND('Double Dutch Single Freestyle'!G91,"AAAAAG67vVI=")</f>
        <v>#VALUE!</v>
      </c>
      <c r="CF42" t="e">
        <f>AND('Double Dutch Single Freestyle'!H91,"AAAAAG67vVM=")</f>
        <v>#VALUE!</v>
      </c>
      <c r="CG42" t="e">
        <f>AND('Double Dutch Single Freestyle'!I91,"AAAAAG67vVQ=")</f>
        <v>#VALUE!</v>
      </c>
      <c r="CH42">
        <f>IF('Double Dutch Single Freestyle'!92:92,"AAAAAG67vVU=",0)</f>
        <v>0</v>
      </c>
      <c r="CI42" t="e">
        <f>AND('Double Dutch Single Freestyle'!A92,"AAAAAG67vVY=")</f>
        <v>#VALUE!</v>
      </c>
      <c r="CJ42" t="e">
        <f>AND('Double Dutch Single Freestyle'!B92,"AAAAAG67vVc=")</f>
        <v>#VALUE!</v>
      </c>
      <c r="CK42" t="e">
        <f>AND('Double Dutch Single Freestyle'!C92,"AAAAAG67vVg=")</f>
        <v>#VALUE!</v>
      </c>
      <c r="CL42" t="e">
        <f>AND('Double Dutch Single Freestyle'!D92,"AAAAAG67vVk=")</f>
        <v>#VALUE!</v>
      </c>
      <c r="CM42" t="e">
        <f>AND('Double Dutch Single Freestyle'!E92,"AAAAAG67vVo=")</f>
        <v>#VALUE!</v>
      </c>
      <c r="CN42" t="e">
        <f>AND('Double Dutch Single Freestyle'!F92,"AAAAAG67vVs=")</f>
        <v>#VALUE!</v>
      </c>
      <c r="CO42" t="e">
        <f>AND('Double Dutch Single Freestyle'!G92,"AAAAAG67vVw=")</f>
        <v>#VALUE!</v>
      </c>
      <c r="CP42" t="e">
        <f>AND('Double Dutch Single Freestyle'!H92,"AAAAAG67vV0=")</f>
        <v>#VALUE!</v>
      </c>
      <c r="CQ42" t="e">
        <f>AND('Double Dutch Single Freestyle'!I92,"AAAAAG67vV4=")</f>
        <v>#VALUE!</v>
      </c>
      <c r="CR42">
        <f>IF('Double Dutch Single Freestyle'!93:93,"AAAAAG67vV8=",0)</f>
        <v>0</v>
      </c>
      <c r="CS42" t="e">
        <f>AND('Double Dutch Single Freestyle'!A93,"AAAAAG67vWA=")</f>
        <v>#VALUE!</v>
      </c>
      <c r="CT42" t="e">
        <f>AND('Double Dutch Single Freestyle'!B93,"AAAAAG67vWE=")</f>
        <v>#VALUE!</v>
      </c>
      <c r="CU42" t="e">
        <f>AND('Double Dutch Single Freestyle'!C93,"AAAAAG67vWI=")</f>
        <v>#VALUE!</v>
      </c>
      <c r="CV42" t="e">
        <f>AND('Double Dutch Single Freestyle'!D93,"AAAAAG67vWM=")</f>
        <v>#VALUE!</v>
      </c>
      <c r="CW42" t="e">
        <f>AND('Double Dutch Single Freestyle'!E93,"AAAAAG67vWQ=")</f>
        <v>#VALUE!</v>
      </c>
      <c r="CX42" t="e">
        <f>AND('Double Dutch Single Freestyle'!F93,"AAAAAG67vWU=")</f>
        <v>#VALUE!</v>
      </c>
      <c r="CY42" t="e">
        <f>AND('Double Dutch Single Freestyle'!G93,"AAAAAG67vWY=")</f>
        <v>#VALUE!</v>
      </c>
      <c r="CZ42" t="e">
        <f>AND('Double Dutch Single Freestyle'!H93,"AAAAAG67vWc=")</f>
        <v>#VALUE!</v>
      </c>
      <c r="DA42" t="e">
        <f>AND('Double Dutch Single Freestyle'!I93,"AAAAAG67vWg=")</f>
        <v>#VALUE!</v>
      </c>
      <c r="DB42">
        <f>IF('Double Dutch Single Freestyle'!94:94,"AAAAAG67vWk=",0)</f>
        <v>0</v>
      </c>
      <c r="DC42" t="e">
        <f>AND('Double Dutch Single Freestyle'!A94,"AAAAAG67vWo=")</f>
        <v>#VALUE!</v>
      </c>
      <c r="DD42" t="e">
        <f>AND('Double Dutch Single Freestyle'!B94,"AAAAAG67vWs=")</f>
        <v>#VALUE!</v>
      </c>
      <c r="DE42" t="e">
        <f>AND('Double Dutch Single Freestyle'!C94,"AAAAAG67vWw=")</f>
        <v>#VALUE!</v>
      </c>
      <c r="DF42" t="e">
        <f>AND('Double Dutch Single Freestyle'!D94,"AAAAAG67vW0=")</f>
        <v>#VALUE!</v>
      </c>
      <c r="DG42" t="e">
        <f>AND('Double Dutch Single Freestyle'!E94,"AAAAAG67vW4=")</f>
        <v>#VALUE!</v>
      </c>
      <c r="DH42" t="e">
        <f>AND('Double Dutch Single Freestyle'!F94,"AAAAAG67vW8=")</f>
        <v>#VALUE!</v>
      </c>
      <c r="DI42" t="e">
        <f>AND('Double Dutch Single Freestyle'!G94,"AAAAAG67vXA=")</f>
        <v>#VALUE!</v>
      </c>
      <c r="DJ42" t="e">
        <f>AND('Double Dutch Single Freestyle'!H94,"AAAAAG67vXE=")</f>
        <v>#VALUE!</v>
      </c>
      <c r="DK42" t="e">
        <f>AND('Double Dutch Single Freestyle'!I94,"AAAAAG67vXI=")</f>
        <v>#VALUE!</v>
      </c>
      <c r="DL42">
        <f>IF('Double Dutch Single Freestyle'!95:95,"AAAAAG67vXM=",0)</f>
        <v>0</v>
      </c>
      <c r="DM42" t="e">
        <f>AND('Double Dutch Single Freestyle'!A95,"AAAAAG67vXQ=")</f>
        <v>#VALUE!</v>
      </c>
      <c r="DN42" t="e">
        <f>AND('Double Dutch Single Freestyle'!B95,"AAAAAG67vXU=")</f>
        <v>#VALUE!</v>
      </c>
      <c r="DO42" t="e">
        <f>AND('Double Dutch Single Freestyle'!C95,"AAAAAG67vXY=")</f>
        <v>#VALUE!</v>
      </c>
      <c r="DP42" t="e">
        <f>AND('Double Dutch Single Freestyle'!D95,"AAAAAG67vXc=")</f>
        <v>#VALUE!</v>
      </c>
      <c r="DQ42" t="e">
        <f>AND('Double Dutch Single Freestyle'!E95,"AAAAAG67vXg=")</f>
        <v>#VALUE!</v>
      </c>
      <c r="DR42" t="e">
        <f>AND('Double Dutch Single Freestyle'!F95,"AAAAAG67vXk=")</f>
        <v>#VALUE!</v>
      </c>
      <c r="DS42" t="e">
        <f>AND('Double Dutch Single Freestyle'!G95,"AAAAAG67vXo=")</f>
        <v>#VALUE!</v>
      </c>
      <c r="DT42" t="e">
        <f>AND('Double Dutch Single Freestyle'!H95,"AAAAAG67vXs=")</f>
        <v>#VALUE!</v>
      </c>
      <c r="DU42" t="e">
        <f>AND('Double Dutch Single Freestyle'!I95,"AAAAAG67vXw=")</f>
        <v>#VALUE!</v>
      </c>
      <c r="DV42">
        <f>IF('Double Dutch Single Freestyle'!96:96,"AAAAAG67vX0=",0)</f>
        <v>0</v>
      </c>
      <c r="DW42" t="e">
        <f>AND('Double Dutch Single Freestyle'!A96,"AAAAAG67vX4=")</f>
        <v>#VALUE!</v>
      </c>
      <c r="DX42" t="e">
        <f>AND('Double Dutch Single Freestyle'!B96,"AAAAAG67vX8=")</f>
        <v>#VALUE!</v>
      </c>
      <c r="DY42" t="e">
        <f>AND('Double Dutch Single Freestyle'!C96,"AAAAAG67vYA=")</f>
        <v>#VALUE!</v>
      </c>
      <c r="DZ42" t="e">
        <f>AND('Double Dutch Single Freestyle'!D96,"AAAAAG67vYE=")</f>
        <v>#VALUE!</v>
      </c>
      <c r="EA42" t="e">
        <f>AND('Double Dutch Single Freestyle'!E96,"AAAAAG67vYI=")</f>
        <v>#VALUE!</v>
      </c>
      <c r="EB42" t="e">
        <f>AND('Double Dutch Single Freestyle'!F96,"AAAAAG67vYM=")</f>
        <v>#VALUE!</v>
      </c>
      <c r="EC42" t="e">
        <f>AND('Double Dutch Single Freestyle'!G96,"AAAAAG67vYQ=")</f>
        <v>#VALUE!</v>
      </c>
      <c r="ED42" t="e">
        <f>AND('Double Dutch Single Freestyle'!H96,"AAAAAG67vYU=")</f>
        <v>#VALUE!</v>
      </c>
      <c r="EE42" t="e">
        <f>AND('Double Dutch Single Freestyle'!I96,"AAAAAG67vYY=")</f>
        <v>#VALUE!</v>
      </c>
      <c r="EF42">
        <f>IF('Double Dutch Single Freestyle'!97:97,"AAAAAG67vYc=",0)</f>
        <v>0</v>
      </c>
      <c r="EG42" t="e">
        <f>AND('Double Dutch Single Freestyle'!A97,"AAAAAG67vYg=")</f>
        <v>#VALUE!</v>
      </c>
      <c r="EH42" t="e">
        <f>AND('Double Dutch Single Freestyle'!B97,"AAAAAG67vYk=")</f>
        <v>#VALUE!</v>
      </c>
      <c r="EI42" t="e">
        <f>AND('Double Dutch Single Freestyle'!C97,"AAAAAG67vYo=")</f>
        <v>#VALUE!</v>
      </c>
      <c r="EJ42" t="e">
        <f>AND('Double Dutch Single Freestyle'!D97,"AAAAAG67vYs=")</f>
        <v>#VALUE!</v>
      </c>
      <c r="EK42" t="e">
        <f>AND('Double Dutch Single Freestyle'!E97,"AAAAAG67vYw=")</f>
        <v>#VALUE!</v>
      </c>
      <c r="EL42" t="e">
        <f>AND('Double Dutch Single Freestyle'!F97,"AAAAAG67vY0=")</f>
        <v>#VALUE!</v>
      </c>
      <c r="EM42" t="e">
        <f>AND('Double Dutch Single Freestyle'!G97,"AAAAAG67vY4=")</f>
        <v>#VALUE!</v>
      </c>
      <c r="EN42" t="e">
        <f>AND('Double Dutch Single Freestyle'!H97,"AAAAAG67vY8=")</f>
        <v>#VALUE!</v>
      </c>
      <c r="EO42" t="e">
        <f>AND('Double Dutch Single Freestyle'!I97,"AAAAAG67vZA=")</f>
        <v>#VALUE!</v>
      </c>
      <c r="EP42">
        <f>IF('Double Dutch Single Freestyle'!98:98,"AAAAAG67vZE=",0)</f>
        <v>0</v>
      </c>
      <c r="EQ42" t="e">
        <f>AND('Double Dutch Single Freestyle'!A98,"AAAAAG67vZI=")</f>
        <v>#VALUE!</v>
      </c>
      <c r="ER42" t="e">
        <f>AND('Double Dutch Single Freestyle'!B98,"AAAAAG67vZM=")</f>
        <v>#VALUE!</v>
      </c>
      <c r="ES42" t="e">
        <f>AND('Double Dutch Single Freestyle'!C98,"AAAAAG67vZQ=")</f>
        <v>#VALUE!</v>
      </c>
      <c r="ET42" t="e">
        <f>AND('Double Dutch Single Freestyle'!D98,"AAAAAG67vZU=")</f>
        <v>#VALUE!</v>
      </c>
      <c r="EU42" t="e">
        <f>AND('Double Dutch Single Freestyle'!E98,"AAAAAG67vZY=")</f>
        <v>#VALUE!</v>
      </c>
      <c r="EV42" t="e">
        <f>AND('Double Dutch Single Freestyle'!F98,"AAAAAG67vZc=")</f>
        <v>#VALUE!</v>
      </c>
      <c r="EW42" t="e">
        <f>AND('Double Dutch Single Freestyle'!G98,"AAAAAG67vZg=")</f>
        <v>#VALUE!</v>
      </c>
      <c r="EX42" t="e">
        <f>AND('Double Dutch Single Freestyle'!H98,"AAAAAG67vZk=")</f>
        <v>#VALUE!</v>
      </c>
      <c r="EY42" t="e">
        <f>AND('Double Dutch Single Freestyle'!I98,"AAAAAG67vZo=")</f>
        <v>#VALUE!</v>
      </c>
      <c r="EZ42">
        <f>IF('Double Dutch Single Freestyle'!99:99,"AAAAAG67vZs=",0)</f>
        <v>0</v>
      </c>
      <c r="FA42" t="e">
        <f>AND('Double Dutch Single Freestyle'!A99,"AAAAAG67vZw=")</f>
        <v>#VALUE!</v>
      </c>
      <c r="FB42" t="e">
        <f>AND('Double Dutch Single Freestyle'!B99,"AAAAAG67vZ0=")</f>
        <v>#VALUE!</v>
      </c>
      <c r="FC42" t="e">
        <f>AND('Double Dutch Single Freestyle'!C99,"AAAAAG67vZ4=")</f>
        <v>#VALUE!</v>
      </c>
      <c r="FD42" t="e">
        <f>AND('Double Dutch Single Freestyle'!D99,"AAAAAG67vZ8=")</f>
        <v>#VALUE!</v>
      </c>
      <c r="FE42" t="e">
        <f>AND('Double Dutch Single Freestyle'!E99,"AAAAAG67vaA=")</f>
        <v>#VALUE!</v>
      </c>
      <c r="FF42" t="e">
        <f>AND('Double Dutch Single Freestyle'!F99,"AAAAAG67vaE=")</f>
        <v>#VALUE!</v>
      </c>
      <c r="FG42" t="e">
        <f>AND('Double Dutch Single Freestyle'!G99,"AAAAAG67vaI=")</f>
        <v>#VALUE!</v>
      </c>
      <c r="FH42" t="e">
        <f>AND('Double Dutch Single Freestyle'!H99,"AAAAAG67vaM=")</f>
        <v>#VALUE!</v>
      </c>
      <c r="FI42" t="e">
        <f>AND('Double Dutch Single Freestyle'!I99,"AAAAAG67vaQ=")</f>
        <v>#VALUE!</v>
      </c>
      <c r="FJ42">
        <f>IF('Double Dutch Single Freestyle'!100:100,"AAAAAG67vaU=",0)</f>
        <v>0</v>
      </c>
      <c r="FK42" t="e">
        <f>AND('Double Dutch Single Freestyle'!A100,"AAAAAG67vaY=")</f>
        <v>#VALUE!</v>
      </c>
      <c r="FL42" t="e">
        <f>AND('Double Dutch Single Freestyle'!B100,"AAAAAG67vac=")</f>
        <v>#VALUE!</v>
      </c>
      <c r="FM42" t="e">
        <f>AND('Double Dutch Single Freestyle'!C100,"AAAAAG67vag=")</f>
        <v>#VALUE!</v>
      </c>
      <c r="FN42" t="e">
        <f>AND('Double Dutch Single Freestyle'!D100,"AAAAAG67vak=")</f>
        <v>#VALUE!</v>
      </c>
      <c r="FO42" t="e">
        <f>AND('Double Dutch Single Freestyle'!E100,"AAAAAG67vao=")</f>
        <v>#VALUE!</v>
      </c>
      <c r="FP42" t="e">
        <f>AND('Double Dutch Single Freestyle'!F100,"AAAAAG67vas=")</f>
        <v>#VALUE!</v>
      </c>
      <c r="FQ42" t="e">
        <f>AND('Double Dutch Single Freestyle'!G100,"AAAAAG67vaw=")</f>
        <v>#VALUE!</v>
      </c>
      <c r="FR42" t="e">
        <f>AND('Double Dutch Single Freestyle'!H100,"AAAAAG67va0=")</f>
        <v>#VALUE!</v>
      </c>
      <c r="FS42" t="e">
        <f>AND('Double Dutch Single Freestyle'!I100,"AAAAAG67va4=")</f>
        <v>#VALUE!</v>
      </c>
      <c r="FT42">
        <f>IF('Double Dutch Single Freestyle'!101:101,"AAAAAG67va8=",0)</f>
        <v>0</v>
      </c>
      <c r="FU42" t="e">
        <f>AND('Double Dutch Single Freestyle'!A101,"AAAAAG67vbA=")</f>
        <v>#VALUE!</v>
      </c>
      <c r="FV42" t="e">
        <f>AND('Double Dutch Single Freestyle'!B101,"AAAAAG67vbE=")</f>
        <v>#VALUE!</v>
      </c>
      <c r="FW42" t="e">
        <f>AND('Double Dutch Single Freestyle'!C101,"AAAAAG67vbI=")</f>
        <v>#VALUE!</v>
      </c>
      <c r="FX42" t="e">
        <f>AND('Double Dutch Single Freestyle'!D101,"AAAAAG67vbM=")</f>
        <v>#VALUE!</v>
      </c>
      <c r="FY42" t="e">
        <f>AND('Double Dutch Single Freestyle'!E101,"AAAAAG67vbQ=")</f>
        <v>#VALUE!</v>
      </c>
      <c r="FZ42" t="e">
        <f>AND('Double Dutch Single Freestyle'!F101,"AAAAAG67vbU=")</f>
        <v>#VALUE!</v>
      </c>
      <c r="GA42" t="e">
        <f>AND('Double Dutch Single Freestyle'!G101,"AAAAAG67vbY=")</f>
        <v>#VALUE!</v>
      </c>
      <c r="GB42" t="e">
        <f>AND('Double Dutch Single Freestyle'!H101,"AAAAAG67vbc=")</f>
        <v>#VALUE!</v>
      </c>
      <c r="GC42" t="e">
        <f>AND('Double Dutch Single Freestyle'!I101,"AAAAAG67vbg=")</f>
        <v>#VALUE!</v>
      </c>
      <c r="GD42">
        <f>IF('Double Dutch Single Freestyle'!102:102,"AAAAAG67vbk=",0)</f>
        <v>0</v>
      </c>
      <c r="GE42" t="e">
        <f>AND('Double Dutch Single Freestyle'!A102,"AAAAAG67vbo=")</f>
        <v>#VALUE!</v>
      </c>
      <c r="GF42" t="e">
        <f>AND('Double Dutch Single Freestyle'!B102,"AAAAAG67vbs=")</f>
        <v>#VALUE!</v>
      </c>
      <c r="GG42" t="e">
        <f>AND('Double Dutch Single Freestyle'!C102,"AAAAAG67vbw=")</f>
        <v>#VALUE!</v>
      </c>
      <c r="GH42" t="e">
        <f>AND('Double Dutch Single Freestyle'!D102,"AAAAAG67vb0=")</f>
        <v>#VALUE!</v>
      </c>
      <c r="GI42" t="e">
        <f>AND('Double Dutch Single Freestyle'!E102,"AAAAAG67vb4=")</f>
        <v>#VALUE!</v>
      </c>
      <c r="GJ42" t="e">
        <f>AND('Double Dutch Single Freestyle'!F102,"AAAAAG67vb8=")</f>
        <v>#VALUE!</v>
      </c>
      <c r="GK42" t="e">
        <f>AND('Double Dutch Single Freestyle'!G102,"AAAAAG67vcA=")</f>
        <v>#VALUE!</v>
      </c>
      <c r="GL42" t="e">
        <f>AND('Double Dutch Single Freestyle'!H102,"AAAAAG67vcE=")</f>
        <v>#VALUE!</v>
      </c>
      <c r="GM42" t="e">
        <f>AND('Double Dutch Single Freestyle'!I102,"AAAAAG67vcI=")</f>
        <v>#VALUE!</v>
      </c>
      <c r="GN42">
        <f>IF('Double Dutch Single Freestyle'!103:103,"AAAAAG67vcM=",0)</f>
        <v>0</v>
      </c>
      <c r="GO42" t="e">
        <f>AND('Double Dutch Single Freestyle'!A103,"AAAAAG67vcQ=")</f>
        <v>#VALUE!</v>
      </c>
      <c r="GP42" t="e">
        <f>AND('Double Dutch Single Freestyle'!B103,"AAAAAG67vcU=")</f>
        <v>#VALUE!</v>
      </c>
      <c r="GQ42" t="e">
        <f>AND('Double Dutch Single Freestyle'!C103,"AAAAAG67vcY=")</f>
        <v>#VALUE!</v>
      </c>
      <c r="GR42" t="e">
        <f>AND('Double Dutch Single Freestyle'!D103,"AAAAAG67vcc=")</f>
        <v>#VALUE!</v>
      </c>
      <c r="GS42" t="e">
        <f>AND('Double Dutch Single Freestyle'!E103,"AAAAAG67vcg=")</f>
        <v>#VALUE!</v>
      </c>
      <c r="GT42" t="e">
        <f>AND('Double Dutch Single Freestyle'!F103,"AAAAAG67vck=")</f>
        <v>#VALUE!</v>
      </c>
      <c r="GU42" t="e">
        <f>AND('Double Dutch Single Freestyle'!G103,"AAAAAG67vco=")</f>
        <v>#VALUE!</v>
      </c>
      <c r="GV42" t="e">
        <f>AND('Double Dutch Single Freestyle'!H103,"AAAAAG67vcs=")</f>
        <v>#VALUE!</v>
      </c>
      <c r="GW42" t="e">
        <f>AND('Double Dutch Single Freestyle'!I103,"AAAAAG67vcw=")</f>
        <v>#VALUE!</v>
      </c>
      <c r="GX42">
        <f>IF('Double Dutch Single Freestyle'!104:104,"AAAAAG67vc0=",0)</f>
        <v>0</v>
      </c>
      <c r="GY42" t="e">
        <f>AND('Double Dutch Single Freestyle'!A104,"AAAAAG67vc4=")</f>
        <v>#VALUE!</v>
      </c>
      <c r="GZ42" t="e">
        <f>AND('Double Dutch Single Freestyle'!B104,"AAAAAG67vc8=")</f>
        <v>#VALUE!</v>
      </c>
      <c r="HA42" t="e">
        <f>AND('Double Dutch Single Freestyle'!C104,"AAAAAG67vdA=")</f>
        <v>#VALUE!</v>
      </c>
      <c r="HB42" t="e">
        <f>AND('Double Dutch Single Freestyle'!D104,"AAAAAG67vdE=")</f>
        <v>#VALUE!</v>
      </c>
      <c r="HC42" t="e">
        <f>AND('Double Dutch Single Freestyle'!E104,"AAAAAG67vdI=")</f>
        <v>#VALUE!</v>
      </c>
      <c r="HD42" t="e">
        <f>AND('Double Dutch Single Freestyle'!F104,"AAAAAG67vdM=")</f>
        <v>#VALUE!</v>
      </c>
      <c r="HE42" t="e">
        <f>AND('Double Dutch Single Freestyle'!G104,"AAAAAG67vdQ=")</f>
        <v>#VALUE!</v>
      </c>
      <c r="HF42" t="e">
        <f>AND('Double Dutch Single Freestyle'!H104,"AAAAAG67vdU=")</f>
        <v>#VALUE!</v>
      </c>
      <c r="HG42" t="e">
        <f>AND('Double Dutch Single Freestyle'!I104,"AAAAAG67vdY=")</f>
        <v>#VALUE!</v>
      </c>
      <c r="HH42">
        <f>IF('Double Dutch Single Freestyle'!105:105,"AAAAAG67vdc=",0)</f>
        <v>0</v>
      </c>
      <c r="HI42" t="e">
        <f>AND('Double Dutch Single Freestyle'!A105,"AAAAAG67vdg=")</f>
        <v>#VALUE!</v>
      </c>
      <c r="HJ42" t="e">
        <f>AND('Double Dutch Single Freestyle'!B105,"AAAAAG67vdk=")</f>
        <v>#VALUE!</v>
      </c>
      <c r="HK42" t="e">
        <f>AND('Double Dutch Single Freestyle'!C105,"AAAAAG67vdo=")</f>
        <v>#VALUE!</v>
      </c>
      <c r="HL42" t="e">
        <f>AND('Double Dutch Single Freestyle'!D105,"AAAAAG67vds=")</f>
        <v>#VALUE!</v>
      </c>
      <c r="HM42" t="e">
        <f>AND('Double Dutch Single Freestyle'!E105,"AAAAAG67vdw=")</f>
        <v>#VALUE!</v>
      </c>
      <c r="HN42" t="e">
        <f>AND('Double Dutch Single Freestyle'!F105,"AAAAAG67vd0=")</f>
        <v>#VALUE!</v>
      </c>
      <c r="HO42" t="e">
        <f>AND('Double Dutch Single Freestyle'!G105,"AAAAAG67vd4=")</f>
        <v>#VALUE!</v>
      </c>
      <c r="HP42" t="e">
        <f>AND('Double Dutch Single Freestyle'!H105,"AAAAAG67vd8=")</f>
        <v>#VALUE!</v>
      </c>
      <c r="HQ42" t="e">
        <f>AND('Double Dutch Single Freestyle'!I105,"AAAAAG67veA=")</f>
        <v>#VALUE!</v>
      </c>
      <c r="HR42">
        <f>IF('Double Dutch Single Freestyle'!106:106,"AAAAAG67veE=",0)</f>
        <v>0</v>
      </c>
      <c r="HS42" t="e">
        <f>AND('Double Dutch Single Freestyle'!A106,"AAAAAG67veI=")</f>
        <v>#VALUE!</v>
      </c>
      <c r="HT42" t="e">
        <f>AND('Double Dutch Single Freestyle'!B106,"AAAAAG67veM=")</f>
        <v>#VALUE!</v>
      </c>
      <c r="HU42" t="e">
        <f>AND('Double Dutch Single Freestyle'!C106,"AAAAAG67veQ=")</f>
        <v>#VALUE!</v>
      </c>
      <c r="HV42" t="e">
        <f>AND('Double Dutch Single Freestyle'!D106,"AAAAAG67veU=")</f>
        <v>#VALUE!</v>
      </c>
      <c r="HW42" t="e">
        <f>AND('Double Dutch Single Freestyle'!E106,"AAAAAG67veY=")</f>
        <v>#VALUE!</v>
      </c>
      <c r="HX42" t="e">
        <f>AND('Double Dutch Single Freestyle'!F106,"AAAAAG67vec=")</f>
        <v>#VALUE!</v>
      </c>
      <c r="HY42" t="e">
        <f>AND('Double Dutch Single Freestyle'!G106,"AAAAAG67veg=")</f>
        <v>#VALUE!</v>
      </c>
      <c r="HZ42" t="e">
        <f>AND('Double Dutch Single Freestyle'!H106,"AAAAAG67vek=")</f>
        <v>#VALUE!</v>
      </c>
      <c r="IA42" t="e">
        <f>AND('Double Dutch Single Freestyle'!I106,"AAAAAG67veo=")</f>
        <v>#VALUE!</v>
      </c>
      <c r="IB42" t="str">
        <f>IF('Double Dutch Single Freestyle'!A:A,"AAAAAG67ves=",0)</f>
        <v>AAAAAG67ves=</v>
      </c>
      <c r="IC42" t="e">
        <f>IF('Double Dutch Single Freestyle'!B:B,"AAAAAG67vew=",0)</f>
        <v>#VALUE!</v>
      </c>
      <c r="ID42" t="e">
        <f>IF('Double Dutch Single Freestyle'!C:C,"AAAAAG67ve0=",0)</f>
        <v>#VALUE!</v>
      </c>
      <c r="IE42">
        <f>IF('Double Dutch Single Freestyle'!D:D,"AAAAAG67ve4=",0)</f>
        <v>0</v>
      </c>
      <c r="IF42" t="e">
        <f>IF('Double Dutch Single Freestyle'!E:E,"AAAAAG67ve8=",0)</f>
        <v>#VALUE!</v>
      </c>
      <c r="IG42">
        <f>IF('Double Dutch Single Freestyle'!F:F,"AAAAAG67vfA=",0)</f>
        <v>0</v>
      </c>
      <c r="IH42" t="e">
        <f>IF('Double Dutch Single Freestyle'!G:G,"AAAAAG67vfE=",0)</f>
        <v>#VALUE!</v>
      </c>
      <c r="II42">
        <f>IF('Double Dutch Single Freestyle'!H:H,"AAAAAG67vfI=",0)</f>
        <v>0</v>
      </c>
      <c r="IJ42" t="e">
        <f>IF('Double Dutch Single Freestyle'!I:I,"AAAAAG67vfM=",0)</f>
        <v>#VALUE!</v>
      </c>
      <c r="IK42">
        <f>IF('Double Dutch Pairs Freestyle'!1:1,"AAAAAG67vfQ=",0)</f>
        <v>0</v>
      </c>
      <c r="IL42" t="e">
        <f>AND('Double Dutch Pairs Freestyle'!A1,"AAAAAG67vfU=")</f>
        <v>#VALUE!</v>
      </c>
      <c r="IM42" t="e">
        <f>AND('Double Dutch Pairs Freestyle'!B1,"AAAAAG67vfY=")</f>
        <v>#VALUE!</v>
      </c>
      <c r="IN42" t="e">
        <f>AND('Double Dutch Pairs Freestyle'!C1,"AAAAAG67vfc=")</f>
        <v>#VALUE!</v>
      </c>
      <c r="IO42" t="e">
        <f>AND('Double Dutch Pairs Freestyle'!D1,"AAAAAG67vfg=")</f>
        <v>#VALUE!</v>
      </c>
      <c r="IP42" t="e">
        <f>AND('Double Dutch Pairs Freestyle'!E1,"AAAAAG67vfk=")</f>
        <v>#VALUE!</v>
      </c>
      <c r="IQ42" t="e">
        <f>AND('Double Dutch Pairs Freestyle'!F1,"AAAAAG67vfo=")</f>
        <v>#VALUE!</v>
      </c>
      <c r="IR42" t="e">
        <f>AND('Double Dutch Pairs Freestyle'!G1,"AAAAAG67vfs=")</f>
        <v>#VALUE!</v>
      </c>
      <c r="IS42" t="e">
        <f>AND('Double Dutch Pairs Freestyle'!H1,"AAAAAG67vfw=")</f>
        <v>#VALUE!</v>
      </c>
      <c r="IT42" t="e">
        <f>AND('Double Dutch Pairs Freestyle'!I1,"AAAAAG67vf0=")</f>
        <v>#VALUE!</v>
      </c>
      <c r="IU42" t="e">
        <f>AND('Double Dutch Pairs Freestyle'!J1,"AAAAAG67vf4=")</f>
        <v>#VALUE!</v>
      </c>
      <c r="IV42" t="e">
        <f>AND('Double Dutch Pairs Freestyle'!K1,"AAAAAG67vf8=")</f>
        <v>#VALUE!</v>
      </c>
    </row>
    <row r="43" spans="1:256" x14ac:dyDescent="0.25">
      <c r="A43" t="e">
        <f>IF('Double Dutch Pairs Freestyle'!2:2,"AAAAAH351wA=",0)</f>
        <v>#VALUE!</v>
      </c>
      <c r="B43" t="e">
        <f>AND('Double Dutch Pairs Freestyle'!A2,"AAAAAH351wE=")</f>
        <v>#VALUE!</v>
      </c>
      <c r="C43" t="e">
        <f>AND('Double Dutch Pairs Freestyle'!B2,"AAAAAH351wI=")</f>
        <v>#VALUE!</v>
      </c>
      <c r="D43" t="e">
        <f>AND('Double Dutch Pairs Freestyle'!C2,"AAAAAH351wM=")</f>
        <v>#VALUE!</v>
      </c>
      <c r="E43" t="e">
        <f>AND('Double Dutch Pairs Freestyle'!D2,"AAAAAH351wQ=")</f>
        <v>#VALUE!</v>
      </c>
      <c r="F43" t="e">
        <f>AND('Double Dutch Pairs Freestyle'!E2,"AAAAAH351wU=")</f>
        <v>#VALUE!</v>
      </c>
      <c r="G43" t="e">
        <f>AND('Double Dutch Pairs Freestyle'!F2,"AAAAAH351wY=")</f>
        <v>#VALUE!</v>
      </c>
      <c r="H43" t="e">
        <f>AND('Double Dutch Pairs Freestyle'!G2,"AAAAAH351wc=")</f>
        <v>#VALUE!</v>
      </c>
      <c r="I43" t="e">
        <f>AND('Double Dutch Pairs Freestyle'!H2,"AAAAAH351wg=")</f>
        <v>#VALUE!</v>
      </c>
      <c r="J43" t="e">
        <f>AND('Double Dutch Pairs Freestyle'!I2,"AAAAAH351wk=")</f>
        <v>#VALUE!</v>
      </c>
      <c r="K43" t="e">
        <f>AND('Double Dutch Pairs Freestyle'!J2,"AAAAAH351wo=")</f>
        <v>#VALUE!</v>
      </c>
      <c r="L43" t="e">
        <f>AND('Double Dutch Pairs Freestyle'!K2,"AAAAAH351ws=")</f>
        <v>#VALUE!</v>
      </c>
      <c r="M43">
        <f>IF('Double Dutch Pairs Freestyle'!3:3,"AAAAAH351ww=",0)</f>
        <v>0</v>
      </c>
      <c r="N43" t="e">
        <f>AND('Double Dutch Pairs Freestyle'!A3,"AAAAAH351w0=")</f>
        <v>#VALUE!</v>
      </c>
      <c r="O43" t="e">
        <f>AND('Double Dutch Pairs Freestyle'!B3,"AAAAAH351w4=")</f>
        <v>#VALUE!</v>
      </c>
      <c r="P43" t="e">
        <f>AND('Double Dutch Pairs Freestyle'!C3,"AAAAAH351w8=")</f>
        <v>#VALUE!</v>
      </c>
      <c r="Q43" t="e">
        <f>AND('Double Dutch Pairs Freestyle'!D3,"AAAAAH351xA=")</f>
        <v>#VALUE!</v>
      </c>
      <c r="R43" t="e">
        <f>AND('Double Dutch Pairs Freestyle'!E3,"AAAAAH351xE=")</f>
        <v>#VALUE!</v>
      </c>
      <c r="S43" t="e">
        <f>AND('Double Dutch Pairs Freestyle'!F3,"AAAAAH351xI=")</f>
        <v>#VALUE!</v>
      </c>
      <c r="T43" t="e">
        <f>AND('Double Dutch Pairs Freestyle'!G3,"AAAAAH351xM=")</f>
        <v>#VALUE!</v>
      </c>
      <c r="U43" t="e">
        <f>AND('Double Dutch Pairs Freestyle'!H3,"AAAAAH351xQ=")</f>
        <v>#VALUE!</v>
      </c>
      <c r="V43" t="e">
        <f>AND('Double Dutch Pairs Freestyle'!I3,"AAAAAH351xU=")</f>
        <v>#VALUE!</v>
      </c>
      <c r="W43" t="e">
        <f>AND('Double Dutch Pairs Freestyle'!J3,"AAAAAH351xY=")</f>
        <v>#VALUE!</v>
      </c>
      <c r="X43" t="e">
        <f>AND('Double Dutch Pairs Freestyle'!K3,"AAAAAH351xc=")</f>
        <v>#VALUE!</v>
      </c>
      <c r="Y43">
        <f>IF('Double Dutch Pairs Freestyle'!18:18,"AAAAAH351xg=",0)</f>
        <v>0</v>
      </c>
      <c r="Z43" t="e">
        <f>AND('Double Dutch Pairs Freestyle'!A18,"AAAAAH351xk=")</f>
        <v>#VALUE!</v>
      </c>
      <c r="AA43" t="e">
        <f>AND('Double Dutch Pairs Freestyle'!B18,"AAAAAH351xo=")</f>
        <v>#VALUE!</v>
      </c>
      <c r="AB43" t="e">
        <f>AND('Double Dutch Pairs Freestyle'!C18,"AAAAAH351xs=")</f>
        <v>#VALUE!</v>
      </c>
      <c r="AC43" t="e">
        <f>AND('Double Dutch Pairs Freestyle'!D18,"AAAAAH351xw=")</f>
        <v>#VALUE!</v>
      </c>
      <c r="AD43" t="e">
        <f>AND('Double Dutch Pairs Freestyle'!E18,"AAAAAH351x0=")</f>
        <v>#VALUE!</v>
      </c>
      <c r="AE43" t="e">
        <f>AND('Double Dutch Pairs Freestyle'!F18,"AAAAAH351x4=")</f>
        <v>#VALUE!</v>
      </c>
      <c r="AF43" t="e">
        <f>AND('Double Dutch Pairs Freestyle'!G18,"AAAAAH351x8=")</f>
        <v>#VALUE!</v>
      </c>
      <c r="AG43" t="e">
        <f>AND('Double Dutch Pairs Freestyle'!H18,"AAAAAH351yA=")</f>
        <v>#VALUE!</v>
      </c>
      <c r="AH43" t="e">
        <f>AND('Double Dutch Pairs Freestyle'!I18,"AAAAAH351yE=")</f>
        <v>#VALUE!</v>
      </c>
      <c r="AI43" t="e">
        <f>AND('Double Dutch Pairs Freestyle'!J18,"AAAAAH351yI=")</f>
        <v>#VALUE!</v>
      </c>
      <c r="AJ43" t="e">
        <f>AND('Double Dutch Pairs Freestyle'!K18,"AAAAAH351yM=")</f>
        <v>#VALUE!</v>
      </c>
      <c r="AK43">
        <f>IF('Double Dutch Pairs Freestyle'!19:19,"AAAAAH351yQ=",0)</f>
        <v>0</v>
      </c>
      <c r="AL43" t="e">
        <f>AND('Double Dutch Pairs Freestyle'!A19,"AAAAAH351yU=")</f>
        <v>#VALUE!</v>
      </c>
      <c r="AM43" t="e">
        <f>AND('Double Dutch Pairs Freestyle'!B19,"AAAAAH351yY=")</f>
        <v>#VALUE!</v>
      </c>
      <c r="AN43" t="e">
        <f>AND('Double Dutch Pairs Freestyle'!C19,"AAAAAH351yc=")</f>
        <v>#VALUE!</v>
      </c>
      <c r="AO43" t="e">
        <f>AND('Double Dutch Pairs Freestyle'!D19,"AAAAAH351yg=")</f>
        <v>#VALUE!</v>
      </c>
      <c r="AP43" t="e">
        <f>AND('Double Dutch Pairs Freestyle'!E19,"AAAAAH351yk=")</f>
        <v>#VALUE!</v>
      </c>
      <c r="AQ43" t="e">
        <f>AND('Double Dutch Pairs Freestyle'!F19,"AAAAAH351yo=")</f>
        <v>#VALUE!</v>
      </c>
      <c r="AR43" t="e">
        <f>AND('Double Dutch Pairs Freestyle'!G19,"AAAAAH351ys=")</f>
        <v>#VALUE!</v>
      </c>
      <c r="AS43" t="e">
        <f>AND('Double Dutch Pairs Freestyle'!H19,"AAAAAH351yw=")</f>
        <v>#VALUE!</v>
      </c>
      <c r="AT43" t="e">
        <f>AND('Double Dutch Pairs Freestyle'!I19,"AAAAAH351y0=")</f>
        <v>#VALUE!</v>
      </c>
      <c r="AU43" t="e">
        <f>AND('Double Dutch Pairs Freestyle'!J19,"AAAAAH351y4=")</f>
        <v>#VALUE!</v>
      </c>
      <c r="AV43" t="e">
        <f>AND('Double Dutch Pairs Freestyle'!K19,"AAAAAH351y8=")</f>
        <v>#VALUE!</v>
      </c>
      <c r="AW43">
        <f>IF('Double Dutch Pairs Freestyle'!20:20,"AAAAAH351zA=",0)</f>
        <v>0</v>
      </c>
      <c r="AX43" t="e">
        <f>AND('Double Dutch Pairs Freestyle'!A20,"AAAAAH351zE=")</f>
        <v>#VALUE!</v>
      </c>
      <c r="AY43" t="e">
        <f>AND('Double Dutch Pairs Freestyle'!B20,"AAAAAH351zI=")</f>
        <v>#VALUE!</v>
      </c>
      <c r="AZ43" t="e">
        <f>AND('Double Dutch Pairs Freestyle'!C20,"AAAAAH351zM=")</f>
        <v>#VALUE!</v>
      </c>
      <c r="BA43" t="e">
        <f>AND('Double Dutch Pairs Freestyle'!D20,"AAAAAH351zQ=")</f>
        <v>#VALUE!</v>
      </c>
      <c r="BB43" t="e">
        <f>AND('Double Dutch Pairs Freestyle'!E20,"AAAAAH351zU=")</f>
        <v>#VALUE!</v>
      </c>
      <c r="BC43" t="e">
        <f>AND('Double Dutch Pairs Freestyle'!F20,"AAAAAH351zY=")</f>
        <v>#VALUE!</v>
      </c>
      <c r="BD43" t="e">
        <f>AND('Double Dutch Pairs Freestyle'!G20,"AAAAAH351zc=")</f>
        <v>#VALUE!</v>
      </c>
      <c r="BE43" t="e">
        <f>AND('Double Dutch Pairs Freestyle'!H20,"AAAAAH351zg=")</f>
        <v>#VALUE!</v>
      </c>
      <c r="BF43" t="e">
        <f>AND('Double Dutch Pairs Freestyle'!I20,"AAAAAH351zk=")</f>
        <v>#VALUE!</v>
      </c>
      <c r="BG43" t="e">
        <f>AND('Double Dutch Pairs Freestyle'!J20,"AAAAAH351zo=")</f>
        <v>#VALUE!</v>
      </c>
      <c r="BH43" t="e">
        <f>AND('Double Dutch Pairs Freestyle'!K20,"AAAAAH351zs=")</f>
        <v>#VALUE!</v>
      </c>
      <c r="BI43">
        <f>IF('Double Dutch Pairs Freestyle'!21:21,"AAAAAH351zw=",0)</f>
        <v>0</v>
      </c>
      <c r="BJ43" t="e">
        <f>AND('Double Dutch Pairs Freestyle'!A21,"AAAAAH351z0=")</f>
        <v>#VALUE!</v>
      </c>
      <c r="BK43" t="e">
        <f>AND('Double Dutch Pairs Freestyle'!B21,"AAAAAH351z4=")</f>
        <v>#VALUE!</v>
      </c>
      <c r="BL43" t="e">
        <f>AND('Double Dutch Pairs Freestyle'!C21,"AAAAAH351z8=")</f>
        <v>#VALUE!</v>
      </c>
      <c r="BM43" t="e">
        <f>AND('Double Dutch Pairs Freestyle'!D21,"AAAAAH3510A=")</f>
        <v>#VALUE!</v>
      </c>
      <c r="BN43" t="e">
        <f>AND('Double Dutch Pairs Freestyle'!E21,"AAAAAH3510E=")</f>
        <v>#VALUE!</v>
      </c>
      <c r="BO43" t="e">
        <f>AND('Double Dutch Pairs Freestyle'!F21,"AAAAAH3510I=")</f>
        <v>#VALUE!</v>
      </c>
      <c r="BP43" t="e">
        <f>AND('Double Dutch Pairs Freestyle'!G21,"AAAAAH3510M=")</f>
        <v>#VALUE!</v>
      </c>
      <c r="BQ43" t="e">
        <f>AND('Double Dutch Pairs Freestyle'!H21,"AAAAAH3510Q=")</f>
        <v>#VALUE!</v>
      </c>
      <c r="BR43" t="e">
        <f>AND('Double Dutch Pairs Freestyle'!I21,"AAAAAH3510U=")</f>
        <v>#VALUE!</v>
      </c>
      <c r="BS43" t="e">
        <f>AND('Double Dutch Pairs Freestyle'!J21,"AAAAAH3510Y=")</f>
        <v>#VALUE!</v>
      </c>
      <c r="BT43" t="e">
        <f>AND('Double Dutch Pairs Freestyle'!K21,"AAAAAH3510c=")</f>
        <v>#VALUE!</v>
      </c>
      <c r="BU43">
        <f>IF('Double Dutch Pairs Freestyle'!22:22,"AAAAAH3510g=",0)</f>
        <v>0</v>
      </c>
      <c r="BV43" t="e">
        <f>AND('Double Dutch Pairs Freestyle'!A22,"AAAAAH3510k=")</f>
        <v>#VALUE!</v>
      </c>
      <c r="BW43" t="e">
        <f>AND('Double Dutch Pairs Freestyle'!B22,"AAAAAH3510o=")</f>
        <v>#VALUE!</v>
      </c>
      <c r="BX43" t="e">
        <f>AND('Double Dutch Pairs Freestyle'!C22,"AAAAAH3510s=")</f>
        <v>#VALUE!</v>
      </c>
      <c r="BY43" t="e">
        <f>AND('Double Dutch Pairs Freestyle'!D22,"AAAAAH3510w=")</f>
        <v>#VALUE!</v>
      </c>
      <c r="BZ43" t="e">
        <f>AND('Double Dutch Pairs Freestyle'!E22,"AAAAAH35100=")</f>
        <v>#VALUE!</v>
      </c>
      <c r="CA43" t="e">
        <f>AND('Double Dutch Pairs Freestyle'!F22,"AAAAAH35104=")</f>
        <v>#VALUE!</v>
      </c>
      <c r="CB43" t="e">
        <f>AND('Double Dutch Pairs Freestyle'!G22,"AAAAAH35108=")</f>
        <v>#VALUE!</v>
      </c>
      <c r="CC43" t="e">
        <f>AND('Double Dutch Pairs Freestyle'!H22,"AAAAAH3511A=")</f>
        <v>#VALUE!</v>
      </c>
      <c r="CD43" t="e">
        <f>AND('Double Dutch Pairs Freestyle'!I22,"AAAAAH3511E=")</f>
        <v>#VALUE!</v>
      </c>
      <c r="CE43" t="e">
        <f>AND('Double Dutch Pairs Freestyle'!J22,"AAAAAH3511I=")</f>
        <v>#VALUE!</v>
      </c>
      <c r="CF43" t="e">
        <f>AND('Double Dutch Pairs Freestyle'!K22,"AAAAAH3511M=")</f>
        <v>#VALUE!</v>
      </c>
      <c r="CG43">
        <f>IF('Double Dutch Pairs Freestyle'!23:23,"AAAAAH3511Q=",0)</f>
        <v>0</v>
      </c>
      <c r="CH43" t="e">
        <f>AND('Double Dutch Pairs Freestyle'!A23,"AAAAAH3511U=")</f>
        <v>#VALUE!</v>
      </c>
      <c r="CI43" t="e">
        <f>AND('Double Dutch Pairs Freestyle'!B23,"AAAAAH3511Y=")</f>
        <v>#VALUE!</v>
      </c>
      <c r="CJ43" t="e">
        <f>AND('Double Dutch Pairs Freestyle'!C23,"AAAAAH3511c=")</f>
        <v>#VALUE!</v>
      </c>
      <c r="CK43" t="e">
        <f>AND('Double Dutch Pairs Freestyle'!D23,"AAAAAH3511g=")</f>
        <v>#VALUE!</v>
      </c>
      <c r="CL43" t="e">
        <f>AND('Double Dutch Pairs Freestyle'!E23,"AAAAAH3511k=")</f>
        <v>#VALUE!</v>
      </c>
      <c r="CM43" t="e">
        <f>AND('Double Dutch Pairs Freestyle'!F23,"AAAAAH3511o=")</f>
        <v>#VALUE!</v>
      </c>
      <c r="CN43" t="e">
        <f>AND('Double Dutch Pairs Freestyle'!G23,"AAAAAH3511s=")</f>
        <v>#VALUE!</v>
      </c>
      <c r="CO43" t="e">
        <f>AND('Double Dutch Pairs Freestyle'!H23,"AAAAAH3511w=")</f>
        <v>#VALUE!</v>
      </c>
      <c r="CP43" t="e">
        <f>AND('Double Dutch Pairs Freestyle'!I23,"AAAAAH35110=")</f>
        <v>#VALUE!</v>
      </c>
      <c r="CQ43" t="e">
        <f>AND('Double Dutch Pairs Freestyle'!J23,"AAAAAH35114=")</f>
        <v>#VALUE!</v>
      </c>
      <c r="CR43" t="e">
        <f>AND('Double Dutch Pairs Freestyle'!K23,"AAAAAH35118=")</f>
        <v>#VALUE!</v>
      </c>
      <c r="CS43">
        <f>IF('Double Dutch Pairs Freestyle'!24:24,"AAAAAH3512A=",0)</f>
        <v>0</v>
      </c>
      <c r="CT43" t="e">
        <f>AND('Double Dutch Pairs Freestyle'!A24,"AAAAAH3512E=")</f>
        <v>#VALUE!</v>
      </c>
      <c r="CU43" t="e">
        <f>AND('Double Dutch Pairs Freestyle'!B24,"AAAAAH3512I=")</f>
        <v>#VALUE!</v>
      </c>
      <c r="CV43" t="e">
        <f>AND('Double Dutch Pairs Freestyle'!C24,"AAAAAH3512M=")</f>
        <v>#VALUE!</v>
      </c>
      <c r="CW43" t="e">
        <f>AND('Double Dutch Pairs Freestyle'!D24,"AAAAAH3512Q=")</f>
        <v>#VALUE!</v>
      </c>
      <c r="CX43" t="e">
        <f>AND('Double Dutch Pairs Freestyle'!E24,"AAAAAH3512U=")</f>
        <v>#VALUE!</v>
      </c>
      <c r="CY43" t="e">
        <f>AND('Double Dutch Pairs Freestyle'!F24,"AAAAAH3512Y=")</f>
        <v>#VALUE!</v>
      </c>
      <c r="CZ43" t="e">
        <f>AND('Double Dutch Pairs Freestyle'!G24,"AAAAAH3512c=")</f>
        <v>#VALUE!</v>
      </c>
      <c r="DA43" t="e">
        <f>AND('Double Dutch Pairs Freestyle'!H24,"AAAAAH3512g=")</f>
        <v>#VALUE!</v>
      </c>
      <c r="DB43" t="e">
        <f>AND('Double Dutch Pairs Freestyle'!I24,"AAAAAH3512k=")</f>
        <v>#VALUE!</v>
      </c>
      <c r="DC43" t="e">
        <f>AND('Double Dutch Pairs Freestyle'!J24,"AAAAAH3512o=")</f>
        <v>#VALUE!</v>
      </c>
      <c r="DD43" t="e">
        <f>AND('Double Dutch Pairs Freestyle'!K24,"AAAAAH3512s=")</f>
        <v>#VALUE!</v>
      </c>
      <c r="DE43">
        <f>IF('Double Dutch Pairs Freestyle'!25:25,"AAAAAH3512w=",0)</f>
        <v>0</v>
      </c>
      <c r="DF43" t="e">
        <f>AND('Double Dutch Pairs Freestyle'!A25,"AAAAAH35120=")</f>
        <v>#VALUE!</v>
      </c>
      <c r="DG43" t="e">
        <f>AND('Double Dutch Pairs Freestyle'!B25,"AAAAAH35124=")</f>
        <v>#VALUE!</v>
      </c>
      <c r="DH43" t="e">
        <f>AND('Double Dutch Pairs Freestyle'!C25,"AAAAAH35128=")</f>
        <v>#VALUE!</v>
      </c>
      <c r="DI43" t="e">
        <f>AND('Double Dutch Pairs Freestyle'!D25,"AAAAAH3513A=")</f>
        <v>#VALUE!</v>
      </c>
      <c r="DJ43" t="e">
        <f>AND('Double Dutch Pairs Freestyle'!E25,"AAAAAH3513E=")</f>
        <v>#VALUE!</v>
      </c>
      <c r="DK43" t="e">
        <f>AND('Double Dutch Pairs Freestyle'!F25,"AAAAAH3513I=")</f>
        <v>#VALUE!</v>
      </c>
      <c r="DL43" t="e">
        <f>AND('Double Dutch Pairs Freestyle'!G25,"AAAAAH3513M=")</f>
        <v>#VALUE!</v>
      </c>
      <c r="DM43" t="e">
        <f>AND('Double Dutch Pairs Freestyle'!H25,"AAAAAH3513Q=")</f>
        <v>#VALUE!</v>
      </c>
      <c r="DN43" t="e">
        <f>AND('Double Dutch Pairs Freestyle'!I25,"AAAAAH3513U=")</f>
        <v>#VALUE!</v>
      </c>
      <c r="DO43" t="e">
        <f>AND('Double Dutch Pairs Freestyle'!J25,"AAAAAH3513Y=")</f>
        <v>#VALUE!</v>
      </c>
      <c r="DP43" t="e">
        <f>AND('Double Dutch Pairs Freestyle'!K25,"AAAAAH3513c=")</f>
        <v>#VALUE!</v>
      </c>
      <c r="DQ43">
        <f>IF('Double Dutch Pairs Freestyle'!32:32,"AAAAAH3513g=",0)</f>
        <v>0</v>
      </c>
      <c r="DR43" t="e">
        <f>AND('Double Dutch Pairs Freestyle'!A32,"AAAAAH3513k=")</f>
        <v>#VALUE!</v>
      </c>
      <c r="DS43" t="e">
        <f>AND('Double Dutch Pairs Freestyle'!B32,"AAAAAH3513o=")</f>
        <v>#VALUE!</v>
      </c>
      <c r="DT43" t="e">
        <f>AND('Double Dutch Pairs Freestyle'!C32,"AAAAAH3513s=")</f>
        <v>#VALUE!</v>
      </c>
      <c r="DU43" t="e">
        <f>AND('Double Dutch Pairs Freestyle'!D32,"AAAAAH3513w=")</f>
        <v>#VALUE!</v>
      </c>
      <c r="DV43" t="e">
        <f>AND('Double Dutch Pairs Freestyle'!E32,"AAAAAH35130=")</f>
        <v>#VALUE!</v>
      </c>
      <c r="DW43" t="e">
        <f>AND('Double Dutch Pairs Freestyle'!F32,"AAAAAH35134=")</f>
        <v>#VALUE!</v>
      </c>
      <c r="DX43" t="e">
        <f>AND('Double Dutch Pairs Freestyle'!G32,"AAAAAH35138=")</f>
        <v>#VALUE!</v>
      </c>
      <c r="DY43" t="e">
        <f>AND('Double Dutch Pairs Freestyle'!H32,"AAAAAH3514A=")</f>
        <v>#VALUE!</v>
      </c>
      <c r="DZ43" t="e">
        <f>AND('Double Dutch Pairs Freestyle'!I32,"AAAAAH3514E=")</f>
        <v>#VALUE!</v>
      </c>
      <c r="EA43" t="e">
        <f>AND('Double Dutch Pairs Freestyle'!J32,"AAAAAH3514I=")</f>
        <v>#VALUE!</v>
      </c>
      <c r="EB43" t="e">
        <f>AND('Double Dutch Pairs Freestyle'!K32,"AAAAAH3514M=")</f>
        <v>#VALUE!</v>
      </c>
      <c r="EC43">
        <f>IF('Double Dutch Pairs Freestyle'!33:33,"AAAAAH3514Q=",0)</f>
        <v>0</v>
      </c>
      <c r="ED43" t="e">
        <f>AND('Double Dutch Pairs Freestyle'!A33,"AAAAAH3514U=")</f>
        <v>#VALUE!</v>
      </c>
      <c r="EE43" t="e">
        <f>AND('Double Dutch Pairs Freestyle'!B33,"AAAAAH3514Y=")</f>
        <v>#VALUE!</v>
      </c>
      <c r="EF43" t="e">
        <f>AND('Double Dutch Pairs Freestyle'!C33,"AAAAAH3514c=")</f>
        <v>#VALUE!</v>
      </c>
      <c r="EG43" t="e">
        <f>AND('Double Dutch Pairs Freestyle'!D33,"AAAAAH3514g=")</f>
        <v>#VALUE!</v>
      </c>
      <c r="EH43" t="e">
        <f>AND('Double Dutch Pairs Freestyle'!E33,"AAAAAH3514k=")</f>
        <v>#VALUE!</v>
      </c>
      <c r="EI43" t="e">
        <f>AND('Double Dutch Pairs Freestyle'!F33,"AAAAAH3514o=")</f>
        <v>#VALUE!</v>
      </c>
      <c r="EJ43" t="e">
        <f>AND('Double Dutch Pairs Freestyle'!G33,"AAAAAH3514s=")</f>
        <v>#VALUE!</v>
      </c>
      <c r="EK43" t="e">
        <f>AND('Double Dutch Pairs Freestyle'!H33,"AAAAAH3514w=")</f>
        <v>#VALUE!</v>
      </c>
      <c r="EL43" t="e">
        <f>AND('Double Dutch Pairs Freestyle'!I33,"AAAAAH35140=")</f>
        <v>#VALUE!</v>
      </c>
      <c r="EM43" t="e">
        <f>AND('Double Dutch Pairs Freestyle'!J33,"AAAAAH35144=")</f>
        <v>#VALUE!</v>
      </c>
      <c r="EN43" t="e">
        <f>AND('Double Dutch Pairs Freestyle'!K33,"AAAAAH35148=")</f>
        <v>#VALUE!</v>
      </c>
      <c r="EO43">
        <f>IF('Double Dutch Pairs Freestyle'!34:34,"AAAAAH3515A=",0)</f>
        <v>0</v>
      </c>
      <c r="EP43" t="e">
        <f>AND('Double Dutch Pairs Freestyle'!A34,"AAAAAH3515E=")</f>
        <v>#VALUE!</v>
      </c>
      <c r="EQ43" t="e">
        <f>AND('Double Dutch Pairs Freestyle'!B34,"AAAAAH3515I=")</f>
        <v>#VALUE!</v>
      </c>
      <c r="ER43" t="e">
        <f>AND('Double Dutch Pairs Freestyle'!C34,"AAAAAH3515M=")</f>
        <v>#VALUE!</v>
      </c>
      <c r="ES43" t="e">
        <f>AND('Double Dutch Pairs Freestyle'!D34,"AAAAAH3515Q=")</f>
        <v>#VALUE!</v>
      </c>
      <c r="ET43" t="e">
        <f>AND('Double Dutch Pairs Freestyle'!E34,"AAAAAH3515U=")</f>
        <v>#VALUE!</v>
      </c>
      <c r="EU43" t="e">
        <f>AND('Double Dutch Pairs Freestyle'!F34,"AAAAAH3515Y=")</f>
        <v>#VALUE!</v>
      </c>
      <c r="EV43" t="e">
        <f>AND('Double Dutch Pairs Freestyle'!G34,"AAAAAH3515c=")</f>
        <v>#VALUE!</v>
      </c>
      <c r="EW43" t="e">
        <f>AND('Double Dutch Pairs Freestyle'!H34,"AAAAAH3515g=")</f>
        <v>#VALUE!</v>
      </c>
      <c r="EX43" t="e">
        <f>AND('Double Dutch Pairs Freestyle'!I34,"AAAAAH3515k=")</f>
        <v>#VALUE!</v>
      </c>
      <c r="EY43" t="e">
        <f>AND('Double Dutch Pairs Freestyle'!J34,"AAAAAH3515o=")</f>
        <v>#VALUE!</v>
      </c>
      <c r="EZ43" t="e">
        <f>AND('Double Dutch Pairs Freestyle'!K34,"AAAAAH3515s=")</f>
        <v>#VALUE!</v>
      </c>
      <c r="FA43">
        <f>IF('Double Dutch Pairs Freestyle'!35:35,"AAAAAH3515w=",0)</f>
        <v>0</v>
      </c>
      <c r="FB43" t="e">
        <f>AND('Double Dutch Pairs Freestyle'!A35,"AAAAAH35150=")</f>
        <v>#VALUE!</v>
      </c>
      <c r="FC43" t="e">
        <f>AND('Double Dutch Pairs Freestyle'!B35,"AAAAAH35154=")</f>
        <v>#VALUE!</v>
      </c>
      <c r="FD43" t="e">
        <f>AND('Double Dutch Pairs Freestyle'!C35,"AAAAAH35158=")</f>
        <v>#VALUE!</v>
      </c>
      <c r="FE43" t="e">
        <f>AND('Double Dutch Pairs Freestyle'!D35,"AAAAAH3516A=")</f>
        <v>#VALUE!</v>
      </c>
      <c r="FF43" t="e">
        <f>AND('Double Dutch Pairs Freestyle'!E35,"AAAAAH3516E=")</f>
        <v>#VALUE!</v>
      </c>
      <c r="FG43" t="e">
        <f>AND('Double Dutch Pairs Freestyle'!F35,"AAAAAH3516I=")</f>
        <v>#VALUE!</v>
      </c>
      <c r="FH43" t="e">
        <f>AND('Double Dutch Pairs Freestyle'!G35,"AAAAAH3516M=")</f>
        <v>#VALUE!</v>
      </c>
      <c r="FI43" t="e">
        <f>AND('Double Dutch Pairs Freestyle'!H35,"AAAAAH3516Q=")</f>
        <v>#VALUE!</v>
      </c>
      <c r="FJ43" t="e">
        <f>AND('Double Dutch Pairs Freestyle'!I35,"AAAAAH3516U=")</f>
        <v>#VALUE!</v>
      </c>
      <c r="FK43" t="e">
        <f>AND('Double Dutch Pairs Freestyle'!J35,"AAAAAH3516Y=")</f>
        <v>#VALUE!</v>
      </c>
      <c r="FL43" t="e">
        <f>AND('Double Dutch Pairs Freestyle'!K35,"AAAAAH3516c=")</f>
        <v>#VALUE!</v>
      </c>
      <c r="FM43">
        <f>IF('Double Dutch Pairs Freestyle'!36:36,"AAAAAH3516g=",0)</f>
        <v>0</v>
      </c>
      <c r="FN43" t="e">
        <f>AND('Double Dutch Pairs Freestyle'!A36,"AAAAAH3516k=")</f>
        <v>#VALUE!</v>
      </c>
      <c r="FO43" t="e">
        <f>AND('Double Dutch Pairs Freestyle'!B36,"AAAAAH3516o=")</f>
        <v>#VALUE!</v>
      </c>
      <c r="FP43" t="e">
        <f>AND('Double Dutch Pairs Freestyle'!C36,"AAAAAH3516s=")</f>
        <v>#VALUE!</v>
      </c>
      <c r="FQ43" t="e">
        <f>AND('Double Dutch Pairs Freestyle'!D36,"AAAAAH3516w=")</f>
        <v>#VALUE!</v>
      </c>
      <c r="FR43" t="e">
        <f>AND('Double Dutch Pairs Freestyle'!E36,"AAAAAH35160=")</f>
        <v>#VALUE!</v>
      </c>
      <c r="FS43" t="e">
        <f>AND('Double Dutch Pairs Freestyle'!F36,"AAAAAH35164=")</f>
        <v>#VALUE!</v>
      </c>
      <c r="FT43" t="e">
        <f>AND('Double Dutch Pairs Freestyle'!G36,"AAAAAH35168=")</f>
        <v>#VALUE!</v>
      </c>
      <c r="FU43" t="e">
        <f>AND('Double Dutch Pairs Freestyle'!H36,"AAAAAH3517A=")</f>
        <v>#VALUE!</v>
      </c>
      <c r="FV43" t="e">
        <f>AND('Double Dutch Pairs Freestyle'!I36,"AAAAAH3517E=")</f>
        <v>#VALUE!</v>
      </c>
      <c r="FW43" t="e">
        <f>AND('Double Dutch Pairs Freestyle'!J36,"AAAAAH3517I=")</f>
        <v>#VALUE!</v>
      </c>
      <c r="FX43" t="e">
        <f>AND('Double Dutch Pairs Freestyle'!K36,"AAAAAH3517M=")</f>
        <v>#VALUE!</v>
      </c>
      <c r="FY43">
        <f>IF('Double Dutch Pairs Freestyle'!37:37,"AAAAAH3517Q=",0)</f>
        <v>0</v>
      </c>
      <c r="FZ43" t="e">
        <f>AND('Double Dutch Pairs Freestyle'!A37,"AAAAAH3517U=")</f>
        <v>#VALUE!</v>
      </c>
      <c r="GA43" t="e">
        <f>AND('Double Dutch Pairs Freestyle'!B37,"AAAAAH3517Y=")</f>
        <v>#VALUE!</v>
      </c>
      <c r="GB43" t="e">
        <f>AND('Double Dutch Pairs Freestyle'!C37,"AAAAAH3517c=")</f>
        <v>#VALUE!</v>
      </c>
      <c r="GC43" t="e">
        <f>AND('Double Dutch Pairs Freestyle'!D37,"AAAAAH3517g=")</f>
        <v>#VALUE!</v>
      </c>
      <c r="GD43" t="e">
        <f>AND('Double Dutch Pairs Freestyle'!E37,"AAAAAH3517k=")</f>
        <v>#VALUE!</v>
      </c>
      <c r="GE43" t="e">
        <f>AND('Double Dutch Pairs Freestyle'!F37,"AAAAAH3517o=")</f>
        <v>#VALUE!</v>
      </c>
      <c r="GF43" t="e">
        <f>AND('Double Dutch Pairs Freestyle'!G37,"AAAAAH3517s=")</f>
        <v>#VALUE!</v>
      </c>
      <c r="GG43" t="e">
        <f>AND('Double Dutch Pairs Freestyle'!H37,"AAAAAH3517w=")</f>
        <v>#VALUE!</v>
      </c>
      <c r="GH43" t="e">
        <f>AND('Double Dutch Pairs Freestyle'!I37,"AAAAAH35170=")</f>
        <v>#VALUE!</v>
      </c>
      <c r="GI43" t="e">
        <f>AND('Double Dutch Pairs Freestyle'!J37,"AAAAAH35174=")</f>
        <v>#VALUE!</v>
      </c>
      <c r="GJ43" t="e">
        <f>AND('Double Dutch Pairs Freestyle'!K37,"AAAAAH35178=")</f>
        <v>#VALUE!</v>
      </c>
      <c r="GK43">
        <f>IF('Double Dutch Pairs Freestyle'!38:38,"AAAAAH3518A=",0)</f>
        <v>0</v>
      </c>
      <c r="GL43" t="e">
        <f>AND('Double Dutch Pairs Freestyle'!A38,"AAAAAH3518E=")</f>
        <v>#VALUE!</v>
      </c>
      <c r="GM43" t="e">
        <f>AND('Double Dutch Pairs Freestyle'!B38,"AAAAAH3518I=")</f>
        <v>#VALUE!</v>
      </c>
      <c r="GN43" t="e">
        <f>AND('Double Dutch Pairs Freestyle'!C38,"AAAAAH3518M=")</f>
        <v>#VALUE!</v>
      </c>
      <c r="GO43" t="e">
        <f>AND('Double Dutch Pairs Freestyle'!D38,"AAAAAH3518Q=")</f>
        <v>#VALUE!</v>
      </c>
      <c r="GP43" t="e">
        <f>AND('Double Dutch Pairs Freestyle'!E38,"AAAAAH3518U=")</f>
        <v>#VALUE!</v>
      </c>
      <c r="GQ43" t="e">
        <f>AND('Double Dutch Pairs Freestyle'!F38,"AAAAAH3518Y=")</f>
        <v>#VALUE!</v>
      </c>
      <c r="GR43" t="e">
        <f>AND('Double Dutch Pairs Freestyle'!G38,"AAAAAH3518c=")</f>
        <v>#VALUE!</v>
      </c>
      <c r="GS43" t="e">
        <f>AND('Double Dutch Pairs Freestyle'!H38,"AAAAAH3518g=")</f>
        <v>#VALUE!</v>
      </c>
      <c r="GT43" t="e">
        <f>AND('Double Dutch Pairs Freestyle'!I38,"AAAAAH3518k=")</f>
        <v>#VALUE!</v>
      </c>
      <c r="GU43" t="e">
        <f>AND('Double Dutch Pairs Freestyle'!J38,"AAAAAH3518o=")</f>
        <v>#VALUE!</v>
      </c>
      <c r="GV43" t="e">
        <f>AND('Double Dutch Pairs Freestyle'!K38,"AAAAAH3518s=")</f>
        <v>#VALUE!</v>
      </c>
      <c r="GW43">
        <f>IF('Double Dutch Pairs Freestyle'!39:39,"AAAAAH3518w=",0)</f>
        <v>0</v>
      </c>
      <c r="GX43" t="e">
        <f>AND('Double Dutch Pairs Freestyle'!A39,"AAAAAH35180=")</f>
        <v>#VALUE!</v>
      </c>
      <c r="GY43" t="e">
        <f>AND('Double Dutch Pairs Freestyle'!B39,"AAAAAH35184=")</f>
        <v>#VALUE!</v>
      </c>
      <c r="GZ43" t="e">
        <f>AND('Double Dutch Pairs Freestyle'!C39,"AAAAAH35188=")</f>
        <v>#VALUE!</v>
      </c>
      <c r="HA43" t="e">
        <f>AND('Double Dutch Pairs Freestyle'!D39,"AAAAAH3519A=")</f>
        <v>#VALUE!</v>
      </c>
      <c r="HB43" t="e">
        <f>AND('Double Dutch Pairs Freestyle'!E39,"AAAAAH3519E=")</f>
        <v>#VALUE!</v>
      </c>
      <c r="HC43" t="e">
        <f>AND('Double Dutch Pairs Freestyle'!F39,"AAAAAH3519I=")</f>
        <v>#VALUE!</v>
      </c>
      <c r="HD43" t="e">
        <f>AND('Double Dutch Pairs Freestyle'!G39,"AAAAAH3519M=")</f>
        <v>#VALUE!</v>
      </c>
      <c r="HE43" t="e">
        <f>AND('Double Dutch Pairs Freestyle'!H39,"AAAAAH3519Q=")</f>
        <v>#VALUE!</v>
      </c>
      <c r="HF43" t="e">
        <f>AND('Double Dutch Pairs Freestyle'!I39,"AAAAAH3519U=")</f>
        <v>#VALUE!</v>
      </c>
      <c r="HG43" t="e">
        <f>AND('Double Dutch Pairs Freestyle'!J39,"AAAAAH3519Y=")</f>
        <v>#VALUE!</v>
      </c>
      <c r="HH43" t="e">
        <f>AND('Double Dutch Pairs Freestyle'!K39,"AAAAAH3519c=")</f>
        <v>#VALUE!</v>
      </c>
      <c r="HI43">
        <f>IF('Double Dutch Pairs Freestyle'!40:40,"AAAAAH3519g=",0)</f>
        <v>0</v>
      </c>
      <c r="HJ43" t="e">
        <f>AND('Double Dutch Pairs Freestyle'!A40,"AAAAAH3519k=")</f>
        <v>#VALUE!</v>
      </c>
      <c r="HK43" t="e">
        <f>AND('Double Dutch Pairs Freestyle'!B40,"AAAAAH3519o=")</f>
        <v>#VALUE!</v>
      </c>
      <c r="HL43" t="e">
        <f>AND('Double Dutch Pairs Freestyle'!C40,"AAAAAH3519s=")</f>
        <v>#VALUE!</v>
      </c>
      <c r="HM43" t="e">
        <f>AND('Double Dutch Pairs Freestyle'!D40,"AAAAAH3519w=")</f>
        <v>#VALUE!</v>
      </c>
      <c r="HN43" t="e">
        <f>AND('Double Dutch Pairs Freestyle'!E40,"AAAAAH35190=")</f>
        <v>#VALUE!</v>
      </c>
      <c r="HO43" t="e">
        <f>AND('Double Dutch Pairs Freestyle'!F40,"AAAAAH35194=")</f>
        <v>#VALUE!</v>
      </c>
      <c r="HP43" t="e">
        <f>AND('Double Dutch Pairs Freestyle'!G40,"AAAAAH35198=")</f>
        <v>#VALUE!</v>
      </c>
      <c r="HQ43" t="e">
        <f>AND('Double Dutch Pairs Freestyle'!H40,"AAAAAH351+A=")</f>
        <v>#VALUE!</v>
      </c>
      <c r="HR43" t="e">
        <f>AND('Double Dutch Pairs Freestyle'!I40,"AAAAAH351+E=")</f>
        <v>#VALUE!</v>
      </c>
      <c r="HS43" t="e">
        <f>AND('Double Dutch Pairs Freestyle'!J40,"AAAAAH351+I=")</f>
        <v>#VALUE!</v>
      </c>
      <c r="HT43" t="e">
        <f>AND('Double Dutch Pairs Freestyle'!K40,"AAAAAH351+M=")</f>
        <v>#VALUE!</v>
      </c>
      <c r="HU43">
        <f>IF('Double Dutch Pairs Freestyle'!41:41,"AAAAAH351+Q=",0)</f>
        <v>0</v>
      </c>
      <c r="HV43" t="e">
        <f>AND('Double Dutch Pairs Freestyle'!A41,"AAAAAH351+U=")</f>
        <v>#VALUE!</v>
      </c>
      <c r="HW43" t="e">
        <f>AND('Double Dutch Pairs Freestyle'!B41,"AAAAAH351+Y=")</f>
        <v>#VALUE!</v>
      </c>
      <c r="HX43" t="e">
        <f>AND('Double Dutch Pairs Freestyle'!C41,"AAAAAH351+c=")</f>
        <v>#VALUE!</v>
      </c>
      <c r="HY43" t="e">
        <f>AND('Double Dutch Pairs Freestyle'!D41,"AAAAAH351+g=")</f>
        <v>#VALUE!</v>
      </c>
      <c r="HZ43" t="e">
        <f>AND('Double Dutch Pairs Freestyle'!E41,"AAAAAH351+k=")</f>
        <v>#VALUE!</v>
      </c>
      <c r="IA43" t="e">
        <f>AND('Double Dutch Pairs Freestyle'!F41,"AAAAAH351+o=")</f>
        <v>#VALUE!</v>
      </c>
      <c r="IB43" t="e">
        <f>AND('Double Dutch Pairs Freestyle'!G41,"AAAAAH351+s=")</f>
        <v>#VALUE!</v>
      </c>
      <c r="IC43" t="e">
        <f>AND('Double Dutch Pairs Freestyle'!H41,"AAAAAH351+w=")</f>
        <v>#VALUE!</v>
      </c>
      <c r="ID43" t="e">
        <f>AND('Double Dutch Pairs Freestyle'!I41,"AAAAAH351+0=")</f>
        <v>#VALUE!</v>
      </c>
      <c r="IE43" t="e">
        <f>AND('Double Dutch Pairs Freestyle'!J41,"AAAAAH351+4=")</f>
        <v>#VALUE!</v>
      </c>
      <c r="IF43" t="e">
        <f>AND('Double Dutch Pairs Freestyle'!K41,"AAAAAH351+8=")</f>
        <v>#VALUE!</v>
      </c>
      <c r="IG43">
        <f>IF('Double Dutch Pairs Freestyle'!42:42,"AAAAAH351/A=",0)</f>
        <v>0</v>
      </c>
      <c r="IH43" t="e">
        <f>AND('Double Dutch Pairs Freestyle'!A42,"AAAAAH351/E=")</f>
        <v>#VALUE!</v>
      </c>
      <c r="II43" t="e">
        <f>AND('Double Dutch Pairs Freestyle'!B42,"AAAAAH351/I=")</f>
        <v>#VALUE!</v>
      </c>
      <c r="IJ43" t="e">
        <f>AND('Double Dutch Pairs Freestyle'!C42,"AAAAAH351/M=")</f>
        <v>#VALUE!</v>
      </c>
      <c r="IK43" t="e">
        <f>AND('Double Dutch Pairs Freestyle'!D42,"AAAAAH351/Q=")</f>
        <v>#VALUE!</v>
      </c>
      <c r="IL43" t="e">
        <f>AND('Double Dutch Pairs Freestyle'!E42,"AAAAAH351/U=")</f>
        <v>#VALUE!</v>
      </c>
      <c r="IM43" t="e">
        <f>AND('Double Dutch Pairs Freestyle'!F42,"AAAAAH351/Y=")</f>
        <v>#VALUE!</v>
      </c>
      <c r="IN43" t="e">
        <f>AND('Double Dutch Pairs Freestyle'!G42,"AAAAAH351/c=")</f>
        <v>#VALUE!</v>
      </c>
      <c r="IO43" t="e">
        <f>AND('Double Dutch Pairs Freestyle'!H42,"AAAAAH351/g=")</f>
        <v>#VALUE!</v>
      </c>
      <c r="IP43" t="e">
        <f>AND('Double Dutch Pairs Freestyle'!I42,"AAAAAH351/k=")</f>
        <v>#VALUE!</v>
      </c>
      <c r="IQ43" t="e">
        <f>AND('Double Dutch Pairs Freestyle'!J42,"AAAAAH351/o=")</f>
        <v>#VALUE!</v>
      </c>
      <c r="IR43" t="e">
        <f>AND('Double Dutch Pairs Freestyle'!K42,"AAAAAH351/s=")</f>
        <v>#VALUE!</v>
      </c>
      <c r="IS43">
        <f>IF('Double Dutch Pairs Freestyle'!43:43,"AAAAAH351/w=",0)</f>
        <v>0</v>
      </c>
      <c r="IT43" t="e">
        <f>AND('Double Dutch Pairs Freestyle'!A43,"AAAAAH351/0=")</f>
        <v>#VALUE!</v>
      </c>
      <c r="IU43" t="e">
        <f>AND('Double Dutch Pairs Freestyle'!B43,"AAAAAH351/4=")</f>
        <v>#VALUE!</v>
      </c>
      <c r="IV43" t="e">
        <f>AND('Double Dutch Pairs Freestyle'!C43,"AAAAAH351/8=")</f>
        <v>#VALUE!</v>
      </c>
    </row>
    <row r="44" spans="1:256" x14ac:dyDescent="0.25">
      <c r="A44" t="e">
        <f>AND('Double Dutch Pairs Freestyle'!D43,"AAAAAD9P8wA=")</f>
        <v>#VALUE!</v>
      </c>
      <c r="B44" t="e">
        <f>AND('Double Dutch Pairs Freestyle'!E43,"AAAAAD9P8wE=")</f>
        <v>#VALUE!</v>
      </c>
      <c r="C44" t="e">
        <f>AND('Double Dutch Pairs Freestyle'!F43,"AAAAAD9P8wI=")</f>
        <v>#VALUE!</v>
      </c>
      <c r="D44" t="e">
        <f>AND('Double Dutch Pairs Freestyle'!G43,"AAAAAD9P8wM=")</f>
        <v>#VALUE!</v>
      </c>
      <c r="E44" t="e">
        <f>AND('Double Dutch Pairs Freestyle'!H43,"AAAAAD9P8wQ=")</f>
        <v>#VALUE!</v>
      </c>
      <c r="F44" t="e">
        <f>AND('Double Dutch Pairs Freestyle'!I43,"AAAAAD9P8wU=")</f>
        <v>#VALUE!</v>
      </c>
      <c r="G44" t="e">
        <f>AND('Double Dutch Pairs Freestyle'!J43,"AAAAAD9P8wY=")</f>
        <v>#VALUE!</v>
      </c>
      <c r="H44" t="e">
        <f>AND('Double Dutch Pairs Freestyle'!K43,"AAAAAD9P8wc=")</f>
        <v>#VALUE!</v>
      </c>
      <c r="I44" t="e">
        <f>IF('Double Dutch Pairs Freestyle'!44:44,"AAAAAD9P8wg=",0)</f>
        <v>#VALUE!</v>
      </c>
      <c r="J44" t="e">
        <f>AND('Double Dutch Pairs Freestyle'!A44,"AAAAAD9P8wk=")</f>
        <v>#VALUE!</v>
      </c>
      <c r="K44" t="e">
        <f>AND('Double Dutch Pairs Freestyle'!B44,"AAAAAD9P8wo=")</f>
        <v>#VALUE!</v>
      </c>
      <c r="L44" t="e">
        <f>AND('Double Dutch Pairs Freestyle'!C44,"AAAAAD9P8ws=")</f>
        <v>#VALUE!</v>
      </c>
      <c r="M44" t="e">
        <f>AND('Double Dutch Pairs Freestyle'!D44,"AAAAAD9P8ww=")</f>
        <v>#VALUE!</v>
      </c>
      <c r="N44" t="e">
        <f>AND('Double Dutch Pairs Freestyle'!E44,"AAAAAD9P8w0=")</f>
        <v>#VALUE!</v>
      </c>
      <c r="O44" t="e">
        <f>AND('Double Dutch Pairs Freestyle'!F44,"AAAAAD9P8w4=")</f>
        <v>#VALUE!</v>
      </c>
      <c r="P44" t="e">
        <f>AND('Double Dutch Pairs Freestyle'!G44,"AAAAAD9P8w8=")</f>
        <v>#VALUE!</v>
      </c>
      <c r="Q44" t="e">
        <f>AND('Double Dutch Pairs Freestyle'!H44,"AAAAAD9P8xA=")</f>
        <v>#VALUE!</v>
      </c>
      <c r="R44" t="e">
        <f>AND('Double Dutch Pairs Freestyle'!I44,"AAAAAD9P8xE=")</f>
        <v>#VALUE!</v>
      </c>
      <c r="S44" t="e">
        <f>AND('Double Dutch Pairs Freestyle'!J44,"AAAAAD9P8xI=")</f>
        <v>#VALUE!</v>
      </c>
      <c r="T44" t="e">
        <f>AND('Double Dutch Pairs Freestyle'!K44,"AAAAAD9P8xM=")</f>
        <v>#VALUE!</v>
      </c>
      <c r="U44">
        <f>IF('Double Dutch Pairs Freestyle'!45:45,"AAAAAD9P8xQ=",0)</f>
        <v>0</v>
      </c>
      <c r="V44" t="e">
        <f>AND('Double Dutch Pairs Freestyle'!A45,"AAAAAD9P8xU=")</f>
        <v>#VALUE!</v>
      </c>
      <c r="W44" t="e">
        <f>AND('Double Dutch Pairs Freestyle'!B45,"AAAAAD9P8xY=")</f>
        <v>#VALUE!</v>
      </c>
      <c r="X44" t="e">
        <f>AND('Double Dutch Pairs Freestyle'!C45,"AAAAAD9P8xc=")</f>
        <v>#VALUE!</v>
      </c>
      <c r="Y44" t="e">
        <f>AND('Double Dutch Pairs Freestyle'!D45,"AAAAAD9P8xg=")</f>
        <v>#VALUE!</v>
      </c>
      <c r="Z44" t="e">
        <f>AND('Double Dutch Pairs Freestyle'!E45,"AAAAAD9P8xk=")</f>
        <v>#VALUE!</v>
      </c>
      <c r="AA44" t="e">
        <f>AND('Double Dutch Pairs Freestyle'!F45,"AAAAAD9P8xo=")</f>
        <v>#VALUE!</v>
      </c>
      <c r="AB44" t="e">
        <f>AND('Double Dutch Pairs Freestyle'!G45,"AAAAAD9P8xs=")</f>
        <v>#VALUE!</v>
      </c>
      <c r="AC44" t="e">
        <f>AND('Double Dutch Pairs Freestyle'!H45,"AAAAAD9P8xw=")</f>
        <v>#VALUE!</v>
      </c>
      <c r="AD44" t="e">
        <f>AND('Double Dutch Pairs Freestyle'!I45,"AAAAAD9P8x0=")</f>
        <v>#VALUE!</v>
      </c>
      <c r="AE44" t="e">
        <f>AND('Double Dutch Pairs Freestyle'!J45,"AAAAAD9P8x4=")</f>
        <v>#VALUE!</v>
      </c>
      <c r="AF44" t="e">
        <f>AND('Double Dutch Pairs Freestyle'!K45,"AAAAAD9P8x8=")</f>
        <v>#VALUE!</v>
      </c>
      <c r="AG44">
        <f>IF('Double Dutch Pairs Freestyle'!46:46,"AAAAAD9P8yA=",0)</f>
        <v>0</v>
      </c>
      <c r="AH44" t="e">
        <f>AND('Double Dutch Pairs Freestyle'!A46,"AAAAAD9P8yE=")</f>
        <v>#VALUE!</v>
      </c>
      <c r="AI44" t="e">
        <f>AND('Double Dutch Pairs Freestyle'!B46,"AAAAAD9P8yI=")</f>
        <v>#VALUE!</v>
      </c>
      <c r="AJ44" t="e">
        <f>AND('Double Dutch Pairs Freestyle'!C46,"AAAAAD9P8yM=")</f>
        <v>#VALUE!</v>
      </c>
      <c r="AK44" t="e">
        <f>AND('Double Dutch Pairs Freestyle'!D46,"AAAAAD9P8yQ=")</f>
        <v>#VALUE!</v>
      </c>
      <c r="AL44" t="e">
        <f>AND('Double Dutch Pairs Freestyle'!E46,"AAAAAD9P8yU=")</f>
        <v>#VALUE!</v>
      </c>
      <c r="AM44" t="e">
        <f>AND('Double Dutch Pairs Freestyle'!F46,"AAAAAD9P8yY=")</f>
        <v>#VALUE!</v>
      </c>
      <c r="AN44" t="e">
        <f>AND('Double Dutch Pairs Freestyle'!G46,"AAAAAD9P8yc=")</f>
        <v>#VALUE!</v>
      </c>
      <c r="AO44" t="e">
        <f>AND('Double Dutch Pairs Freestyle'!H46,"AAAAAD9P8yg=")</f>
        <v>#VALUE!</v>
      </c>
      <c r="AP44" t="e">
        <f>AND('Double Dutch Pairs Freestyle'!I46,"AAAAAD9P8yk=")</f>
        <v>#VALUE!</v>
      </c>
      <c r="AQ44" t="e">
        <f>AND('Double Dutch Pairs Freestyle'!J46,"AAAAAD9P8yo=")</f>
        <v>#VALUE!</v>
      </c>
      <c r="AR44" t="e">
        <f>AND('Double Dutch Pairs Freestyle'!K46,"AAAAAD9P8ys=")</f>
        <v>#VALUE!</v>
      </c>
      <c r="AS44">
        <f>IF('Double Dutch Pairs Freestyle'!47:47,"AAAAAD9P8yw=",0)</f>
        <v>0</v>
      </c>
      <c r="AT44" t="e">
        <f>AND('Double Dutch Pairs Freestyle'!A47,"AAAAAD9P8y0=")</f>
        <v>#VALUE!</v>
      </c>
      <c r="AU44" t="e">
        <f>AND('Double Dutch Pairs Freestyle'!B47,"AAAAAD9P8y4=")</f>
        <v>#VALUE!</v>
      </c>
      <c r="AV44" t="e">
        <f>AND('Double Dutch Pairs Freestyle'!C47,"AAAAAD9P8y8=")</f>
        <v>#VALUE!</v>
      </c>
      <c r="AW44" t="e">
        <f>AND('Double Dutch Pairs Freestyle'!D47,"AAAAAD9P8zA=")</f>
        <v>#VALUE!</v>
      </c>
      <c r="AX44" t="e">
        <f>AND('Double Dutch Pairs Freestyle'!E47,"AAAAAD9P8zE=")</f>
        <v>#VALUE!</v>
      </c>
      <c r="AY44" t="e">
        <f>AND('Double Dutch Pairs Freestyle'!F47,"AAAAAD9P8zI=")</f>
        <v>#VALUE!</v>
      </c>
      <c r="AZ44" t="e">
        <f>AND('Double Dutch Pairs Freestyle'!G47,"AAAAAD9P8zM=")</f>
        <v>#VALUE!</v>
      </c>
      <c r="BA44" t="e">
        <f>AND('Double Dutch Pairs Freestyle'!H47,"AAAAAD9P8zQ=")</f>
        <v>#VALUE!</v>
      </c>
      <c r="BB44" t="e">
        <f>AND('Double Dutch Pairs Freestyle'!I47,"AAAAAD9P8zU=")</f>
        <v>#VALUE!</v>
      </c>
      <c r="BC44" t="e">
        <f>AND('Double Dutch Pairs Freestyle'!J47,"AAAAAD9P8zY=")</f>
        <v>#VALUE!</v>
      </c>
      <c r="BD44" t="e">
        <f>AND('Double Dutch Pairs Freestyle'!K47,"AAAAAD9P8zc=")</f>
        <v>#VALUE!</v>
      </c>
      <c r="BE44">
        <f>IF('Double Dutch Pairs Freestyle'!48:48,"AAAAAD9P8zg=",0)</f>
        <v>0</v>
      </c>
      <c r="BF44" t="e">
        <f>AND('Double Dutch Pairs Freestyle'!A48,"AAAAAD9P8zk=")</f>
        <v>#VALUE!</v>
      </c>
      <c r="BG44" t="e">
        <f>AND('Double Dutch Pairs Freestyle'!B48,"AAAAAD9P8zo=")</f>
        <v>#VALUE!</v>
      </c>
      <c r="BH44" t="e">
        <f>AND('Double Dutch Pairs Freestyle'!C48,"AAAAAD9P8zs=")</f>
        <v>#VALUE!</v>
      </c>
      <c r="BI44" t="e">
        <f>AND('Double Dutch Pairs Freestyle'!D48,"AAAAAD9P8zw=")</f>
        <v>#VALUE!</v>
      </c>
      <c r="BJ44" t="e">
        <f>AND('Double Dutch Pairs Freestyle'!E48,"AAAAAD9P8z0=")</f>
        <v>#VALUE!</v>
      </c>
      <c r="BK44" t="e">
        <f>AND('Double Dutch Pairs Freestyle'!F48,"AAAAAD9P8z4=")</f>
        <v>#VALUE!</v>
      </c>
      <c r="BL44" t="e">
        <f>AND('Double Dutch Pairs Freestyle'!G48,"AAAAAD9P8z8=")</f>
        <v>#VALUE!</v>
      </c>
      <c r="BM44" t="e">
        <f>AND('Double Dutch Pairs Freestyle'!H48,"AAAAAD9P80A=")</f>
        <v>#VALUE!</v>
      </c>
      <c r="BN44" t="e">
        <f>AND('Double Dutch Pairs Freestyle'!I48,"AAAAAD9P80E=")</f>
        <v>#VALUE!</v>
      </c>
      <c r="BO44" t="e">
        <f>AND('Double Dutch Pairs Freestyle'!J48,"AAAAAD9P80I=")</f>
        <v>#VALUE!</v>
      </c>
      <c r="BP44" t="e">
        <f>AND('Double Dutch Pairs Freestyle'!K48,"AAAAAD9P80M=")</f>
        <v>#VALUE!</v>
      </c>
      <c r="BQ44">
        <f>IF('Double Dutch Pairs Freestyle'!49:49,"AAAAAD9P80Q=",0)</f>
        <v>0</v>
      </c>
      <c r="BR44" t="e">
        <f>AND('Double Dutch Pairs Freestyle'!A49,"AAAAAD9P80U=")</f>
        <v>#VALUE!</v>
      </c>
      <c r="BS44" t="e">
        <f>AND('Double Dutch Pairs Freestyle'!B49,"AAAAAD9P80Y=")</f>
        <v>#VALUE!</v>
      </c>
      <c r="BT44" t="e">
        <f>AND('Double Dutch Pairs Freestyle'!C49,"AAAAAD9P80c=")</f>
        <v>#VALUE!</v>
      </c>
      <c r="BU44" t="e">
        <f>AND('Double Dutch Pairs Freestyle'!D49,"AAAAAD9P80g=")</f>
        <v>#VALUE!</v>
      </c>
      <c r="BV44" t="e">
        <f>AND('Double Dutch Pairs Freestyle'!E49,"AAAAAD9P80k=")</f>
        <v>#VALUE!</v>
      </c>
      <c r="BW44" t="e">
        <f>AND('Double Dutch Pairs Freestyle'!F49,"AAAAAD9P80o=")</f>
        <v>#VALUE!</v>
      </c>
      <c r="BX44" t="e">
        <f>AND('Double Dutch Pairs Freestyle'!G49,"AAAAAD9P80s=")</f>
        <v>#VALUE!</v>
      </c>
      <c r="BY44" t="e">
        <f>AND('Double Dutch Pairs Freestyle'!H49,"AAAAAD9P80w=")</f>
        <v>#VALUE!</v>
      </c>
      <c r="BZ44" t="e">
        <f>AND('Double Dutch Pairs Freestyle'!I49,"AAAAAD9P800=")</f>
        <v>#VALUE!</v>
      </c>
      <c r="CA44" t="e">
        <f>AND('Double Dutch Pairs Freestyle'!J49,"AAAAAD9P804=")</f>
        <v>#VALUE!</v>
      </c>
      <c r="CB44" t="e">
        <f>AND('Double Dutch Pairs Freestyle'!K49,"AAAAAD9P808=")</f>
        <v>#VALUE!</v>
      </c>
      <c r="CC44">
        <f>IF('Double Dutch Pairs Freestyle'!50:50,"AAAAAD9P81A=",0)</f>
        <v>0</v>
      </c>
      <c r="CD44" t="e">
        <f>AND('Double Dutch Pairs Freestyle'!A50,"AAAAAD9P81E=")</f>
        <v>#VALUE!</v>
      </c>
      <c r="CE44" t="e">
        <f>AND('Double Dutch Pairs Freestyle'!B50,"AAAAAD9P81I=")</f>
        <v>#VALUE!</v>
      </c>
      <c r="CF44" t="e">
        <f>AND('Double Dutch Pairs Freestyle'!C50,"AAAAAD9P81M=")</f>
        <v>#VALUE!</v>
      </c>
      <c r="CG44" t="e">
        <f>AND('Double Dutch Pairs Freestyle'!D50,"AAAAAD9P81Q=")</f>
        <v>#VALUE!</v>
      </c>
      <c r="CH44" t="e">
        <f>AND('Double Dutch Pairs Freestyle'!E50,"AAAAAD9P81U=")</f>
        <v>#VALUE!</v>
      </c>
      <c r="CI44" t="e">
        <f>AND('Double Dutch Pairs Freestyle'!F50,"AAAAAD9P81Y=")</f>
        <v>#VALUE!</v>
      </c>
      <c r="CJ44" t="e">
        <f>AND('Double Dutch Pairs Freestyle'!G50,"AAAAAD9P81c=")</f>
        <v>#VALUE!</v>
      </c>
      <c r="CK44" t="e">
        <f>AND('Double Dutch Pairs Freestyle'!H50,"AAAAAD9P81g=")</f>
        <v>#VALUE!</v>
      </c>
      <c r="CL44" t="e">
        <f>AND('Double Dutch Pairs Freestyle'!I50,"AAAAAD9P81k=")</f>
        <v>#VALUE!</v>
      </c>
      <c r="CM44" t="e">
        <f>AND('Double Dutch Pairs Freestyle'!J50,"AAAAAD9P81o=")</f>
        <v>#VALUE!</v>
      </c>
      <c r="CN44" t="e">
        <f>AND('Double Dutch Pairs Freestyle'!K50,"AAAAAD9P81s=")</f>
        <v>#VALUE!</v>
      </c>
      <c r="CO44">
        <f>IF('Double Dutch Pairs Freestyle'!51:51,"AAAAAD9P81w=",0)</f>
        <v>0</v>
      </c>
      <c r="CP44" t="e">
        <f>AND('Double Dutch Pairs Freestyle'!A51,"AAAAAD9P810=")</f>
        <v>#VALUE!</v>
      </c>
      <c r="CQ44" t="e">
        <f>AND('Double Dutch Pairs Freestyle'!B51,"AAAAAD9P814=")</f>
        <v>#VALUE!</v>
      </c>
      <c r="CR44" t="e">
        <f>AND('Double Dutch Pairs Freestyle'!C51,"AAAAAD9P818=")</f>
        <v>#VALUE!</v>
      </c>
      <c r="CS44" t="e">
        <f>AND('Double Dutch Pairs Freestyle'!D51,"AAAAAD9P82A=")</f>
        <v>#VALUE!</v>
      </c>
      <c r="CT44" t="e">
        <f>AND('Double Dutch Pairs Freestyle'!E51,"AAAAAD9P82E=")</f>
        <v>#VALUE!</v>
      </c>
      <c r="CU44" t="e">
        <f>AND('Double Dutch Pairs Freestyle'!F51,"AAAAAD9P82I=")</f>
        <v>#VALUE!</v>
      </c>
      <c r="CV44" t="e">
        <f>AND('Double Dutch Pairs Freestyle'!G51,"AAAAAD9P82M=")</f>
        <v>#VALUE!</v>
      </c>
      <c r="CW44" t="e">
        <f>AND('Double Dutch Pairs Freestyle'!H51,"AAAAAD9P82Q=")</f>
        <v>#VALUE!</v>
      </c>
      <c r="CX44" t="e">
        <f>AND('Double Dutch Pairs Freestyle'!I51,"AAAAAD9P82U=")</f>
        <v>#VALUE!</v>
      </c>
      <c r="CY44" t="e">
        <f>AND('Double Dutch Pairs Freestyle'!J51,"AAAAAD9P82Y=")</f>
        <v>#VALUE!</v>
      </c>
      <c r="CZ44" t="e">
        <f>AND('Double Dutch Pairs Freestyle'!K51,"AAAAAD9P82c=")</f>
        <v>#VALUE!</v>
      </c>
      <c r="DA44">
        <f>IF('Double Dutch Pairs Freestyle'!52:52,"AAAAAD9P82g=",0)</f>
        <v>0</v>
      </c>
      <c r="DB44" t="e">
        <f>AND('Double Dutch Pairs Freestyle'!A52,"AAAAAD9P82k=")</f>
        <v>#VALUE!</v>
      </c>
      <c r="DC44" t="e">
        <f>AND('Double Dutch Pairs Freestyle'!B52,"AAAAAD9P82o=")</f>
        <v>#VALUE!</v>
      </c>
      <c r="DD44" t="e">
        <f>AND('Double Dutch Pairs Freestyle'!C52,"AAAAAD9P82s=")</f>
        <v>#VALUE!</v>
      </c>
      <c r="DE44" t="e">
        <f>AND('Double Dutch Pairs Freestyle'!D52,"AAAAAD9P82w=")</f>
        <v>#VALUE!</v>
      </c>
      <c r="DF44" t="e">
        <f>AND('Double Dutch Pairs Freestyle'!E52,"AAAAAD9P820=")</f>
        <v>#VALUE!</v>
      </c>
      <c r="DG44" t="e">
        <f>AND('Double Dutch Pairs Freestyle'!F52,"AAAAAD9P824=")</f>
        <v>#VALUE!</v>
      </c>
      <c r="DH44" t="e">
        <f>AND('Double Dutch Pairs Freestyle'!G52,"AAAAAD9P828=")</f>
        <v>#VALUE!</v>
      </c>
      <c r="DI44" t="e">
        <f>AND('Double Dutch Pairs Freestyle'!H52,"AAAAAD9P83A=")</f>
        <v>#VALUE!</v>
      </c>
      <c r="DJ44" t="e">
        <f>AND('Double Dutch Pairs Freestyle'!I52,"AAAAAD9P83E=")</f>
        <v>#VALUE!</v>
      </c>
      <c r="DK44" t="e">
        <f>AND('Double Dutch Pairs Freestyle'!J52,"AAAAAD9P83I=")</f>
        <v>#VALUE!</v>
      </c>
      <c r="DL44" t="e">
        <f>AND('Double Dutch Pairs Freestyle'!K52,"AAAAAD9P83M=")</f>
        <v>#VALUE!</v>
      </c>
      <c r="DM44">
        <f>IF('Double Dutch Pairs Freestyle'!53:53,"AAAAAD9P83Q=",0)</f>
        <v>0</v>
      </c>
      <c r="DN44" t="e">
        <f>AND('Double Dutch Pairs Freestyle'!A53,"AAAAAD9P83U=")</f>
        <v>#VALUE!</v>
      </c>
      <c r="DO44" t="e">
        <f>AND('Double Dutch Pairs Freestyle'!B53,"AAAAAD9P83Y=")</f>
        <v>#VALUE!</v>
      </c>
      <c r="DP44" t="e">
        <f>AND('Double Dutch Pairs Freestyle'!C53,"AAAAAD9P83c=")</f>
        <v>#VALUE!</v>
      </c>
      <c r="DQ44" t="e">
        <f>AND('Double Dutch Pairs Freestyle'!D53,"AAAAAD9P83g=")</f>
        <v>#VALUE!</v>
      </c>
      <c r="DR44" t="e">
        <f>AND('Double Dutch Pairs Freestyle'!E53,"AAAAAD9P83k=")</f>
        <v>#VALUE!</v>
      </c>
      <c r="DS44" t="e">
        <f>AND('Double Dutch Pairs Freestyle'!F53,"AAAAAD9P83o=")</f>
        <v>#VALUE!</v>
      </c>
      <c r="DT44" t="e">
        <f>AND('Double Dutch Pairs Freestyle'!G53,"AAAAAD9P83s=")</f>
        <v>#VALUE!</v>
      </c>
      <c r="DU44" t="e">
        <f>AND('Double Dutch Pairs Freestyle'!H53,"AAAAAD9P83w=")</f>
        <v>#VALUE!</v>
      </c>
      <c r="DV44" t="e">
        <f>AND('Double Dutch Pairs Freestyle'!I53,"AAAAAD9P830=")</f>
        <v>#VALUE!</v>
      </c>
      <c r="DW44" t="e">
        <f>AND('Double Dutch Pairs Freestyle'!J53,"AAAAAD9P834=")</f>
        <v>#VALUE!</v>
      </c>
      <c r="DX44" t="e">
        <f>AND('Double Dutch Pairs Freestyle'!K53,"AAAAAD9P838=")</f>
        <v>#VALUE!</v>
      </c>
      <c r="DY44">
        <f>IF('Double Dutch Pairs Freestyle'!54:54,"AAAAAD9P84A=",0)</f>
        <v>0</v>
      </c>
      <c r="DZ44" t="e">
        <f>AND('Double Dutch Pairs Freestyle'!A54,"AAAAAD9P84E=")</f>
        <v>#VALUE!</v>
      </c>
      <c r="EA44" t="e">
        <f>AND('Double Dutch Pairs Freestyle'!B54,"AAAAAD9P84I=")</f>
        <v>#VALUE!</v>
      </c>
      <c r="EB44" t="e">
        <f>AND('Double Dutch Pairs Freestyle'!C54,"AAAAAD9P84M=")</f>
        <v>#VALUE!</v>
      </c>
      <c r="EC44" t="e">
        <f>AND('Double Dutch Pairs Freestyle'!D54,"AAAAAD9P84Q=")</f>
        <v>#VALUE!</v>
      </c>
      <c r="ED44" t="e">
        <f>AND('Double Dutch Pairs Freestyle'!E54,"AAAAAD9P84U=")</f>
        <v>#VALUE!</v>
      </c>
      <c r="EE44" t="e">
        <f>AND('Double Dutch Pairs Freestyle'!F54,"AAAAAD9P84Y=")</f>
        <v>#VALUE!</v>
      </c>
      <c r="EF44" t="e">
        <f>AND('Double Dutch Pairs Freestyle'!G54,"AAAAAD9P84c=")</f>
        <v>#VALUE!</v>
      </c>
      <c r="EG44" t="e">
        <f>AND('Double Dutch Pairs Freestyle'!H54,"AAAAAD9P84g=")</f>
        <v>#VALUE!</v>
      </c>
      <c r="EH44" t="e">
        <f>AND('Double Dutch Pairs Freestyle'!I54,"AAAAAD9P84k=")</f>
        <v>#VALUE!</v>
      </c>
      <c r="EI44" t="e">
        <f>AND('Double Dutch Pairs Freestyle'!J54,"AAAAAD9P84o=")</f>
        <v>#VALUE!</v>
      </c>
      <c r="EJ44" t="e">
        <f>AND('Double Dutch Pairs Freestyle'!K54,"AAAAAD9P84s=")</f>
        <v>#VALUE!</v>
      </c>
      <c r="EK44">
        <f>IF('Double Dutch Pairs Freestyle'!55:55,"AAAAAD9P84w=",0)</f>
        <v>0</v>
      </c>
      <c r="EL44" t="e">
        <f>AND('Double Dutch Pairs Freestyle'!A55,"AAAAAD9P840=")</f>
        <v>#VALUE!</v>
      </c>
      <c r="EM44" t="e">
        <f>AND('Double Dutch Pairs Freestyle'!B55,"AAAAAD9P844=")</f>
        <v>#VALUE!</v>
      </c>
      <c r="EN44" t="e">
        <f>AND('Double Dutch Pairs Freestyle'!C55,"AAAAAD9P848=")</f>
        <v>#VALUE!</v>
      </c>
      <c r="EO44" t="e">
        <f>AND('Double Dutch Pairs Freestyle'!D55,"AAAAAD9P85A=")</f>
        <v>#VALUE!</v>
      </c>
      <c r="EP44" t="e">
        <f>AND('Double Dutch Pairs Freestyle'!E55,"AAAAAD9P85E=")</f>
        <v>#VALUE!</v>
      </c>
      <c r="EQ44" t="e">
        <f>AND('Double Dutch Pairs Freestyle'!F55,"AAAAAD9P85I=")</f>
        <v>#VALUE!</v>
      </c>
      <c r="ER44" t="e">
        <f>AND('Double Dutch Pairs Freestyle'!G55,"AAAAAD9P85M=")</f>
        <v>#VALUE!</v>
      </c>
      <c r="ES44" t="e">
        <f>AND('Double Dutch Pairs Freestyle'!H55,"AAAAAD9P85Q=")</f>
        <v>#VALUE!</v>
      </c>
      <c r="ET44" t="e">
        <f>AND('Double Dutch Pairs Freestyle'!I55,"AAAAAD9P85U=")</f>
        <v>#VALUE!</v>
      </c>
      <c r="EU44" t="e">
        <f>AND('Double Dutch Pairs Freestyle'!J55,"AAAAAD9P85Y=")</f>
        <v>#VALUE!</v>
      </c>
      <c r="EV44" t="e">
        <f>AND('Double Dutch Pairs Freestyle'!K55,"AAAAAD9P85c=")</f>
        <v>#VALUE!</v>
      </c>
      <c r="EW44">
        <f>IF('Double Dutch Pairs Freestyle'!56:56,"AAAAAD9P85g=",0)</f>
        <v>0</v>
      </c>
      <c r="EX44" t="e">
        <f>AND('Double Dutch Pairs Freestyle'!A56,"AAAAAD9P85k=")</f>
        <v>#VALUE!</v>
      </c>
      <c r="EY44" t="e">
        <f>AND('Double Dutch Pairs Freestyle'!B56,"AAAAAD9P85o=")</f>
        <v>#VALUE!</v>
      </c>
      <c r="EZ44" t="e">
        <f>AND('Double Dutch Pairs Freestyle'!C56,"AAAAAD9P85s=")</f>
        <v>#VALUE!</v>
      </c>
      <c r="FA44" t="e">
        <f>AND('Double Dutch Pairs Freestyle'!D56,"AAAAAD9P85w=")</f>
        <v>#VALUE!</v>
      </c>
      <c r="FB44" t="e">
        <f>AND('Double Dutch Pairs Freestyle'!E56,"AAAAAD9P850=")</f>
        <v>#VALUE!</v>
      </c>
      <c r="FC44" t="e">
        <f>AND('Double Dutch Pairs Freestyle'!F56,"AAAAAD9P854=")</f>
        <v>#VALUE!</v>
      </c>
      <c r="FD44" t="e">
        <f>AND('Double Dutch Pairs Freestyle'!G56,"AAAAAD9P858=")</f>
        <v>#VALUE!</v>
      </c>
      <c r="FE44" t="e">
        <f>AND('Double Dutch Pairs Freestyle'!H56,"AAAAAD9P86A=")</f>
        <v>#VALUE!</v>
      </c>
      <c r="FF44" t="e">
        <f>AND('Double Dutch Pairs Freestyle'!I56,"AAAAAD9P86E=")</f>
        <v>#VALUE!</v>
      </c>
      <c r="FG44" t="e">
        <f>AND('Double Dutch Pairs Freestyle'!J56,"AAAAAD9P86I=")</f>
        <v>#VALUE!</v>
      </c>
      <c r="FH44" t="e">
        <f>AND('Double Dutch Pairs Freestyle'!K56,"AAAAAD9P86M=")</f>
        <v>#VALUE!</v>
      </c>
      <c r="FI44">
        <f>IF('Double Dutch Pairs Freestyle'!57:57,"AAAAAD9P86Q=",0)</f>
        <v>0</v>
      </c>
      <c r="FJ44" t="e">
        <f>AND('Double Dutch Pairs Freestyle'!A57,"AAAAAD9P86U=")</f>
        <v>#VALUE!</v>
      </c>
      <c r="FK44" t="e">
        <f>AND('Double Dutch Pairs Freestyle'!B57,"AAAAAD9P86Y=")</f>
        <v>#VALUE!</v>
      </c>
      <c r="FL44" t="e">
        <f>AND('Double Dutch Pairs Freestyle'!C57,"AAAAAD9P86c=")</f>
        <v>#VALUE!</v>
      </c>
      <c r="FM44" t="e">
        <f>AND('Double Dutch Pairs Freestyle'!D57,"AAAAAD9P86g=")</f>
        <v>#VALUE!</v>
      </c>
      <c r="FN44" t="e">
        <f>AND('Double Dutch Pairs Freestyle'!E57,"AAAAAD9P86k=")</f>
        <v>#VALUE!</v>
      </c>
      <c r="FO44" t="e">
        <f>AND('Double Dutch Pairs Freestyle'!F57,"AAAAAD9P86o=")</f>
        <v>#VALUE!</v>
      </c>
      <c r="FP44" t="e">
        <f>AND('Double Dutch Pairs Freestyle'!G57,"AAAAAD9P86s=")</f>
        <v>#VALUE!</v>
      </c>
      <c r="FQ44" t="e">
        <f>AND('Double Dutch Pairs Freestyle'!H57,"AAAAAD9P86w=")</f>
        <v>#VALUE!</v>
      </c>
      <c r="FR44" t="e">
        <f>AND('Double Dutch Pairs Freestyle'!I57,"AAAAAD9P860=")</f>
        <v>#VALUE!</v>
      </c>
      <c r="FS44" t="e">
        <f>AND('Double Dutch Pairs Freestyle'!J57,"AAAAAD9P864=")</f>
        <v>#VALUE!</v>
      </c>
      <c r="FT44" t="e">
        <f>AND('Double Dutch Pairs Freestyle'!K57,"AAAAAD9P868=")</f>
        <v>#VALUE!</v>
      </c>
      <c r="FU44">
        <f>IF('Double Dutch Pairs Freestyle'!58:58,"AAAAAD9P87A=",0)</f>
        <v>0</v>
      </c>
      <c r="FV44" t="e">
        <f>AND('Double Dutch Pairs Freestyle'!A58,"AAAAAD9P87E=")</f>
        <v>#VALUE!</v>
      </c>
      <c r="FW44" t="e">
        <f>AND('Double Dutch Pairs Freestyle'!B58,"AAAAAD9P87I=")</f>
        <v>#VALUE!</v>
      </c>
      <c r="FX44" t="e">
        <f>AND('Double Dutch Pairs Freestyle'!C58,"AAAAAD9P87M=")</f>
        <v>#VALUE!</v>
      </c>
      <c r="FY44" t="e">
        <f>AND('Double Dutch Pairs Freestyle'!D58,"AAAAAD9P87Q=")</f>
        <v>#VALUE!</v>
      </c>
      <c r="FZ44" t="e">
        <f>AND('Double Dutch Pairs Freestyle'!E58,"AAAAAD9P87U=")</f>
        <v>#VALUE!</v>
      </c>
      <c r="GA44" t="e">
        <f>AND('Double Dutch Pairs Freestyle'!F58,"AAAAAD9P87Y=")</f>
        <v>#VALUE!</v>
      </c>
      <c r="GB44" t="e">
        <f>AND('Double Dutch Pairs Freestyle'!G58,"AAAAAD9P87c=")</f>
        <v>#VALUE!</v>
      </c>
      <c r="GC44" t="e">
        <f>AND('Double Dutch Pairs Freestyle'!H58,"AAAAAD9P87g=")</f>
        <v>#VALUE!</v>
      </c>
      <c r="GD44" t="e">
        <f>AND('Double Dutch Pairs Freestyle'!I58,"AAAAAD9P87k=")</f>
        <v>#VALUE!</v>
      </c>
      <c r="GE44" t="e">
        <f>AND('Double Dutch Pairs Freestyle'!J58,"AAAAAD9P87o=")</f>
        <v>#VALUE!</v>
      </c>
      <c r="GF44" t="e">
        <f>AND('Double Dutch Pairs Freestyle'!K58,"AAAAAD9P87s=")</f>
        <v>#VALUE!</v>
      </c>
      <c r="GG44">
        <f>IF('Double Dutch Pairs Freestyle'!59:59,"AAAAAD9P87w=",0)</f>
        <v>0</v>
      </c>
      <c r="GH44" t="e">
        <f>AND('Double Dutch Pairs Freestyle'!A59,"AAAAAD9P870=")</f>
        <v>#VALUE!</v>
      </c>
      <c r="GI44" t="e">
        <f>AND('Double Dutch Pairs Freestyle'!B59,"AAAAAD9P874=")</f>
        <v>#VALUE!</v>
      </c>
      <c r="GJ44" t="e">
        <f>AND('Double Dutch Pairs Freestyle'!C59,"AAAAAD9P878=")</f>
        <v>#VALUE!</v>
      </c>
      <c r="GK44" t="e">
        <f>AND('Double Dutch Pairs Freestyle'!D59,"AAAAAD9P88A=")</f>
        <v>#VALUE!</v>
      </c>
      <c r="GL44" t="e">
        <f>AND('Double Dutch Pairs Freestyle'!E59,"AAAAAD9P88E=")</f>
        <v>#VALUE!</v>
      </c>
      <c r="GM44" t="e">
        <f>AND('Double Dutch Pairs Freestyle'!F59,"AAAAAD9P88I=")</f>
        <v>#VALUE!</v>
      </c>
      <c r="GN44" t="e">
        <f>AND('Double Dutch Pairs Freestyle'!G59,"AAAAAD9P88M=")</f>
        <v>#VALUE!</v>
      </c>
      <c r="GO44" t="e">
        <f>AND('Double Dutch Pairs Freestyle'!H59,"AAAAAD9P88Q=")</f>
        <v>#VALUE!</v>
      </c>
      <c r="GP44" t="e">
        <f>AND('Double Dutch Pairs Freestyle'!I59,"AAAAAD9P88U=")</f>
        <v>#VALUE!</v>
      </c>
      <c r="GQ44" t="e">
        <f>AND('Double Dutch Pairs Freestyle'!J59,"AAAAAD9P88Y=")</f>
        <v>#VALUE!</v>
      </c>
      <c r="GR44" t="e">
        <f>AND('Double Dutch Pairs Freestyle'!K59,"AAAAAD9P88c=")</f>
        <v>#VALUE!</v>
      </c>
      <c r="GS44">
        <f>IF('Double Dutch Pairs Freestyle'!60:60,"AAAAAD9P88g=",0)</f>
        <v>0</v>
      </c>
      <c r="GT44" t="e">
        <f>AND('Double Dutch Pairs Freestyle'!A60,"AAAAAD9P88k=")</f>
        <v>#VALUE!</v>
      </c>
      <c r="GU44" t="e">
        <f>AND('Double Dutch Pairs Freestyle'!B60,"AAAAAD9P88o=")</f>
        <v>#VALUE!</v>
      </c>
      <c r="GV44" t="e">
        <f>AND('Double Dutch Pairs Freestyle'!C60,"AAAAAD9P88s=")</f>
        <v>#VALUE!</v>
      </c>
      <c r="GW44" t="e">
        <f>AND('Double Dutch Pairs Freestyle'!D60,"AAAAAD9P88w=")</f>
        <v>#VALUE!</v>
      </c>
      <c r="GX44" t="e">
        <f>AND('Double Dutch Pairs Freestyle'!E60,"AAAAAD9P880=")</f>
        <v>#VALUE!</v>
      </c>
      <c r="GY44" t="e">
        <f>AND('Double Dutch Pairs Freestyle'!F60,"AAAAAD9P884=")</f>
        <v>#VALUE!</v>
      </c>
      <c r="GZ44" t="e">
        <f>AND('Double Dutch Pairs Freestyle'!G60,"AAAAAD9P888=")</f>
        <v>#VALUE!</v>
      </c>
      <c r="HA44" t="e">
        <f>AND('Double Dutch Pairs Freestyle'!H60,"AAAAAD9P89A=")</f>
        <v>#VALUE!</v>
      </c>
      <c r="HB44" t="e">
        <f>AND('Double Dutch Pairs Freestyle'!I60,"AAAAAD9P89E=")</f>
        <v>#VALUE!</v>
      </c>
      <c r="HC44" t="e">
        <f>AND('Double Dutch Pairs Freestyle'!J60,"AAAAAD9P89I=")</f>
        <v>#VALUE!</v>
      </c>
      <c r="HD44" t="e">
        <f>AND('Double Dutch Pairs Freestyle'!K60,"AAAAAD9P89M=")</f>
        <v>#VALUE!</v>
      </c>
      <c r="HE44">
        <f>IF('Double Dutch Pairs Freestyle'!61:61,"AAAAAD9P89Q=",0)</f>
        <v>0</v>
      </c>
      <c r="HF44" t="e">
        <f>AND('Double Dutch Pairs Freestyle'!A61,"AAAAAD9P89U=")</f>
        <v>#VALUE!</v>
      </c>
      <c r="HG44" t="e">
        <f>AND('Double Dutch Pairs Freestyle'!B61,"AAAAAD9P89Y=")</f>
        <v>#VALUE!</v>
      </c>
      <c r="HH44" t="e">
        <f>AND('Double Dutch Pairs Freestyle'!C61,"AAAAAD9P89c=")</f>
        <v>#VALUE!</v>
      </c>
      <c r="HI44" t="e">
        <f>AND('Double Dutch Pairs Freestyle'!D61,"AAAAAD9P89g=")</f>
        <v>#VALUE!</v>
      </c>
      <c r="HJ44" t="e">
        <f>AND('Double Dutch Pairs Freestyle'!E61,"AAAAAD9P89k=")</f>
        <v>#VALUE!</v>
      </c>
      <c r="HK44" t="e">
        <f>AND('Double Dutch Pairs Freestyle'!F61,"AAAAAD9P89o=")</f>
        <v>#VALUE!</v>
      </c>
      <c r="HL44" t="e">
        <f>AND('Double Dutch Pairs Freestyle'!G61,"AAAAAD9P89s=")</f>
        <v>#VALUE!</v>
      </c>
      <c r="HM44" t="e">
        <f>AND('Double Dutch Pairs Freestyle'!H61,"AAAAAD9P89w=")</f>
        <v>#VALUE!</v>
      </c>
      <c r="HN44" t="e">
        <f>AND('Double Dutch Pairs Freestyle'!I61,"AAAAAD9P890=")</f>
        <v>#VALUE!</v>
      </c>
      <c r="HO44" t="e">
        <f>AND('Double Dutch Pairs Freestyle'!J61,"AAAAAD9P894=")</f>
        <v>#VALUE!</v>
      </c>
      <c r="HP44" t="e">
        <f>AND('Double Dutch Pairs Freestyle'!K61,"AAAAAD9P898=")</f>
        <v>#VALUE!</v>
      </c>
      <c r="HQ44">
        <f>IF('Double Dutch Pairs Freestyle'!62:62,"AAAAAD9P8+A=",0)</f>
        <v>0</v>
      </c>
      <c r="HR44" t="e">
        <f>AND('Double Dutch Pairs Freestyle'!A62,"AAAAAD9P8+E=")</f>
        <v>#VALUE!</v>
      </c>
      <c r="HS44" t="e">
        <f>AND('Double Dutch Pairs Freestyle'!B62,"AAAAAD9P8+I=")</f>
        <v>#VALUE!</v>
      </c>
      <c r="HT44" t="e">
        <f>AND('Double Dutch Pairs Freestyle'!C62,"AAAAAD9P8+M=")</f>
        <v>#VALUE!</v>
      </c>
      <c r="HU44" t="e">
        <f>AND('Double Dutch Pairs Freestyle'!D62,"AAAAAD9P8+Q=")</f>
        <v>#VALUE!</v>
      </c>
      <c r="HV44" t="e">
        <f>AND('Double Dutch Pairs Freestyle'!E62,"AAAAAD9P8+U=")</f>
        <v>#VALUE!</v>
      </c>
      <c r="HW44" t="e">
        <f>AND('Double Dutch Pairs Freestyle'!F62,"AAAAAD9P8+Y=")</f>
        <v>#VALUE!</v>
      </c>
      <c r="HX44" t="e">
        <f>AND('Double Dutch Pairs Freestyle'!G62,"AAAAAD9P8+c=")</f>
        <v>#VALUE!</v>
      </c>
      <c r="HY44" t="e">
        <f>AND('Double Dutch Pairs Freestyle'!H62,"AAAAAD9P8+g=")</f>
        <v>#VALUE!</v>
      </c>
      <c r="HZ44" t="e">
        <f>AND('Double Dutch Pairs Freestyle'!I62,"AAAAAD9P8+k=")</f>
        <v>#VALUE!</v>
      </c>
      <c r="IA44" t="e">
        <f>AND('Double Dutch Pairs Freestyle'!J62,"AAAAAD9P8+o=")</f>
        <v>#VALUE!</v>
      </c>
      <c r="IB44" t="e">
        <f>AND('Double Dutch Pairs Freestyle'!K62,"AAAAAD9P8+s=")</f>
        <v>#VALUE!</v>
      </c>
      <c r="IC44">
        <f>IF('Double Dutch Pairs Freestyle'!63:63,"AAAAAD9P8+w=",0)</f>
        <v>0</v>
      </c>
      <c r="ID44" t="e">
        <f>AND('Double Dutch Pairs Freestyle'!A63,"AAAAAD9P8+0=")</f>
        <v>#VALUE!</v>
      </c>
      <c r="IE44" t="e">
        <f>AND('Double Dutch Pairs Freestyle'!B63,"AAAAAD9P8+4=")</f>
        <v>#VALUE!</v>
      </c>
      <c r="IF44" t="e">
        <f>AND('Double Dutch Pairs Freestyle'!C63,"AAAAAD9P8+8=")</f>
        <v>#VALUE!</v>
      </c>
      <c r="IG44" t="e">
        <f>AND('Double Dutch Pairs Freestyle'!D63,"AAAAAD9P8/A=")</f>
        <v>#VALUE!</v>
      </c>
      <c r="IH44" t="e">
        <f>AND('Double Dutch Pairs Freestyle'!E63,"AAAAAD9P8/E=")</f>
        <v>#VALUE!</v>
      </c>
      <c r="II44" t="e">
        <f>AND('Double Dutch Pairs Freestyle'!F63,"AAAAAD9P8/I=")</f>
        <v>#VALUE!</v>
      </c>
      <c r="IJ44" t="e">
        <f>AND('Double Dutch Pairs Freestyle'!G63,"AAAAAD9P8/M=")</f>
        <v>#VALUE!</v>
      </c>
      <c r="IK44" t="e">
        <f>AND('Double Dutch Pairs Freestyle'!H63,"AAAAAD9P8/Q=")</f>
        <v>#VALUE!</v>
      </c>
      <c r="IL44" t="e">
        <f>AND('Double Dutch Pairs Freestyle'!I63,"AAAAAD9P8/U=")</f>
        <v>#VALUE!</v>
      </c>
      <c r="IM44" t="e">
        <f>AND('Double Dutch Pairs Freestyle'!J63,"AAAAAD9P8/Y=")</f>
        <v>#VALUE!</v>
      </c>
      <c r="IN44" t="e">
        <f>AND('Double Dutch Pairs Freestyle'!K63,"AAAAAD9P8/c=")</f>
        <v>#VALUE!</v>
      </c>
      <c r="IO44">
        <f>IF('Double Dutch Pairs Freestyle'!64:64,"AAAAAD9P8/g=",0)</f>
        <v>0</v>
      </c>
      <c r="IP44" t="e">
        <f>AND('Double Dutch Pairs Freestyle'!A64,"AAAAAD9P8/k=")</f>
        <v>#VALUE!</v>
      </c>
      <c r="IQ44" t="e">
        <f>AND('Double Dutch Pairs Freestyle'!B64,"AAAAAD9P8/o=")</f>
        <v>#VALUE!</v>
      </c>
      <c r="IR44" t="e">
        <f>AND('Double Dutch Pairs Freestyle'!C64,"AAAAAD9P8/s=")</f>
        <v>#VALUE!</v>
      </c>
      <c r="IS44" t="e">
        <f>AND('Double Dutch Pairs Freestyle'!D64,"AAAAAD9P8/w=")</f>
        <v>#VALUE!</v>
      </c>
      <c r="IT44" t="e">
        <f>AND('Double Dutch Pairs Freestyle'!E64,"AAAAAD9P8/0=")</f>
        <v>#VALUE!</v>
      </c>
      <c r="IU44" t="e">
        <f>AND('Double Dutch Pairs Freestyle'!F64,"AAAAAD9P8/4=")</f>
        <v>#VALUE!</v>
      </c>
      <c r="IV44" t="e">
        <f>AND('Double Dutch Pairs Freestyle'!G64,"AAAAAD9P8/8=")</f>
        <v>#VALUE!</v>
      </c>
    </row>
    <row r="45" spans="1:256" x14ac:dyDescent="0.25">
      <c r="A45" t="e">
        <f>AND('Double Dutch Pairs Freestyle'!H64,"AAAAAH9+6wA=")</f>
        <v>#VALUE!</v>
      </c>
      <c r="B45" t="e">
        <f>AND('Double Dutch Pairs Freestyle'!I64,"AAAAAH9+6wE=")</f>
        <v>#VALUE!</v>
      </c>
      <c r="C45" t="e">
        <f>AND('Double Dutch Pairs Freestyle'!J64,"AAAAAH9+6wI=")</f>
        <v>#VALUE!</v>
      </c>
      <c r="D45" t="e">
        <f>AND('Double Dutch Pairs Freestyle'!K64,"AAAAAH9+6wM=")</f>
        <v>#VALUE!</v>
      </c>
      <c r="E45">
        <f>IF('Double Dutch Pairs Freestyle'!65:65,"AAAAAH9+6wQ=",0)</f>
        <v>0</v>
      </c>
      <c r="F45" t="e">
        <f>AND('Double Dutch Pairs Freestyle'!A65,"AAAAAH9+6wU=")</f>
        <v>#VALUE!</v>
      </c>
      <c r="G45" t="e">
        <f>AND('Double Dutch Pairs Freestyle'!B65,"AAAAAH9+6wY=")</f>
        <v>#VALUE!</v>
      </c>
      <c r="H45" t="e">
        <f>AND('Double Dutch Pairs Freestyle'!C65,"AAAAAH9+6wc=")</f>
        <v>#VALUE!</v>
      </c>
      <c r="I45" t="e">
        <f>AND('Double Dutch Pairs Freestyle'!D65,"AAAAAH9+6wg=")</f>
        <v>#VALUE!</v>
      </c>
      <c r="J45" t="e">
        <f>AND('Double Dutch Pairs Freestyle'!E65,"AAAAAH9+6wk=")</f>
        <v>#VALUE!</v>
      </c>
      <c r="K45" t="e">
        <f>AND('Double Dutch Pairs Freestyle'!F65,"AAAAAH9+6wo=")</f>
        <v>#VALUE!</v>
      </c>
      <c r="L45" t="e">
        <f>AND('Double Dutch Pairs Freestyle'!G65,"AAAAAH9+6ws=")</f>
        <v>#VALUE!</v>
      </c>
      <c r="M45" t="e">
        <f>AND('Double Dutch Pairs Freestyle'!H65,"AAAAAH9+6ww=")</f>
        <v>#VALUE!</v>
      </c>
      <c r="N45" t="e">
        <f>AND('Double Dutch Pairs Freestyle'!I65,"AAAAAH9+6w0=")</f>
        <v>#VALUE!</v>
      </c>
      <c r="O45" t="e">
        <f>AND('Double Dutch Pairs Freestyle'!J65,"AAAAAH9+6w4=")</f>
        <v>#VALUE!</v>
      </c>
      <c r="P45" t="e">
        <f>AND('Double Dutch Pairs Freestyle'!K65,"AAAAAH9+6w8=")</f>
        <v>#VALUE!</v>
      </c>
      <c r="Q45">
        <f>IF('Double Dutch Pairs Freestyle'!66:66,"AAAAAH9+6xA=",0)</f>
        <v>0</v>
      </c>
      <c r="R45" t="e">
        <f>AND('Double Dutch Pairs Freestyle'!A66,"AAAAAH9+6xE=")</f>
        <v>#VALUE!</v>
      </c>
      <c r="S45" t="e">
        <f>AND('Double Dutch Pairs Freestyle'!B66,"AAAAAH9+6xI=")</f>
        <v>#VALUE!</v>
      </c>
      <c r="T45" t="e">
        <f>AND('Double Dutch Pairs Freestyle'!C66,"AAAAAH9+6xM=")</f>
        <v>#VALUE!</v>
      </c>
      <c r="U45" t="e">
        <f>AND('Double Dutch Pairs Freestyle'!D66,"AAAAAH9+6xQ=")</f>
        <v>#VALUE!</v>
      </c>
      <c r="V45" t="e">
        <f>AND('Double Dutch Pairs Freestyle'!E66,"AAAAAH9+6xU=")</f>
        <v>#VALUE!</v>
      </c>
      <c r="W45" t="e">
        <f>AND('Double Dutch Pairs Freestyle'!F66,"AAAAAH9+6xY=")</f>
        <v>#VALUE!</v>
      </c>
      <c r="X45" t="e">
        <f>AND('Double Dutch Pairs Freestyle'!G66,"AAAAAH9+6xc=")</f>
        <v>#VALUE!</v>
      </c>
      <c r="Y45" t="e">
        <f>AND('Double Dutch Pairs Freestyle'!H66,"AAAAAH9+6xg=")</f>
        <v>#VALUE!</v>
      </c>
      <c r="Z45" t="e">
        <f>AND('Double Dutch Pairs Freestyle'!I66,"AAAAAH9+6xk=")</f>
        <v>#VALUE!</v>
      </c>
      <c r="AA45" t="e">
        <f>AND('Double Dutch Pairs Freestyle'!J66,"AAAAAH9+6xo=")</f>
        <v>#VALUE!</v>
      </c>
      <c r="AB45" t="e">
        <f>AND('Double Dutch Pairs Freestyle'!K66,"AAAAAH9+6xs=")</f>
        <v>#VALUE!</v>
      </c>
      <c r="AC45">
        <f>IF('Double Dutch Pairs Freestyle'!67:67,"AAAAAH9+6xw=",0)</f>
        <v>0</v>
      </c>
      <c r="AD45" t="e">
        <f>AND('Double Dutch Pairs Freestyle'!A67,"AAAAAH9+6x0=")</f>
        <v>#VALUE!</v>
      </c>
      <c r="AE45" t="e">
        <f>AND('Double Dutch Pairs Freestyle'!B67,"AAAAAH9+6x4=")</f>
        <v>#VALUE!</v>
      </c>
      <c r="AF45" t="e">
        <f>AND('Double Dutch Pairs Freestyle'!C67,"AAAAAH9+6x8=")</f>
        <v>#VALUE!</v>
      </c>
      <c r="AG45" t="e">
        <f>AND('Double Dutch Pairs Freestyle'!D67,"AAAAAH9+6yA=")</f>
        <v>#VALUE!</v>
      </c>
      <c r="AH45" t="e">
        <f>AND('Double Dutch Pairs Freestyle'!E67,"AAAAAH9+6yE=")</f>
        <v>#VALUE!</v>
      </c>
      <c r="AI45" t="e">
        <f>AND('Double Dutch Pairs Freestyle'!F67,"AAAAAH9+6yI=")</f>
        <v>#VALUE!</v>
      </c>
      <c r="AJ45" t="e">
        <f>AND('Double Dutch Pairs Freestyle'!G67,"AAAAAH9+6yM=")</f>
        <v>#VALUE!</v>
      </c>
      <c r="AK45" t="e">
        <f>AND('Double Dutch Pairs Freestyle'!H67,"AAAAAH9+6yQ=")</f>
        <v>#VALUE!</v>
      </c>
      <c r="AL45" t="e">
        <f>AND('Double Dutch Pairs Freestyle'!I67,"AAAAAH9+6yU=")</f>
        <v>#VALUE!</v>
      </c>
      <c r="AM45" t="e">
        <f>AND('Double Dutch Pairs Freestyle'!J67,"AAAAAH9+6yY=")</f>
        <v>#VALUE!</v>
      </c>
      <c r="AN45" t="e">
        <f>AND('Double Dutch Pairs Freestyle'!K67,"AAAAAH9+6yc=")</f>
        <v>#VALUE!</v>
      </c>
      <c r="AO45">
        <f>IF('Double Dutch Pairs Freestyle'!68:68,"AAAAAH9+6yg=",0)</f>
        <v>0</v>
      </c>
      <c r="AP45" t="e">
        <f>AND('Double Dutch Pairs Freestyle'!A68,"AAAAAH9+6yk=")</f>
        <v>#VALUE!</v>
      </c>
      <c r="AQ45" t="e">
        <f>AND('Double Dutch Pairs Freestyle'!B68,"AAAAAH9+6yo=")</f>
        <v>#VALUE!</v>
      </c>
      <c r="AR45" t="e">
        <f>AND('Double Dutch Pairs Freestyle'!C68,"AAAAAH9+6ys=")</f>
        <v>#VALUE!</v>
      </c>
      <c r="AS45" t="e">
        <f>AND('Double Dutch Pairs Freestyle'!D68,"AAAAAH9+6yw=")</f>
        <v>#VALUE!</v>
      </c>
      <c r="AT45" t="e">
        <f>AND('Double Dutch Pairs Freestyle'!E68,"AAAAAH9+6y0=")</f>
        <v>#VALUE!</v>
      </c>
      <c r="AU45" t="e">
        <f>AND('Double Dutch Pairs Freestyle'!F68,"AAAAAH9+6y4=")</f>
        <v>#VALUE!</v>
      </c>
      <c r="AV45" t="e">
        <f>AND('Double Dutch Pairs Freestyle'!G68,"AAAAAH9+6y8=")</f>
        <v>#VALUE!</v>
      </c>
      <c r="AW45" t="e">
        <f>AND('Double Dutch Pairs Freestyle'!H68,"AAAAAH9+6zA=")</f>
        <v>#VALUE!</v>
      </c>
      <c r="AX45" t="e">
        <f>AND('Double Dutch Pairs Freestyle'!I68,"AAAAAH9+6zE=")</f>
        <v>#VALUE!</v>
      </c>
      <c r="AY45" t="e">
        <f>AND('Double Dutch Pairs Freestyle'!J68,"AAAAAH9+6zI=")</f>
        <v>#VALUE!</v>
      </c>
      <c r="AZ45" t="e">
        <f>AND('Double Dutch Pairs Freestyle'!K68,"AAAAAH9+6zM=")</f>
        <v>#VALUE!</v>
      </c>
      <c r="BA45">
        <f>IF('Double Dutch Pairs Freestyle'!69:69,"AAAAAH9+6zQ=",0)</f>
        <v>0</v>
      </c>
      <c r="BB45" t="e">
        <f>AND('Double Dutch Pairs Freestyle'!A69,"AAAAAH9+6zU=")</f>
        <v>#VALUE!</v>
      </c>
      <c r="BC45" t="e">
        <f>AND('Double Dutch Pairs Freestyle'!B69,"AAAAAH9+6zY=")</f>
        <v>#VALUE!</v>
      </c>
      <c r="BD45" t="e">
        <f>AND('Double Dutch Pairs Freestyle'!C69,"AAAAAH9+6zc=")</f>
        <v>#VALUE!</v>
      </c>
      <c r="BE45" t="e">
        <f>AND('Double Dutch Pairs Freestyle'!D69,"AAAAAH9+6zg=")</f>
        <v>#VALUE!</v>
      </c>
      <c r="BF45" t="e">
        <f>AND('Double Dutch Pairs Freestyle'!E69,"AAAAAH9+6zk=")</f>
        <v>#VALUE!</v>
      </c>
      <c r="BG45" t="e">
        <f>AND('Double Dutch Pairs Freestyle'!F69,"AAAAAH9+6zo=")</f>
        <v>#VALUE!</v>
      </c>
      <c r="BH45" t="e">
        <f>AND('Double Dutch Pairs Freestyle'!G69,"AAAAAH9+6zs=")</f>
        <v>#VALUE!</v>
      </c>
      <c r="BI45" t="e">
        <f>AND('Double Dutch Pairs Freestyle'!H69,"AAAAAH9+6zw=")</f>
        <v>#VALUE!</v>
      </c>
      <c r="BJ45" t="e">
        <f>AND('Double Dutch Pairs Freestyle'!I69,"AAAAAH9+6z0=")</f>
        <v>#VALUE!</v>
      </c>
      <c r="BK45" t="e">
        <f>AND('Double Dutch Pairs Freestyle'!J69,"AAAAAH9+6z4=")</f>
        <v>#VALUE!</v>
      </c>
      <c r="BL45" t="e">
        <f>AND('Double Dutch Pairs Freestyle'!K69,"AAAAAH9+6z8=")</f>
        <v>#VALUE!</v>
      </c>
      <c r="BM45">
        <f>IF('Double Dutch Pairs Freestyle'!70:70,"AAAAAH9+60A=",0)</f>
        <v>0</v>
      </c>
      <c r="BN45" t="e">
        <f>AND('Double Dutch Pairs Freestyle'!A70,"AAAAAH9+60E=")</f>
        <v>#VALUE!</v>
      </c>
      <c r="BO45" t="e">
        <f>AND('Double Dutch Pairs Freestyle'!B70,"AAAAAH9+60I=")</f>
        <v>#VALUE!</v>
      </c>
      <c r="BP45" t="e">
        <f>AND('Double Dutch Pairs Freestyle'!C70,"AAAAAH9+60M=")</f>
        <v>#VALUE!</v>
      </c>
      <c r="BQ45" t="e">
        <f>AND('Double Dutch Pairs Freestyle'!D70,"AAAAAH9+60Q=")</f>
        <v>#VALUE!</v>
      </c>
      <c r="BR45" t="e">
        <f>AND('Double Dutch Pairs Freestyle'!E70,"AAAAAH9+60U=")</f>
        <v>#VALUE!</v>
      </c>
      <c r="BS45" t="e">
        <f>AND('Double Dutch Pairs Freestyle'!F70,"AAAAAH9+60Y=")</f>
        <v>#VALUE!</v>
      </c>
      <c r="BT45" t="e">
        <f>AND('Double Dutch Pairs Freestyle'!G70,"AAAAAH9+60c=")</f>
        <v>#VALUE!</v>
      </c>
      <c r="BU45" t="e">
        <f>AND('Double Dutch Pairs Freestyle'!H70,"AAAAAH9+60g=")</f>
        <v>#VALUE!</v>
      </c>
      <c r="BV45" t="e">
        <f>AND('Double Dutch Pairs Freestyle'!I70,"AAAAAH9+60k=")</f>
        <v>#VALUE!</v>
      </c>
      <c r="BW45" t="e">
        <f>AND('Double Dutch Pairs Freestyle'!J70,"AAAAAH9+60o=")</f>
        <v>#VALUE!</v>
      </c>
      <c r="BX45" t="e">
        <f>AND('Double Dutch Pairs Freestyle'!K70,"AAAAAH9+60s=")</f>
        <v>#VALUE!</v>
      </c>
      <c r="BY45">
        <f>IF('Double Dutch Pairs Freestyle'!71:71,"AAAAAH9+60w=",0)</f>
        <v>0</v>
      </c>
      <c r="BZ45" t="e">
        <f>AND('Double Dutch Pairs Freestyle'!A71,"AAAAAH9+600=")</f>
        <v>#VALUE!</v>
      </c>
      <c r="CA45" t="e">
        <f>AND('Double Dutch Pairs Freestyle'!B71,"AAAAAH9+604=")</f>
        <v>#VALUE!</v>
      </c>
      <c r="CB45" t="e">
        <f>AND('Double Dutch Pairs Freestyle'!C71,"AAAAAH9+608=")</f>
        <v>#VALUE!</v>
      </c>
      <c r="CC45" t="e">
        <f>AND('Double Dutch Pairs Freestyle'!D71,"AAAAAH9+61A=")</f>
        <v>#VALUE!</v>
      </c>
      <c r="CD45" t="e">
        <f>AND('Double Dutch Pairs Freestyle'!E71,"AAAAAH9+61E=")</f>
        <v>#VALUE!</v>
      </c>
      <c r="CE45" t="e">
        <f>AND('Double Dutch Pairs Freestyle'!F71,"AAAAAH9+61I=")</f>
        <v>#VALUE!</v>
      </c>
      <c r="CF45" t="e">
        <f>AND('Double Dutch Pairs Freestyle'!G71,"AAAAAH9+61M=")</f>
        <v>#VALUE!</v>
      </c>
      <c r="CG45" t="e">
        <f>AND('Double Dutch Pairs Freestyle'!H71,"AAAAAH9+61Q=")</f>
        <v>#VALUE!</v>
      </c>
      <c r="CH45" t="e">
        <f>AND('Double Dutch Pairs Freestyle'!I71,"AAAAAH9+61U=")</f>
        <v>#VALUE!</v>
      </c>
      <c r="CI45" t="e">
        <f>AND('Double Dutch Pairs Freestyle'!J71,"AAAAAH9+61Y=")</f>
        <v>#VALUE!</v>
      </c>
      <c r="CJ45" t="e">
        <f>AND('Double Dutch Pairs Freestyle'!K71,"AAAAAH9+61c=")</f>
        <v>#VALUE!</v>
      </c>
      <c r="CK45">
        <f>IF('Double Dutch Pairs Freestyle'!72:72,"AAAAAH9+61g=",0)</f>
        <v>0</v>
      </c>
      <c r="CL45" t="e">
        <f>AND('Double Dutch Pairs Freestyle'!A72,"AAAAAH9+61k=")</f>
        <v>#VALUE!</v>
      </c>
      <c r="CM45" t="e">
        <f>AND('Double Dutch Pairs Freestyle'!B72,"AAAAAH9+61o=")</f>
        <v>#VALUE!</v>
      </c>
      <c r="CN45" t="e">
        <f>AND('Double Dutch Pairs Freestyle'!C72,"AAAAAH9+61s=")</f>
        <v>#VALUE!</v>
      </c>
      <c r="CO45" t="e">
        <f>AND('Double Dutch Pairs Freestyle'!D72,"AAAAAH9+61w=")</f>
        <v>#VALUE!</v>
      </c>
      <c r="CP45" t="e">
        <f>AND('Double Dutch Pairs Freestyle'!E72,"AAAAAH9+610=")</f>
        <v>#VALUE!</v>
      </c>
      <c r="CQ45" t="e">
        <f>AND('Double Dutch Pairs Freestyle'!F72,"AAAAAH9+614=")</f>
        <v>#VALUE!</v>
      </c>
      <c r="CR45" t="e">
        <f>AND('Double Dutch Pairs Freestyle'!G72,"AAAAAH9+618=")</f>
        <v>#VALUE!</v>
      </c>
      <c r="CS45" t="e">
        <f>AND('Double Dutch Pairs Freestyle'!H72,"AAAAAH9+62A=")</f>
        <v>#VALUE!</v>
      </c>
      <c r="CT45" t="e">
        <f>AND('Double Dutch Pairs Freestyle'!I72,"AAAAAH9+62E=")</f>
        <v>#VALUE!</v>
      </c>
      <c r="CU45" t="e">
        <f>AND('Double Dutch Pairs Freestyle'!J72,"AAAAAH9+62I=")</f>
        <v>#VALUE!</v>
      </c>
      <c r="CV45" t="e">
        <f>AND('Double Dutch Pairs Freestyle'!K72,"AAAAAH9+62M=")</f>
        <v>#VALUE!</v>
      </c>
      <c r="CW45">
        <f>IF('Double Dutch Pairs Freestyle'!73:73,"AAAAAH9+62Q=",0)</f>
        <v>0</v>
      </c>
      <c r="CX45" t="e">
        <f>AND('Double Dutch Pairs Freestyle'!A73,"AAAAAH9+62U=")</f>
        <v>#VALUE!</v>
      </c>
      <c r="CY45" t="e">
        <f>AND('Double Dutch Pairs Freestyle'!B73,"AAAAAH9+62Y=")</f>
        <v>#VALUE!</v>
      </c>
      <c r="CZ45" t="e">
        <f>AND('Double Dutch Pairs Freestyle'!C73,"AAAAAH9+62c=")</f>
        <v>#VALUE!</v>
      </c>
      <c r="DA45" t="e">
        <f>AND('Double Dutch Pairs Freestyle'!D73,"AAAAAH9+62g=")</f>
        <v>#VALUE!</v>
      </c>
      <c r="DB45" t="e">
        <f>AND('Double Dutch Pairs Freestyle'!E73,"AAAAAH9+62k=")</f>
        <v>#VALUE!</v>
      </c>
      <c r="DC45" t="e">
        <f>AND('Double Dutch Pairs Freestyle'!F73,"AAAAAH9+62o=")</f>
        <v>#VALUE!</v>
      </c>
      <c r="DD45" t="e">
        <f>AND('Double Dutch Pairs Freestyle'!G73,"AAAAAH9+62s=")</f>
        <v>#VALUE!</v>
      </c>
      <c r="DE45" t="e">
        <f>AND('Double Dutch Pairs Freestyle'!H73,"AAAAAH9+62w=")</f>
        <v>#VALUE!</v>
      </c>
      <c r="DF45" t="e">
        <f>AND('Double Dutch Pairs Freestyle'!I73,"AAAAAH9+620=")</f>
        <v>#VALUE!</v>
      </c>
      <c r="DG45" t="e">
        <f>AND('Double Dutch Pairs Freestyle'!J73,"AAAAAH9+624=")</f>
        <v>#VALUE!</v>
      </c>
      <c r="DH45" t="e">
        <f>AND('Double Dutch Pairs Freestyle'!K73,"AAAAAH9+628=")</f>
        <v>#VALUE!</v>
      </c>
      <c r="DI45">
        <f>IF('Double Dutch Pairs Freestyle'!74:74,"AAAAAH9+63A=",0)</f>
        <v>0</v>
      </c>
      <c r="DJ45" t="e">
        <f>AND('Double Dutch Pairs Freestyle'!A74,"AAAAAH9+63E=")</f>
        <v>#VALUE!</v>
      </c>
      <c r="DK45" t="e">
        <f>AND('Double Dutch Pairs Freestyle'!B74,"AAAAAH9+63I=")</f>
        <v>#VALUE!</v>
      </c>
      <c r="DL45" t="e">
        <f>AND('Double Dutch Pairs Freestyle'!C74,"AAAAAH9+63M=")</f>
        <v>#VALUE!</v>
      </c>
      <c r="DM45" t="e">
        <f>AND('Double Dutch Pairs Freestyle'!D74,"AAAAAH9+63Q=")</f>
        <v>#VALUE!</v>
      </c>
      <c r="DN45" t="e">
        <f>AND('Double Dutch Pairs Freestyle'!E74,"AAAAAH9+63U=")</f>
        <v>#VALUE!</v>
      </c>
      <c r="DO45" t="e">
        <f>AND('Double Dutch Pairs Freestyle'!F74,"AAAAAH9+63Y=")</f>
        <v>#VALUE!</v>
      </c>
      <c r="DP45" t="e">
        <f>AND('Double Dutch Pairs Freestyle'!G74,"AAAAAH9+63c=")</f>
        <v>#VALUE!</v>
      </c>
      <c r="DQ45" t="e">
        <f>AND('Double Dutch Pairs Freestyle'!H74,"AAAAAH9+63g=")</f>
        <v>#VALUE!</v>
      </c>
      <c r="DR45" t="e">
        <f>AND('Double Dutch Pairs Freestyle'!I74,"AAAAAH9+63k=")</f>
        <v>#VALUE!</v>
      </c>
      <c r="DS45" t="e">
        <f>AND('Double Dutch Pairs Freestyle'!J74,"AAAAAH9+63o=")</f>
        <v>#VALUE!</v>
      </c>
      <c r="DT45" t="e">
        <f>AND('Double Dutch Pairs Freestyle'!K74,"AAAAAH9+63s=")</f>
        <v>#VALUE!</v>
      </c>
      <c r="DU45">
        <f>IF('Double Dutch Pairs Freestyle'!75:75,"AAAAAH9+63w=",0)</f>
        <v>0</v>
      </c>
      <c r="DV45" t="e">
        <f>AND('Double Dutch Pairs Freestyle'!A75,"AAAAAH9+630=")</f>
        <v>#VALUE!</v>
      </c>
      <c r="DW45" t="e">
        <f>AND('Double Dutch Pairs Freestyle'!B75,"AAAAAH9+634=")</f>
        <v>#VALUE!</v>
      </c>
      <c r="DX45" t="e">
        <f>AND('Double Dutch Pairs Freestyle'!C75,"AAAAAH9+638=")</f>
        <v>#VALUE!</v>
      </c>
      <c r="DY45" t="e">
        <f>AND('Double Dutch Pairs Freestyle'!D75,"AAAAAH9+64A=")</f>
        <v>#VALUE!</v>
      </c>
      <c r="DZ45" t="e">
        <f>AND('Double Dutch Pairs Freestyle'!E75,"AAAAAH9+64E=")</f>
        <v>#VALUE!</v>
      </c>
      <c r="EA45" t="e">
        <f>AND('Double Dutch Pairs Freestyle'!F75,"AAAAAH9+64I=")</f>
        <v>#VALUE!</v>
      </c>
      <c r="EB45" t="e">
        <f>AND('Double Dutch Pairs Freestyle'!G75,"AAAAAH9+64M=")</f>
        <v>#VALUE!</v>
      </c>
      <c r="EC45" t="e">
        <f>AND('Double Dutch Pairs Freestyle'!H75,"AAAAAH9+64Q=")</f>
        <v>#VALUE!</v>
      </c>
      <c r="ED45" t="e">
        <f>AND('Double Dutch Pairs Freestyle'!I75,"AAAAAH9+64U=")</f>
        <v>#VALUE!</v>
      </c>
      <c r="EE45" t="e">
        <f>AND('Double Dutch Pairs Freestyle'!J75,"AAAAAH9+64Y=")</f>
        <v>#VALUE!</v>
      </c>
      <c r="EF45" t="e">
        <f>AND('Double Dutch Pairs Freestyle'!K75,"AAAAAH9+64c=")</f>
        <v>#VALUE!</v>
      </c>
      <c r="EG45">
        <f>IF('Double Dutch Pairs Freestyle'!76:76,"AAAAAH9+64g=",0)</f>
        <v>0</v>
      </c>
      <c r="EH45" t="e">
        <f>AND('Double Dutch Pairs Freestyle'!A76,"AAAAAH9+64k=")</f>
        <v>#VALUE!</v>
      </c>
      <c r="EI45" t="e">
        <f>AND('Double Dutch Pairs Freestyle'!B76,"AAAAAH9+64o=")</f>
        <v>#VALUE!</v>
      </c>
      <c r="EJ45" t="e">
        <f>AND('Double Dutch Pairs Freestyle'!C76,"AAAAAH9+64s=")</f>
        <v>#VALUE!</v>
      </c>
      <c r="EK45" t="e">
        <f>AND('Double Dutch Pairs Freestyle'!D76,"AAAAAH9+64w=")</f>
        <v>#VALUE!</v>
      </c>
      <c r="EL45" t="e">
        <f>AND('Double Dutch Pairs Freestyle'!E76,"AAAAAH9+640=")</f>
        <v>#VALUE!</v>
      </c>
      <c r="EM45" t="e">
        <f>AND('Double Dutch Pairs Freestyle'!F76,"AAAAAH9+644=")</f>
        <v>#VALUE!</v>
      </c>
      <c r="EN45" t="e">
        <f>AND('Double Dutch Pairs Freestyle'!G76,"AAAAAH9+648=")</f>
        <v>#VALUE!</v>
      </c>
      <c r="EO45" t="e">
        <f>AND('Double Dutch Pairs Freestyle'!H76,"AAAAAH9+65A=")</f>
        <v>#VALUE!</v>
      </c>
      <c r="EP45" t="e">
        <f>AND('Double Dutch Pairs Freestyle'!I76,"AAAAAH9+65E=")</f>
        <v>#VALUE!</v>
      </c>
      <c r="EQ45" t="e">
        <f>AND('Double Dutch Pairs Freestyle'!J76,"AAAAAH9+65I=")</f>
        <v>#VALUE!</v>
      </c>
      <c r="ER45" t="e">
        <f>AND('Double Dutch Pairs Freestyle'!K76,"AAAAAH9+65M=")</f>
        <v>#VALUE!</v>
      </c>
      <c r="ES45">
        <f>IF('Double Dutch Pairs Freestyle'!77:77,"AAAAAH9+65Q=",0)</f>
        <v>0</v>
      </c>
      <c r="ET45" t="e">
        <f>AND('Double Dutch Pairs Freestyle'!A77,"AAAAAH9+65U=")</f>
        <v>#VALUE!</v>
      </c>
      <c r="EU45" t="e">
        <f>AND('Double Dutch Pairs Freestyle'!B77,"AAAAAH9+65Y=")</f>
        <v>#VALUE!</v>
      </c>
      <c r="EV45" t="e">
        <f>AND('Double Dutch Pairs Freestyle'!C77,"AAAAAH9+65c=")</f>
        <v>#VALUE!</v>
      </c>
      <c r="EW45" t="e">
        <f>AND('Double Dutch Pairs Freestyle'!D77,"AAAAAH9+65g=")</f>
        <v>#VALUE!</v>
      </c>
      <c r="EX45" t="e">
        <f>AND('Double Dutch Pairs Freestyle'!E77,"AAAAAH9+65k=")</f>
        <v>#VALUE!</v>
      </c>
      <c r="EY45" t="e">
        <f>AND('Double Dutch Pairs Freestyle'!F77,"AAAAAH9+65o=")</f>
        <v>#VALUE!</v>
      </c>
      <c r="EZ45" t="e">
        <f>AND('Double Dutch Pairs Freestyle'!G77,"AAAAAH9+65s=")</f>
        <v>#VALUE!</v>
      </c>
      <c r="FA45" t="e">
        <f>AND('Double Dutch Pairs Freestyle'!H77,"AAAAAH9+65w=")</f>
        <v>#VALUE!</v>
      </c>
      <c r="FB45" t="e">
        <f>AND('Double Dutch Pairs Freestyle'!I77,"AAAAAH9+650=")</f>
        <v>#VALUE!</v>
      </c>
      <c r="FC45" t="e">
        <f>AND('Double Dutch Pairs Freestyle'!J77,"AAAAAH9+654=")</f>
        <v>#VALUE!</v>
      </c>
      <c r="FD45" t="e">
        <f>AND('Double Dutch Pairs Freestyle'!K77,"AAAAAH9+658=")</f>
        <v>#VALUE!</v>
      </c>
      <c r="FE45">
        <f>IF('Double Dutch Pairs Freestyle'!78:78,"AAAAAH9+66A=",0)</f>
        <v>0</v>
      </c>
      <c r="FF45" t="e">
        <f>AND('Double Dutch Pairs Freestyle'!A78,"AAAAAH9+66E=")</f>
        <v>#VALUE!</v>
      </c>
      <c r="FG45" t="e">
        <f>AND('Double Dutch Pairs Freestyle'!B78,"AAAAAH9+66I=")</f>
        <v>#VALUE!</v>
      </c>
      <c r="FH45" t="e">
        <f>AND('Double Dutch Pairs Freestyle'!C78,"AAAAAH9+66M=")</f>
        <v>#VALUE!</v>
      </c>
      <c r="FI45" t="e">
        <f>AND('Double Dutch Pairs Freestyle'!D78,"AAAAAH9+66Q=")</f>
        <v>#VALUE!</v>
      </c>
      <c r="FJ45" t="e">
        <f>AND('Double Dutch Pairs Freestyle'!E78,"AAAAAH9+66U=")</f>
        <v>#VALUE!</v>
      </c>
      <c r="FK45" t="e">
        <f>AND('Double Dutch Pairs Freestyle'!F78,"AAAAAH9+66Y=")</f>
        <v>#VALUE!</v>
      </c>
      <c r="FL45" t="e">
        <f>AND('Double Dutch Pairs Freestyle'!G78,"AAAAAH9+66c=")</f>
        <v>#VALUE!</v>
      </c>
      <c r="FM45" t="e">
        <f>AND('Double Dutch Pairs Freestyle'!H78,"AAAAAH9+66g=")</f>
        <v>#VALUE!</v>
      </c>
      <c r="FN45" t="e">
        <f>AND('Double Dutch Pairs Freestyle'!I78,"AAAAAH9+66k=")</f>
        <v>#VALUE!</v>
      </c>
      <c r="FO45" t="e">
        <f>AND('Double Dutch Pairs Freestyle'!J78,"AAAAAH9+66o=")</f>
        <v>#VALUE!</v>
      </c>
      <c r="FP45" t="e">
        <f>AND('Double Dutch Pairs Freestyle'!K78,"AAAAAH9+66s=")</f>
        <v>#VALUE!</v>
      </c>
      <c r="FQ45">
        <f>IF('Double Dutch Pairs Freestyle'!79:79,"AAAAAH9+66w=",0)</f>
        <v>0</v>
      </c>
      <c r="FR45" t="e">
        <f>AND('Double Dutch Pairs Freestyle'!A79,"AAAAAH9+660=")</f>
        <v>#VALUE!</v>
      </c>
      <c r="FS45" t="e">
        <f>AND('Double Dutch Pairs Freestyle'!B79,"AAAAAH9+664=")</f>
        <v>#VALUE!</v>
      </c>
      <c r="FT45" t="e">
        <f>AND('Double Dutch Pairs Freestyle'!C79,"AAAAAH9+668=")</f>
        <v>#VALUE!</v>
      </c>
      <c r="FU45" t="e">
        <f>AND('Double Dutch Pairs Freestyle'!D79,"AAAAAH9+67A=")</f>
        <v>#VALUE!</v>
      </c>
      <c r="FV45" t="e">
        <f>AND('Double Dutch Pairs Freestyle'!E79,"AAAAAH9+67E=")</f>
        <v>#VALUE!</v>
      </c>
      <c r="FW45" t="e">
        <f>AND('Double Dutch Pairs Freestyle'!F79,"AAAAAH9+67I=")</f>
        <v>#VALUE!</v>
      </c>
      <c r="FX45" t="e">
        <f>AND('Double Dutch Pairs Freestyle'!G79,"AAAAAH9+67M=")</f>
        <v>#VALUE!</v>
      </c>
      <c r="FY45" t="e">
        <f>AND('Double Dutch Pairs Freestyle'!H79,"AAAAAH9+67Q=")</f>
        <v>#VALUE!</v>
      </c>
      <c r="FZ45" t="e">
        <f>AND('Double Dutch Pairs Freestyle'!I79,"AAAAAH9+67U=")</f>
        <v>#VALUE!</v>
      </c>
      <c r="GA45" t="e">
        <f>AND('Double Dutch Pairs Freestyle'!J79,"AAAAAH9+67Y=")</f>
        <v>#VALUE!</v>
      </c>
      <c r="GB45" t="e">
        <f>AND('Double Dutch Pairs Freestyle'!K79,"AAAAAH9+67c=")</f>
        <v>#VALUE!</v>
      </c>
      <c r="GC45">
        <f>IF('Double Dutch Pairs Freestyle'!80:80,"AAAAAH9+67g=",0)</f>
        <v>0</v>
      </c>
      <c r="GD45" t="e">
        <f>AND('Double Dutch Pairs Freestyle'!A80,"AAAAAH9+67k=")</f>
        <v>#VALUE!</v>
      </c>
      <c r="GE45" t="e">
        <f>AND('Double Dutch Pairs Freestyle'!B80,"AAAAAH9+67o=")</f>
        <v>#VALUE!</v>
      </c>
      <c r="GF45" t="e">
        <f>AND('Double Dutch Pairs Freestyle'!C80,"AAAAAH9+67s=")</f>
        <v>#VALUE!</v>
      </c>
      <c r="GG45" t="e">
        <f>AND('Double Dutch Pairs Freestyle'!D80,"AAAAAH9+67w=")</f>
        <v>#VALUE!</v>
      </c>
      <c r="GH45" t="e">
        <f>AND('Double Dutch Pairs Freestyle'!E80,"AAAAAH9+670=")</f>
        <v>#VALUE!</v>
      </c>
      <c r="GI45" t="e">
        <f>AND('Double Dutch Pairs Freestyle'!F80,"AAAAAH9+674=")</f>
        <v>#VALUE!</v>
      </c>
      <c r="GJ45" t="e">
        <f>AND('Double Dutch Pairs Freestyle'!G80,"AAAAAH9+678=")</f>
        <v>#VALUE!</v>
      </c>
      <c r="GK45" t="e">
        <f>AND('Double Dutch Pairs Freestyle'!H80,"AAAAAH9+68A=")</f>
        <v>#VALUE!</v>
      </c>
      <c r="GL45" t="e">
        <f>AND('Double Dutch Pairs Freestyle'!I80,"AAAAAH9+68E=")</f>
        <v>#VALUE!</v>
      </c>
      <c r="GM45" t="e">
        <f>AND('Double Dutch Pairs Freestyle'!J80,"AAAAAH9+68I=")</f>
        <v>#VALUE!</v>
      </c>
      <c r="GN45" t="e">
        <f>AND('Double Dutch Pairs Freestyle'!K80,"AAAAAH9+68M=")</f>
        <v>#VALUE!</v>
      </c>
      <c r="GO45">
        <f>IF('Double Dutch Pairs Freestyle'!81:81,"AAAAAH9+68Q=",0)</f>
        <v>0</v>
      </c>
      <c r="GP45" t="e">
        <f>AND('Double Dutch Pairs Freestyle'!A81,"AAAAAH9+68U=")</f>
        <v>#VALUE!</v>
      </c>
      <c r="GQ45" t="e">
        <f>AND('Double Dutch Pairs Freestyle'!B81,"AAAAAH9+68Y=")</f>
        <v>#VALUE!</v>
      </c>
      <c r="GR45" t="e">
        <f>AND('Double Dutch Pairs Freestyle'!C81,"AAAAAH9+68c=")</f>
        <v>#VALUE!</v>
      </c>
      <c r="GS45" t="e">
        <f>AND('Double Dutch Pairs Freestyle'!D81,"AAAAAH9+68g=")</f>
        <v>#VALUE!</v>
      </c>
      <c r="GT45" t="e">
        <f>AND('Double Dutch Pairs Freestyle'!E81,"AAAAAH9+68k=")</f>
        <v>#VALUE!</v>
      </c>
      <c r="GU45" t="e">
        <f>AND('Double Dutch Pairs Freestyle'!F81,"AAAAAH9+68o=")</f>
        <v>#VALUE!</v>
      </c>
      <c r="GV45" t="e">
        <f>AND('Double Dutch Pairs Freestyle'!G81,"AAAAAH9+68s=")</f>
        <v>#VALUE!</v>
      </c>
      <c r="GW45" t="e">
        <f>AND('Double Dutch Pairs Freestyle'!H81,"AAAAAH9+68w=")</f>
        <v>#VALUE!</v>
      </c>
      <c r="GX45" t="e">
        <f>AND('Double Dutch Pairs Freestyle'!I81,"AAAAAH9+680=")</f>
        <v>#VALUE!</v>
      </c>
      <c r="GY45" t="e">
        <f>AND('Double Dutch Pairs Freestyle'!J81,"AAAAAH9+684=")</f>
        <v>#VALUE!</v>
      </c>
      <c r="GZ45" t="e">
        <f>AND('Double Dutch Pairs Freestyle'!K81,"AAAAAH9+688=")</f>
        <v>#VALUE!</v>
      </c>
      <c r="HA45">
        <f>IF('Double Dutch Pairs Freestyle'!82:82,"AAAAAH9+69A=",0)</f>
        <v>0</v>
      </c>
      <c r="HB45" t="e">
        <f>AND('Double Dutch Pairs Freestyle'!A82,"AAAAAH9+69E=")</f>
        <v>#VALUE!</v>
      </c>
      <c r="HC45" t="e">
        <f>AND('Double Dutch Pairs Freestyle'!B82,"AAAAAH9+69I=")</f>
        <v>#VALUE!</v>
      </c>
      <c r="HD45" t="e">
        <f>AND('Double Dutch Pairs Freestyle'!C82,"AAAAAH9+69M=")</f>
        <v>#VALUE!</v>
      </c>
      <c r="HE45" t="e">
        <f>AND('Double Dutch Pairs Freestyle'!D82,"AAAAAH9+69Q=")</f>
        <v>#VALUE!</v>
      </c>
      <c r="HF45" t="e">
        <f>AND('Double Dutch Pairs Freestyle'!E82,"AAAAAH9+69U=")</f>
        <v>#VALUE!</v>
      </c>
      <c r="HG45" t="e">
        <f>AND('Double Dutch Pairs Freestyle'!F82,"AAAAAH9+69Y=")</f>
        <v>#VALUE!</v>
      </c>
      <c r="HH45" t="e">
        <f>AND('Double Dutch Pairs Freestyle'!G82,"AAAAAH9+69c=")</f>
        <v>#VALUE!</v>
      </c>
      <c r="HI45" t="e">
        <f>AND('Double Dutch Pairs Freestyle'!H82,"AAAAAH9+69g=")</f>
        <v>#VALUE!</v>
      </c>
      <c r="HJ45" t="e">
        <f>AND('Double Dutch Pairs Freestyle'!I82,"AAAAAH9+69k=")</f>
        <v>#VALUE!</v>
      </c>
      <c r="HK45" t="e">
        <f>AND('Double Dutch Pairs Freestyle'!J82,"AAAAAH9+69o=")</f>
        <v>#VALUE!</v>
      </c>
      <c r="HL45" t="e">
        <f>AND('Double Dutch Pairs Freestyle'!K82,"AAAAAH9+69s=")</f>
        <v>#VALUE!</v>
      </c>
      <c r="HM45">
        <f>IF('Double Dutch Pairs Freestyle'!83:83,"AAAAAH9+69w=",0)</f>
        <v>0</v>
      </c>
      <c r="HN45" t="e">
        <f>AND('Double Dutch Pairs Freestyle'!A83,"AAAAAH9+690=")</f>
        <v>#VALUE!</v>
      </c>
      <c r="HO45" t="e">
        <f>AND('Double Dutch Pairs Freestyle'!B83,"AAAAAH9+694=")</f>
        <v>#VALUE!</v>
      </c>
      <c r="HP45" t="e">
        <f>AND('Double Dutch Pairs Freestyle'!C83,"AAAAAH9+698=")</f>
        <v>#VALUE!</v>
      </c>
      <c r="HQ45" t="e">
        <f>AND('Double Dutch Pairs Freestyle'!D83,"AAAAAH9+6+A=")</f>
        <v>#VALUE!</v>
      </c>
      <c r="HR45" t="e">
        <f>AND('Double Dutch Pairs Freestyle'!E83,"AAAAAH9+6+E=")</f>
        <v>#VALUE!</v>
      </c>
      <c r="HS45" t="e">
        <f>AND('Double Dutch Pairs Freestyle'!F83,"AAAAAH9+6+I=")</f>
        <v>#VALUE!</v>
      </c>
      <c r="HT45" t="e">
        <f>AND('Double Dutch Pairs Freestyle'!G83,"AAAAAH9+6+M=")</f>
        <v>#VALUE!</v>
      </c>
      <c r="HU45" t="e">
        <f>AND('Double Dutch Pairs Freestyle'!H83,"AAAAAH9+6+Q=")</f>
        <v>#VALUE!</v>
      </c>
      <c r="HV45" t="e">
        <f>AND('Double Dutch Pairs Freestyle'!I83,"AAAAAH9+6+U=")</f>
        <v>#VALUE!</v>
      </c>
      <c r="HW45" t="e">
        <f>AND('Double Dutch Pairs Freestyle'!J83,"AAAAAH9+6+Y=")</f>
        <v>#VALUE!</v>
      </c>
      <c r="HX45" t="e">
        <f>AND('Double Dutch Pairs Freestyle'!K83,"AAAAAH9+6+c=")</f>
        <v>#VALUE!</v>
      </c>
      <c r="HY45">
        <f>IF('Double Dutch Pairs Freestyle'!84:84,"AAAAAH9+6+g=",0)</f>
        <v>0</v>
      </c>
      <c r="HZ45" t="e">
        <f>AND('Double Dutch Pairs Freestyle'!A84,"AAAAAH9+6+k=")</f>
        <v>#VALUE!</v>
      </c>
      <c r="IA45" t="e">
        <f>AND('Double Dutch Pairs Freestyle'!B84,"AAAAAH9+6+o=")</f>
        <v>#VALUE!</v>
      </c>
      <c r="IB45" t="e">
        <f>AND('Double Dutch Pairs Freestyle'!C84,"AAAAAH9+6+s=")</f>
        <v>#VALUE!</v>
      </c>
      <c r="IC45" t="e">
        <f>AND('Double Dutch Pairs Freestyle'!D84,"AAAAAH9+6+w=")</f>
        <v>#VALUE!</v>
      </c>
      <c r="ID45" t="e">
        <f>AND('Double Dutch Pairs Freestyle'!E84,"AAAAAH9+6+0=")</f>
        <v>#VALUE!</v>
      </c>
      <c r="IE45" t="e">
        <f>AND('Double Dutch Pairs Freestyle'!F84,"AAAAAH9+6+4=")</f>
        <v>#VALUE!</v>
      </c>
      <c r="IF45" t="e">
        <f>AND('Double Dutch Pairs Freestyle'!G84,"AAAAAH9+6+8=")</f>
        <v>#VALUE!</v>
      </c>
      <c r="IG45" t="e">
        <f>AND('Double Dutch Pairs Freestyle'!H84,"AAAAAH9+6/A=")</f>
        <v>#VALUE!</v>
      </c>
      <c r="IH45" t="e">
        <f>AND('Double Dutch Pairs Freestyle'!I84,"AAAAAH9+6/E=")</f>
        <v>#VALUE!</v>
      </c>
      <c r="II45" t="e">
        <f>AND('Double Dutch Pairs Freestyle'!J84,"AAAAAH9+6/I=")</f>
        <v>#VALUE!</v>
      </c>
      <c r="IJ45" t="e">
        <f>AND('Double Dutch Pairs Freestyle'!K84,"AAAAAH9+6/M=")</f>
        <v>#VALUE!</v>
      </c>
      <c r="IK45">
        <f>IF('Double Dutch Pairs Freestyle'!85:85,"AAAAAH9+6/Q=",0)</f>
        <v>0</v>
      </c>
      <c r="IL45" t="e">
        <f>AND('Double Dutch Pairs Freestyle'!A85,"AAAAAH9+6/U=")</f>
        <v>#VALUE!</v>
      </c>
      <c r="IM45" t="e">
        <f>AND('Double Dutch Pairs Freestyle'!B85,"AAAAAH9+6/Y=")</f>
        <v>#VALUE!</v>
      </c>
      <c r="IN45" t="e">
        <f>AND('Double Dutch Pairs Freestyle'!C85,"AAAAAH9+6/c=")</f>
        <v>#VALUE!</v>
      </c>
      <c r="IO45" t="e">
        <f>AND('Double Dutch Pairs Freestyle'!D85,"AAAAAH9+6/g=")</f>
        <v>#VALUE!</v>
      </c>
      <c r="IP45" t="e">
        <f>AND('Double Dutch Pairs Freestyle'!E85,"AAAAAH9+6/k=")</f>
        <v>#VALUE!</v>
      </c>
      <c r="IQ45" t="e">
        <f>AND('Double Dutch Pairs Freestyle'!F85,"AAAAAH9+6/o=")</f>
        <v>#VALUE!</v>
      </c>
      <c r="IR45" t="e">
        <f>AND('Double Dutch Pairs Freestyle'!G85,"AAAAAH9+6/s=")</f>
        <v>#VALUE!</v>
      </c>
      <c r="IS45" t="e">
        <f>AND('Double Dutch Pairs Freestyle'!H85,"AAAAAH9+6/w=")</f>
        <v>#VALUE!</v>
      </c>
      <c r="IT45" t="e">
        <f>AND('Double Dutch Pairs Freestyle'!I85,"AAAAAH9+6/0=")</f>
        <v>#VALUE!</v>
      </c>
      <c r="IU45" t="e">
        <f>AND('Double Dutch Pairs Freestyle'!J85,"AAAAAH9+6/4=")</f>
        <v>#VALUE!</v>
      </c>
      <c r="IV45" t="e">
        <f>AND('Double Dutch Pairs Freestyle'!K85,"AAAAAH9+6/8=")</f>
        <v>#VALUE!</v>
      </c>
    </row>
    <row r="46" spans="1:256" x14ac:dyDescent="0.25">
      <c r="A46" t="str">
        <f>IF('Double Dutch Pairs Freestyle'!86:86,"AAAAAF+9vwA=",0)</f>
        <v>AAAAAF+9vwA=</v>
      </c>
      <c r="B46" t="e">
        <f>AND('Double Dutch Pairs Freestyle'!A86,"AAAAAF+9vwE=")</f>
        <v>#VALUE!</v>
      </c>
      <c r="C46" t="e">
        <f>AND('Double Dutch Pairs Freestyle'!B86,"AAAAAF+9vwI=")</f>
        <v>#VALUE!</v>
      </c>
      <c r="D46" t="e">
        <f>AND('Double Dutch Pairs Freestyle'!C86,"AAAAAF+9vwM=")</f>
        <v>#VALUE!</v>
      </c>
      <c r="E46" t="e">
        <f>AND('Double Dutch Pairs Freestyle'!D86,"AAAAAF+9vwQ=")</f>
        <v>#VALUE!</v>
      </c>
      <c r="F46" t="e">
        <f>AND('Double Dutch Pairs Freestyle'!E86,"AAAAAF+9vwU=")</f>
        <v>#VALUE!</v>
      </c>
      <c r="G46" t="e">
        <f>AND('Double Dutch Pairs Freestyle'!F86,"AAAAAF+9vwY=")</f>
        <v>#VALUE!</v>
      </c>
      <c r="H46" t="e">
        <f>AND('Double Dutch Pairs Freestyle'!G86,"AAAAAF+9vwc=")</f>
        <v>#VALUE!</v>
      </c>
      <c r="I46" t="e">
        <f>AND('Double Dutch Pairs Freestyle'!H86,"AAAAAF+9vwg=")</f>
        <v>#VALUE!</v>
      </c>
      <c r="J46" t="e">
        <f>AND('Double Dutch Pairs Freestyle'!I86,"AAAAAF+9vwk=")</f>
        <v>#VALUE!</v>
      </c>
      <c r="K46" t="e">
        <f>AND('Double Dutch Pairs Freestyle'!J86,"AAAAAF+9vwo=")</f>
        <v>#VALUE!</v>
      </c>
      <c r="L46" t="e">
        <f>AND('Double Dutch Pairs Freestyle'!K86,"AAAAAF+9vws=")</f>
        <v>#VALUE!</v>
      </c>
      <c r="M46" t="e">
        <f>IF('Double Dutch Pairs Freestyle'!A:A,"AAAAAF+9vww=",0)</f>
        <v>#VALUE!</v>
      </c>
      <c r="N46">
        <f>IF('Double Dutch Pairs Freestyle'!B:B,"AAAAAF+9vw0=",0)</f>
        <v>0</v>
      </c>
      <c r="O46">
        <f>IF('Double Dutch Pairs Freestyle'!C:C,"AAAAAF+9vw4=",0)</f>
        <v>0</v>
      </c>
      <c r="P46">
        <f>IF('Double Dutch Pairs Freestyle'!D:D,"AAAAAF+9vw8=",0)</f>
        <v>0</v>
      </c>
      <c r="Q46">
        <f>IF('Double Dutch Pairs Freestyle'!E:E,"AAAAAF+9vxA=",0)</f>
        <v>0</v>
      </c>
      <c r="R46">
        <f>IF('Double Dutch Pairs Freestyle'!F:F,"AAAAAF+9vxE=",0)</f>
        <v>0</v>
      </c>
      <c r="S46">
        <f>IF('Double Dutch Pairs Freestyle'!G:G,"AAAAAF+9vxI=",0)</f>
        <v>0</v>
      </c>
      <c r="T46">
        <f>IF('Double Dutch Pairs Freestyle'!H:H,"AAAAAF+9vxM=",0)</f>
        <v>0</v>
      </c>
      <c r="U46">
        <f>IF('Double Dutch Pairs Freestyle'!I:I,"AAAAAF+9vxQ=",0)</f>
        <v>0</v>
      </c>
      <c r="V46">
        <f>IF('Double Dutch Pairs Freestyle'!J:J,"AAAAAF+9vxU=",0)</f>
        <v>0</v>
      </c>
      <c r="W46">
        <f>IF('Double Dutch Pairs Freestyle'!K:K,"AAAAAF+9vxY=",0)</f>
        <v>0</v>
      </c>
      <c r="X46">
        <f>IF(Lists!1:1,"AAAAAF+9vxc=",0)</f>
        <v>0</v>
      </c>
      <c r="Y46" t="e">
        <f>AND(Lists!A1,"AAAAAF+9vxg=")</f>
        <v>#VALUE!</v>
      </c>
      <c r="Z46" t="e">
        <f>AND(Lists!B1,"AAAAAF+9vxk=")</f>
        <v>#VALUE!</v>
      </c>
      <c r="AA46" t="e">
        <f>AND(Lists!C1,"AAAAAF+9vxo=")</f>
        <v>#VALUE!</v>
      </c>
      <c r="AB46" t="e">
        <f>AND(Lists!D1,"AAAAAF+9vxs=")</f>
        <v>#VALUE!</v>
      </c>
      <c r="AC46" t="e">
        <f>AND(Lists!E1,"AAAAAF+9vxw=")</f>
        <v>#VALUE!</v>
      </c>
      <c r="AD46" t="e">
        <f>AND(Lists!F1,"AAAAAF+9vx0=")</f>
        <v>#VALUE!</v>
      </c>
      <c r="AE46" t="e">
        <f>AND(Lists!G1,"AAAAAF+9vx4=")</f>
        <v>#VALUE!</v>
      </c>
      <c r="AF46" t="e">
        <f>AND(Lists!H1,"AAAAAF+9vx8=")</f>
        <v>#VALUE!</v>
      </c>
      <c r="AG46" t="e">
        <f>AND(Lists!I1,"AAAAAF+9vyA=")</f>
        <v>#VALUE!</v>
      </c>
      <c r="AH46">
        <f>IF(Lists!2:2,"AAAAAF+9vyE=",0)</f>
        <v>0</v>
      </c>
      <c r="AI46" t="e">
        <f>AND(Lists!A2,"AAAAAF+9vyI=")</f>
        <v>#VALUE!</v>
      </c>
      <c r="AJ46" t="e">
        <f>AND(Lists!B2,"AAAAAF+9vyM=")</f>
        <v>#VALUE!</v>
      </c>
      <c r="AK46" t="e">
        <f>AND(Lists!C2,"AAAAAF+9vyQ=")</f>
        <v>#VALUE!</v>
      </c>
      <c r="AL46" t="e">
        <f>AND(Lists!D2,"AAAAAF+9vyU=")</f>
        <v>#VALUE!</v>
      </c>
      <c r="AM46" t="e">
        <f>AND(Lists!E2,"AAAAAF+9vyY=")</f>
        <v>#VALUE!</v>
      </c>
      <c r="AN46" t="e">
        <f>AND(Lists!F2,"AAAAAF+9vyc=")</f>
        <v>#VALUE!</v>
      </c>
      <c r="AO46" t="e">
        <f>AND(Lists!G2,"AAAAAF+9vyg=")</f>
        <v>#VALUE!</v>
      </c>
      <c r="AP46" t="e">
        <f>AND(Lists!H2,"AAAAAF+9vyk=")</f>
        <v>#VALUE!</v>
      </c>
      <c r="AQ46" t="e">
        <f>AND(Lists!I2,"AAAAAF+9vyo=")</f>
        <v>#VALUE!</v>
      </c>
      <c r="AR46">
        <f>IF(Lists!3:3,"AAAAAF+9vys=",0)</f>
        <v>0</v>
      </c>
      <c r="AS46" t="e">
        <f>AND(Lists!A3,"AAAAAF+9vyw=")</f>
        <v>#VALUE!</v>
      </c>
      <c r="AT46" t="e">
        <f>AND(Lists!B3,"AAAAAF+9vy0=")</f>
        <v>#VALUE!</v>
      </c>
      <c r="AU46" t="e">
        <f>AND(Lists!C3,"AAAAAF+9vy4=")</f>
        <v>#VALUE!</v>
      </c>
      <c r="AV46" t="e">
        <f>AND(Lists!D3,"AAAAAF+9vy8=")</f>
        <v>#VALUE!</v>
      </c>
      <c r="AW46" t="e">
        <f>AND(Lists!E3,"AAAAAF+9vzA=")</f>
        <v>#VALUE!</v>
      </c>
      <c r="AX46" t="e">
        <f>AND(Lists!F3,"AAAAAF+9vzE=")</f>
        <v>#VALUE!</v>
      </c>
      <c r="AY46" t="e">
        <f>AND(Lists!G3,"AAAAAF+9vzI=")</f>
        <v>#VALUE!</v>
      </c>
      <c r="AZ46" t="e">
        <f>AND(Lists!H3,"AAAAAF+9vzM=")</f>
        <v>#VALUE!</v>
      </c>
      <c r="BA46" t="e">
        <f>AND(Lists!I3,"AAAAAF+9vzQ=")</f>
        <v>#VALUE!</v>
      </c>
      <c r="BB46">
        <f>IF(Lists!4:4,"AAAAAF+9vzU=",0)</f>
        <v>0</v>
      </c>
      <c r="BC46" t="e">
        <f>AND(Lists!A4,"AAAAAF+9vzY=")</f>
        <v>#VALUE!</v>
      </c>
      <c r="BD46" t="e">
        <f>AND(Lists!B4,"AAAAAF+9vzc=")</f>
        <v>#VALUE!</v>
      </c>
      <c r="BE46" t="e">
        <f>AND(Lists!C4,"AAAAAF+9vzg=")</f>
        <v>#VALUE!</v>
      </c>
      <c r="BF46" t="e">
        <f>AND(Lists!D7,"AAAAAF+9vzk=")</f>
        <v>#VALUE!</v>
      </c>
      <c r="BG46" t="e">
        <f>AND(Lists!E7,"AAAAAF+9vzo=")</f>
        <v>#VALUE!</v>
      </c>
      <c r="BH46" t="e">
        <f>AND(Lists!F7,"AAAAAF+9vzs=")</f>
        <v>#VALUE!</v>
      </c>
      <c r="BI46" t="e">
        <f>AND(Lists!G4,"AAAAAF+9vzw=")</f>
        <v>#VALUE!</v>
      </c>
      <c r="BJ46" t="e">
        <f>AND(Lists!H4,"AAAAAF+9vz0=")</f>
        <v>#VALUE!</v>
      </c>
      <c r="BK46" t="e">
        <f>AND(Lists!I4,"AAAAAF+9vz4=")</f>
        <v>#VALUE!</v>
      </c>
      <c r="BL46">
        <f>IF(Lists!5:5,"AAAAAF+9vz8=",0)</f>
        <v>0</v>
      </c>
      <c r="BM46" t="e">
        <f>AND(Lists!A5,"AAAAAF+9v0A=")</f>
        <v>#VALUE!</v>
      </c>
      <c r="BN46" t="e">
        <f>AND(Lists!B5,"AAAAAF+9v0E=")</f>
        <v>#VALUE!</v>
      </c>
      <c r="BO46" t="e">
        <f>AND(Lists!C5,"AAAAAF+9v0I=")</f>
        <v>#VALUE!</v>
      </c>
      <c r="BP46" t="e">
        <f>AND(Lists!D10,"AAAAAF+9v0M=")</f>
        <v>#VALUE!</v>
      </c>
      <c r="BQ46" t="e">
        <f>AND(Lists!E10,"AAAAAF+9v0Q=")</f>
        <v>#VALUE!</v>
      </c>
      <c r="BR46" t="e">
        <f>AND(Lists!F10,"AAAAAF+9v0U=")</f>
        <v>#VALUE!</v>
      </c>
      <c r="BS46" t="e">
        <f>AND(Lists!G5,"AAAAAF+9v0Y=")</f>
        <v>#VALUE!</v>
      </c>
      <c r="BT46" t="e">
        <f>AND(Lists!H5,"AAAAAF+9v0c=")</f>
        <v>#VALUE!</v>
      </c>
      <c r="BU46" t="e">
        <f>AND(Lists!I5,"AAAAAF+9v0g=")</f>
        <v>#VALUE!</v>
      </c>
      <c r="BV46">
        <f>IF(Lists!6:6,"AAAAAF+9v0k=",0)</f>
        <v>0</v>
      </c>
      <c r="BW46" t="e">
        <f>AND(Lists!A6,"AAAAAF+9v0o=")</f>
        <v>#VALUE!</v>
      </c>
      <c r="BX46" t="e">
        <f>AND(Lists!B6,"AAAAAF+9v0s=")</f>
        <v>#VALUE!</v>
      </c>
      <c r="BY46" t="e">
        <f>AND(Lists!C6,"AAAAAF+9v0w=")</f>
        <v>#VALUE!</v>
      </c>
      <c r="BZ46" t="e">
        <f>AND(Lists!D11,"AAAAAF+9v00=")</f>
        <v>#VALUE!</v>
      </c>
      <c r="CA46" t="e">
        <f>AND(Lists!E11,"AAAAAF+9v04=")</f>
        <v>#VALUE!</v>
      </c>
      <c r="CB46" t="e">
        <f>AND(Lists!F11,"AAAAAF+9v08=")</f>
        <v>#VALUE!</v>
      </c>
      <c r="CC46" t="e">
        <f>AND(Lists!G6,"AAAAAF+9v1A=")</f>
        <v>#VALUE!</v>
      </c>
      <c r="CD46" t="e">
        <f>AND(Lists!H6,"AAAAAF+9v1E=")</f>
        <v>#VALUE!</v>
      </c>
      <c r="CE46" t="e">
        <f>AND(Lists!I6,"AAAAAF+9v1I=")</f>
        <v>#VALUE!</v>
      </c>
      <c r="CF46">
        <f>IF(Lists!7:7,"AAAAAF+9v1M=",0)</f>
        <v>0</v>
      </c>
      <c r="CG46" t="e">
        <f>AND(Lists!A7,"AAAAAF+9v1Q=")</f>
        <v>#VALUE!</v>
      </c>
      <c r="CH46" t="e">
        <f>AND(Lists!B7,"AAAAAF+9v1U=")</f>
        <v>#VALUE!</v>
      </c>
      <c r="CI46" t="e">
        <f>AND(Lists!C7,"AAAAAF+9v1Y=")</f>
        <v>#VALUE!</v>
      </c>
      <c r="CJ46" t="e">
        <f>AND(Lists!D14,"AAAAAF+9v1c=")</f>
        <v>#VALUE!</v>
      </c>
      <c r="CK46" t="e">
        <f>AND(Lists!E14,"AAAAAF+9v1g=")</f>
        <v>#VALUE!</v>
      </c>
      <c r="CL46" t="e">
        <f>AND(Lists!F14,"AAAAAF+9v1k=")</f>
        <v>#VALUE!</v>
      </c>
      <c r="CM46" t="e">
        <f>AND(Lists!G7,"AAAAAF+9v1o=")</f>
        <v>#VALUE!</v>
      </c>
      <c r="CN46" t="e">
        <f>AND(Lists!H7,"AAAAAF+9v1s=")</f>
        <v>#VALUE!</v>
      </c>
      <c r="CO46" t="e">
        <f>AND(Lists!I7,"AAAAAF+9v1w=")</f>
        <v>#VALUE!</v>
      </c>
      <c r="CP46">
        <f>IF(Lists!8:8,"AAAAAF+9v10=",0)</f>
        <v>0</v>
      </c>
      <c r="CQ46" t="e">
        <f>AND(Lists!A8,"AAAAAF+9v14=")</f>
        <v>#VALUE!</v>
      </c>
      <c r="CR46" t="e">
        <f>AND(Lists!B8,"AAAAAF+9v18=")</f>
        <v>#VALUE!</v>
      </c>
      <c r="CS46" t="e">
        <f>AND(Lists!C8,"AAAAAF+9v2A=")</f>
        <v>#VALUE!</v>
      </c>
      <c r="CT46" t="e">
        <f>AND(Lists!D15,"AAAAAF+9v2E=")</f>
        <v>#VALUE!</v>
      </c>
      <c r="CU46" t="e">
        <f>AND(Lists!E15,"AAAAAF+9v2I=")</f>
        <v>#VALUE!</v>
      </c>
      <c r="CV46" t="e">
        <f>AND(Lists!F15,"AAAAAF+9v2M=")</f>
        <v>#VALUE!</v>
      </c>
      <c r="CW46" t="e">
        <f>AND(Lists!G8,"AAAAAF+9v2Q=")</f>
        <v>#VALUE!</v>
      </c>
      <c r="CX46" t="e">
        <f>AND(Lists!H8,"AAAAAF+9v2U=")</f>
        <v>#VALUE!</v>
      </c>
      <c r="CY46" t="e">
        <f>AND(Lists!I8,"AAAAAF+9v2Y=")</f>
        <v>#VALUE!</v>
      </c>
      <c r="CZ46">
        <f>IF(Lists!9:9,"AAAAAF+9v2c=",0)</f>
        <v>0</v>
      </c>
      <c r="DA46" t="e">
        <f>AND(Lists!A9,"AAAAAF+9v2g=")</f>
        <v>#VALUE!</v>
      </c>
      <c r="DB46" t="e">
        <f>AND(Lists!B9,"AAAAAF+9v2k=")</f>
        <v>#VALUE!</v>
      </c>
      <c r="DC46" t="e">
        <f>AND(Lists!C9,"AAAAAF+9v2o=")</f>
        <v>#VALUE!</v>
      </c>
      <c r="DD46" t="e">
        <f>AND(Lists!D16,"AAAAAF+9v2s=")</f>
        <v>#VALUE!</v>
      </c>
      <c r="DE46" t="e">
        <f>AND(Lists!E16,"AAAAAF+9v2w=")</f>
        <v>#VALUE!</v>
      </c>
      <c r="DF46" t="e">
        <f>AND(Lists!F16,"AAAAAF+9v20=")</f>
        <v>#VALUE!</v>
      </c>
      <c r="DG46" t="e">
        <f>AND(Lists!G9,"AAAAAF+9v24=")</f>
        <v>#VALUE!</v>
      </c>
      <c r="DH46" t="e">
        <f>AND(Lists!H9,"AAAAAF+9v28=")</f>
        <v>#VALUE!</v>
      </c>
      <c r="DI46" t="e">
        <f>AND(Lists!I9,"AAAAAF+9v3A=")</f>
        <v>#VALUE!</v>
      </c>
      <c r="DJ46">
        <f>IF(Lists!10:10,"AAAAAF+9v3E=",0)</f>
        <v>0</v>
      </c>
      <c r="DK46" t="e">
        <f>AND(Lists!A10,"AAAAAF+9v3I=")</f>
        <v>#VALUE!</v>
      </c>
      <c r="DL46" t="e">
        <f>AND(Lists!B10,"AAAAAF+9v3M=")</f>
        <v>#VALUE!</v>
      </c>
      <c r="DM46" t="e">
        <f>AND(Lists!C10,"AAAAAF+9v3Q=")</f>
        <v>#VALUE!</v>
      </c>
      <c r="DN46" t="e">
        <f>AND(Lists!D17,"AAAAAF+9v3U=")</f>
        <v>#VALUE!</v>
      </c>
      <c r="DO46" t="e">
        <f>AND(Lists!E17,"AAAAAF+9v3Y=")</f>
        <v>#VALUE!</v>
      </c>
      <c r="DP46" t="e">
        <f>AND(Lists!F17,"AAAAAF+9v3c=")</f>
        <v>#VALUE!</v>
      </c>
      <c r="DQ46" t="e">
        <f>AND(Lists!G10,"AAAAAF+9v3g=")</f>
        <v>#VALUE!</v>
      </c>
      <c r="DR46" t="e">
        <f>AND(Lists!H10,"AAAAAF+9v3k=")</f>
        <v>#VALUE!</v>
      </c>
      <c r="DS46" t="e">
        <f>AND(Lists!I10,"AAAAAF+9v3o=")</f>
        <v>#VALUE!</v>
      </c>
      <c r="DT46">
        <f>IF(Lists!11:11,"AAAAAF+9v3s=",0)</f>
        <v>0</v>
      </c>
      <c r="DU46" t="e">
        <f>AND(Lists!A11,"AAAAAF+9v3w=")</f>
        <v>#VALUE!</v>
      </c>
      <c r="DV46" t="e">
        <f>AND(Lists!B11,"AAAAAF+9v30=")</f>
        <v>#VALUE!</v>
      </c>
      <c r="DW46" t="e">
        <f>AND(Lists!C11,"AAAAAF+9v34=")</f>
        <v>#VALUE!</v>
      </c>
      <c r="DX46" t="e">
        <f>AND(Lists!D18,"AAAAAF+9v38=")</f>
        <v>#VALUE!</v>
      </c>
      <c r="DY46" t="e">
        <f>AND(Lists!E18,"AAAAAF+9v4A=")</f>
        <v>#VALUE!</v>
      </c>
      <c r="DZ46" t="e">
        <f>AND(Lists!F18,"AAAAAF+9v4E=")</f>
        <v>#VALUE!</v>
      </c>
      <c r="EA46" t="e">
        <f>AND(Lists!G11,"AAAAAF+9v4I=")</f>
        <v>#VALUE!</v>
      </c>
      <c r="EB46" t="e">
        <f>AND(Lists!H11,"AAAAAF+9v4M=")</f>
        <v>#VALUE!</v>
      </c>
      <c r="EC46" t="e">
        <f>AND(Lists!I11,"AAAAAF+9v4Q=")</f>
        <v>#VALUE!</v>
      </c>
      <c r="ED46">
        <f>IF(Lists!12:12,"AAAAAF+9v4U=",0)</f>
        <v>0</v>
      </c>
      <c r="EE46" t="e">
        <f>AND(Lists!A12,"AAAAAF+9v4Y=")</f>
        <v>#VALUE!</v>
      </c>
      <c r="EF46" t="e">
        <f>AND(Lists!B12,"AAAAAF+9v4c=")</f>
        <v>#VALUE!</v>
      </c>
      <c r="EG46" t="e">
        <f>AND(Lists!C12,"AAAAAF+9v4g=")</f>
        <v>#VALUE!</v>
      </c>
      <c r="EH46" t="e">
        <f>AND(Lists!D19,"AAAAAF+9v4k=")</f>
        <v>#VALUE!</v>
      </c>
      <c r="EI46" t="e">
        <f>AND(Lists!E19,"AAAAAF+9v4o=")</f>
        <v>#VALUE!</v>
      </c>
      <c r="EJ46" t="e">
        <f>AND(Lists!F19,"AAAAAF+9v4s=")</f>
        <v>#VALUE!</v>
      </c>
      <c r="EK46" t="e">
        <f>AND(Lists!G12,"AAAAAF+9v4w=")</f>
        <v>#VALUE!</v>
      </c>
      <c r="EL46" t="e">
        <f>AND(Lists!H12,"AAAAAF+9v40=")</f>
        <v>#VALUE!</v>
      </c>
      <c r="EM46" t="e">
        <f>AND(Lists!I12,"AAAAAF+9v44=")</f>
        <v>#VALUE!</v>
      </c>
      <c r="EN46">
        <f>IF(Lists!13:13,"AAAAAF+9v48=",0)</f>
        <v>0</v>
      </c>
      <c r="EO46" t="e">
        <f>AND(Lists!A13,"AAAAAF+9v5A=")</f>
        <v>#VALUE!</v>
      </c>
      <c r="EP46" t="e">
        <f>AND(Lists!B13,"AAAAAF+9v5E=")</f>
        <v>#VALUE!</v>
      </c>
      <c r="EQ46" t="e">
        <f>AND(Lists!C13,"AAAAAF+9v5I=")</f>
        <v>#VALUE!</v>
      </c>
      <c r="ER46" t="e">
        <f>AND(Lists!D20,"AAAAAF+9v5M=")</f>
        <v>#VALUE!</v>
      </c>
      <c r="ES46" t="e">
        <f>AND(Lists!E20,"AAAAAF+9v5Q=")</f>
        <v>#VALUE!</v>
      </c>
      <c r="ET46" t="e">
        <f>AND(Lists!F20,"AAAAAF+9v5U=")</f>
        <v>#VALUE!</v>
      </c>
      <c r="EU46" t="e">
        <f>AND(Lists!G13,"AAAAAF+9v5Y=")</f>
        <v>#VALUE!</v>
      </c>
      <c r="EV46" t="e">
        <f>AND(Lists!H13,"AAAAAF+9v5c=")</f>
        <v>#VALUE!</v>
      </c>
      <c r="EW46" t="e">
        <f>AND(Lists!I13,"AAAAAF+9v5g=")</f>
        <v>#VALUE!</v>
      </c>
      <c r="EX46">
        <f>IF(Lists!14:14,"AAAAAF+9v5k=",0)</f>
        <v>0</v>
      </c>
      <c r="EY46" t="e">
        <f>AND(Lists!A14,"AAAAAF+9v5o=")</f>
        <v>#VALUE!</v>
      </c>
      <c r="EZ46" t="e">
        <f>AND(Lists!B14,"AAAAAF+9v5s=")</f>
        <v>#VALUE!</v>
      </c>
      <c r="FA46" t="e">
        <f>AND(Lists!C14,"AAAAAF+9v5w=")</f>
        <v>#VALUE!</v>
      </c>
      <c r="FB46" t="e">
        <f>AND(Lists!D21,"AAAAAF+9v50=")</f>
        <v>#VALUE!</v>
      </c>
      <c r="FC46" t="e">
        <f>AND(Lists!E21,"AAAAAF+9v54=")</f>
        <v>#VALUE!</v>
      </c>
      <c r="FD46" t="e">
        <f>AND(Lists!F21,"AAAAAF+9v58=")</f>
        <v>#VALUE!</v>
      </c>
      <c r="FE46" t="e">
        <f>AND(Lists!G14,"AAAAAF+9v6A=")</f>
        <v>#VALUE!</v>
      </c>
      <c r="FF46" t="e">
        <f>AND(Lists!H14,"AAAAAF+9v6E=")</f>
        <v>#VALUE!</v>
      </c>
      <c r="FG46" t="e">
        <f>AND(Lists!I14,"AAAAAF+9v6I=")</f>
        <v>#VALUE!</v>
      </c>
      <c r="FH46">
        <f>IF(Lists!15:15,"AAAAAF+9v6M=",0)</f>
        <v>0</v>
      </c>
      <c r="FI46" t="e">
        <f>AND(Lists!A15,"AAAAAF+9v6Q=")</f>
        <v>#VALUE!</v>
      </c>
      <c r="FJ46" t="e">
        <f>AND(Lists!B15,"AAAAAF+9v6U=")</f>
        <v>#VALUE!</v>
      </c>
      <c r="FK46" t="e">
        <f>AND(Lists!C15,"AAAAAF+9v6Y=")</f>
        <v>#VALUE!</v>
      </c>
      <c r="FL46" t="e">
        <f>AND(Lists!D22,"AAAAAF+9v6c=")</f>
        <v>#VALUE!</v>
      </c>
      <c r="FM46" t="e">
        <f>AND(Lists!E22,"AAAAAF+9v6g=")</f>
        <v>#VALUE!</v>
      </c>
      <c r="FN46" t="e">
        <f>AND(Lists!F22,"AAAAAF+9v6k=")</f>
        <v>#VALUE!</v>
      </c>
      <c r="FO46" t="e">
        <f>AND(Lists!G15,"AAAAAF+9v6o=")</f>
        <v>#VALUE!</v>
      </c>
      <c r="FP46" t="e">
        <f>AND(Lists!H15,"AAAAAF+9v6s=")</f>
        <v>#VALUE!</v>
      </c>
      <c r="FQ46" t="e">
        <f>AND(Lists!I15,"AAAAAF+9v6w=")</f>
        <v>#VALUE!</v>
      </c>
      <c r="FR46">
        <f>IF(Lists!16:16,"AAAAAF+9v60=",0)</f>
        <v>0</v>
      </c>
      <c r="FS46" t="e">
        <f>AND(Lists!A16,"AAAAAF+9v64=")</f>
        <v>#VALUE!</v>
      </c>
      <c r="FT46" t="e">
        <f>AND(Lists!B16,"AAAAAF+9v68=")</f>
        <v>#VALUE!</v>
      </c>
      <c r="FU46" t="e">
        <f>AND(Lists!C16,"AAAAAF+9v7A=")</f>
        <v>#VALUE!</v>
      </c>
      <c r="FV46" t="e">
        <f>AND(Lists!D23,"AAAAAF+9v7E=")</f>
        <v>#VALUE!</v>
      </c>
      <c r="FW46" t="e">
        <f>AND(Lists!E23,"AAAAAF+9v7I=")</f>
        <v>#VALUE!</v>
      </c>
      <c r="FX46" t="e">
        <f>AND(Lists!F23,"AAAAAF+9v7M=")</f>
        <v>#VALUE!</v>
      </c>
      <c r="FY46" t="e">
        <f>AND(Lists!G16,"AAAAAF+9v7Q=")</f>
        <v>#VALUE!</v>
      </c>
      <c r="FZ46" t="e">
        <f>AND(Lists!H16,"AAAAAF+9v7U=")</f>
        <v>#VALUE!</v>
      </c>
      <c r="GA46" t="e">
        <f>AND(Lists!I16,"AAAAAF+9v7Y=")</f>
        <v>#VALUE!</v>
      </c>
      <c r="GB46">
        <f>IF(Lists!17:17,"AAAAAF+9v7c=",0)</f>
        <v>0</v>
      </c>
      <c r="GC46" t="e">
        <f>AND(Lists!A17,"AAAAAF+9v7g=")</f>
        <v>#VALUE!</v>
      </c>
      <c r="GD46" t="e">
        <f>AND(Lists!B17,"AAAAAF+9v7k=")</f>
        <v>#VALUE!</v>
      </c>
      <c r="GE46" t="e">
        <f>AND(Lists!C17,"AAAAAF+9v7o=")</f>
        <v>#VALUE!</v>
      </c>
      <c r="GF46" t="e">
        <f>AND(Lists!D24,"AAAAAF+9v7s=")</f>
        <v>#VALUE!</v>
      </c>
      <c r="GG46" t="e">
        <f>AND(Lists!E24,"AAAAAF+9v7w=")</f>
        <v>#VALUE!</v>
      </c>
      <c r="GH46" t="e">
        <f>AND(Lists!F24,"AAAAAF+9v70=")</f>
        <v>#VALUE!</v>
      </c>
      <c r="GI46" t="e">
        <f>AND(Lists!G17,"AAAAAF+9v74=")</f>
        <v>#VALUE!</v>
      </c>
      <c r="GJ46" t="e">
        <f>AND(Lists!H17,"AAAAAF+9v78=")</f>
        <v>#VALUE!</v>
      </c>
      <c r="GK46" t="e">
        <f>AND(Lists!I17,"AAAAAF+9v8A=")</f>
        <v>#VALUE!</v>
      </c>
      <c r="GL46">
        <f>IF(Lists!18:18,"AAAAAF+9v8E=",0)</f>
        <v>0</v>
      </c>
      <c r="GM46" t="e">
        <f>AND(Lists!A18,"AAAAAF+9v8I=")</f>
        <v>#VALUE!</v>
      </c>
      <c r="GN46" t="e">
        <f>AND(Lists!B18,"AAAAAF+9v8M=")</f>
        <v>#VALUE!</v>
      </c>
      <c r="GO46" t="e">
        <f>AND(Lists!C18,"AAAAAF+9v8Q=")</f>
        <v>#VALUE!</v>
      </c>
      <c r="GP46" t="e">
        <f>AND(Lists!D25,"AAAAAF+9v8U=")</f>
        <v>#VALUE!</v>
      </c>
      <c r="GQ46" t="e">
        <f>AND(Lists!E25,"AAAAAF+9v8Y=")</f>
        <v>#VALUE!</v>
      </c>
      <c r="GR46" t="e">
        <f>AND(Lists!F25,"AAAAAF+9v8c=")</f>
        <v>#VALUE!</v>
      </c>
      <c r="GS46" t="e">
        <f>AND(Lists!G18,"AAAAAF+9v8g=")</f>
        <v>#VALUE!</v>
      </c>
      <c r="GT46" t="e">
        <f>AND(Lists!H18,"AAAAAF+9v8k=")</f>
        <v>#VALUE!</v>
      </c>
      <c r="GU46" t="e">
        <f>AND(Lists!I18,"AAAAAF+9v8o=")</f>
        <v>#VALUE!</v>
      </c>
      <c r="GV46">
        <f>IF(Lists!19:19,"AAAAAF+9v8s=",0)</f>
        <v>0</v>
      </c>
      <c r="GW46" t="e">
        <f>AND(Lists!A19,"AAAAAF+9v8w=")</f>
        <v>#VALUE!</v>
      </c>
      <c r="GX46" t="e">
        <f>AND(Lists!B19,"AAAAAF+9v80=")</f>
        <v>#VALUE!</v>
      </c>
      <c r="GY46" t="e">
        <f>AND(Lists!C19,"AAAAAF+9v84=")</f>
        <v>#VALUE!</v>
      </c>
      <c r="GZ46" t="e">
        <f>AND(Lists!D26,"AAAAAF+9v88=")</f>
        <v>#VALUE!</v>
      </c>
      <c r="HA46" t="e">
        <f>AND(Lists!E26,"AAAAAF+9v9A=")</f>
        <v>#VALUE!</v>
      </c>
      <c r="HB46" t="e">
        <f>AND(Lists!F26,"AAAAAF+9v9E=")</f>
        <v>#VALUE!</v>
      </c>
      <c r="HC46" t="e">
        <f>AND(Lists!G19,"AAAAAF+9v9I=")</f>
        <v>#VALUE!</v>
      </c>
      <c r="HD46" t="e">
        <f>AND(Lists!H19,"AAAAAF+9v9M=")</f>
        <v>#VALUE!</v>
      </c>
      <c r="HE46" t="e">
        <f>AND(Lists!I19,"AAAAAF+9v9Q=")</f>
        <v>#VALUE!</v>
      </c>
      <c r="HF46">
        <f>IF(Lists!20:20,"AAAAAF+9v9U=",0)</f>
        <v>0</v>
      </c>
      <c r="HG46" t="e">
        <f>AND(Lists!A20,"AAAAAF+9v9Y=")</f>
        <v>#VALUE!</v>
      </c>
      <c r="HH46" t="e">
        <f>AND(Lists!B20,"AAAAAF+9v9c=")</f>
        <v>#VALUE!</v>
      </c>
      <c r="HI46" t="e">
        <f>AND(Lists!C20,"AAAAAF+9v9g=")</f>
        <v>#VALUE!</v>
      </c>
      <c r="HJ46" t="e">
        <f>AND(Lists!D27,"AAAAAF+9v9k=")</f>
        <v>#VALUE!</v>
      </c>
      <c r="HK46" t="e">
        <f>AND(Lists!E27,"AAAAAF+9v9o=")</f>
        <v>#VALUE!</v>
      </c>
      <c r="HL46" t="e">
        <f>AND(Lists!F27,"AAAAAF+9v9s=")</f>
        <v>#VALUE!</v>
      </c>
      <c r="HM46" t="e">
        <f>AND(Lists!G20,"AAAAAF+9v9w=")</f>
        <v>#VALUE!</v>
      </c>
      <c r="HN46" t="e">
        <f>AND(Lists!H20,"AAAAAF+9v90=")</f>
        <v>#VALUE!</v>
      </c>
      <c r="HO46" t="e">
        <f>AND(Lists!I20,"AAAAAF+9v94=")</f>
        <v>#VALUE!</v>
      </c>
      <c r="HP46">
        <f>IF(Lists!21:21,"AAAAAF+9v98=",0)</f>
        <v>0</v>
      </c>
      <c r="HQ46" t="e">
        <f>AND(Lists!A21,"AAAAAF+9v+A=")</f>
        <v>#VALUE!</v>
      </c>
      <c r="HR46" t="e">
        <f>AND(Lists!B21,"AAAAAF+9v+E=")</f>
        <v>#VALUE!</v>
      </c>
      <c r="HS46" t="e">
        <f>AND(Lists!C21,"AAAAAF+9v+I=")</f>
        <v>#VALUE!</v>
      </c>
      <c r="HT46" t="e">
        <f>AND(Lists!D28,"AAAAAF+9v+M=")</f>
        <v>#VALUE!</v>
      </c>
      <c r="HU46" t="e">
        <f>AND(Lists!E28,"AAAAAF+9v+Q=")</f>
        <v>#VALUE!</v>
      </c>
      <c r="HV46" t="e">
        <f>AND(Lists!F28,"AAAAAF+9v+U=")</f>
        <v>#VALUE!</v>
      </c>
      <c r="HW46" t="e">
        <f>AND(Lists!G21,"AAAAAF+9v+Y=")</f>
        <v>#VALUE!</v>
      </c>
      <c r="HX46" t="e">
        <f>AND(Lists!H21,"AAAAAF+9v+c=")</f>
        <v>#VALUE!</v>
      </c>
      <c r="HY46" t="e">
        <f>AND(Lists!I21,"AAAAAF+9v+g=")</f>
        <v>#VALUE!</v>
      </c>
      <c r="HZ46">
        <f>IF(Lists!22:22,"AAAAAF+9v+k=",0)</f>
        <v>0</v>
      </c>
      <c r="IA46" t="e">
        <f>AND(Lists!A22,"AAAAAF+9v+o=")</f>
        <v>#VALUE!</v>
      </c>
      <c r="IB46" t="e">
        <f>AND(Lists!B22,"AAAAAF+9v+s=")</f>
        <v>#VALUE!</v>
      </c>
      <c r="IC46" t="e">
        <f>AND(Lists!C22,"AAAAAF+9v+w=")</f>
        <v>#VALUE!</v>
      </c>
      <c r="ID46" t="e">
        <f>AND(Lists!D29,"AAAAAF+9v+0=")</f>
        <v>#VALUE!</v>
      </c>
      <c r="IE46" t="e">
        <f>AND(Lists!E29,"AAAAAF+9v+4=")</f>
        <v>#VALUE!</v>
      </c>
      <c r="IF46" t="e">
        <f>AND(Lists!F29,"AAAAAF+9v+8=")</f>
        <v>#VALUE!</v>
      </c>
      <c r="IG46" t="e">
        <f>AND(Lists!G22,"AAAAAF+9v/A=")</f>
        <v>#VALUE!</v>
      </c>
      <c r="IH46" t="e">
        <f>AND(Lists!H22,"AAAAAF+9v/E=")</f>
        <v>#VALUE!</v>
      </c>
      <c r="II46" t="e">
        <f>AND(Lists!I22,"AAAAAF+9v/I=")</f>
        <v>#VALUE!</v>
      </c>
      <c r="IJ46">
        <f>IF(Lists!23:23,"AAAAAF+9v/M=",0)</f>
        <v>0</v>
      </c>
      <c r="IK46" t="e">
        <f>AND(Lists!A23,"AAAAAF+9v/Q=")</f>
        <v>#VALUE!</v>
      </c>
      <c r="IL46" t="e">
        <f>AND(Lists!B23,"AAAAAF+9v/U=")</f>
        <v>#VALUE!</v>
      </c>
      <c r="IM46" t="e">
        <f>AND(Lists!C23,"AAAAAF+9v/Y=")</f>
        <v>#VALUE!</v>
      </c>
      <c r="IN46" t="e">
        <f>AND(Lists!D30,"AAAAAF+9v/c=")</f>
        <v>#VALUE!</v>
      </c>
      <c r="IO46" t="e">
        <f>AND(Lists!E30,"AAAAAF+9v/g=")</f>
        <v>#VALUE!</v>
      </c>
      <c r="IP46" t="e">
        <f>AND(Lists!F30,"AAAAAF+9v/k=")</f>
        <v>#VALUE!</v>
      </c>
      <c r="IQ46" t="e">
        <f>AND(Lists!G23,"AAAAAF+9v/o=")</f>
        <v>#VALUE!</v>
      </c>
      <c r="IR46" t="e">
        <f>AND(Lists!H23,"AAAAAF+9v/s=")</f>
        <v>#VALUE!</v>
      </c>
      <c r="IS46" t="e">
        <f>AND(Lists!I23,"AAAAAF+9v/w=")</f>
        <v>#VALUE!</v>
      </c>
      <c r="IT46">
        <f>IF(Lists!24:24,"AAAAAF+9v/0=",0)</f>
        <v>0</v>
      </c>
      <c r="IU46" t="e">
        <f>AND(Lists!A24,"AAAAAF+9v/4=")</f>
        <v>#VALUE!</v>
      </c>
      <c r="IV46" t="e">
        <f>AND(Lists!B24,"AAAAAF+9v/8=")</f>
        <v>#VALUE!</v>
      </c>
    </row>
    <row r="47" spans="1:256" x14ac:dyDescent="0.25">
      <c r="A47" t="e">
        <f>AND(Lists!C24,"AAAAAG70vwA=")</f>
        <v>#VALUE!</v>
      </c>
      <c r="B47" t="e">
        <f>AND(Lists!D31,"AAAAAG70vwE=")</f>
        <v>#VALUE!</v>
      </c>
      <c r="C47" t="e">
        <f>AND(Lists!E31,"AAAAAG70vwI=")</f>
        <v>#VALUE!</v>
      </c>
      <c r="D47" t="e">
        <f>AND(Lists!F31,"AAAAAG70vwM=")</f>
        <v>#VALUE!</v>
      </c>
      <c r="E47" t="e">
        <f>AND(Lists!G24,"AAAAAG70vwQ=")</f>
        <v>#VALUE!</v>
      </c>
      <c r="F47" t="e">
        <f>AND(Lists!H24,"AAAAAG70vwU=")</f>
        <v>#VALUE!</v>
      </c>
      <c r="G47" t="e">
        <f>AND(Lists!I24,"AAAAAG70vwY=")</f>
        <v>#VALUE!</v>
      </c>
      <c r="H47" t="str">
        <f>IF(Lists!25:25,"AAAAAG70vwc=",0)</f>
        <v>AAAAAG70vwc=</v>
      </c>
      <c r="I47" t="e">
        <f>AND(Lists!A25,"AAAAAG70vwg=")</f>
        <v>#VALUE!</v>
      </c>
      <c r="J47" t="e">
        <f>AND(Lists!B25,"AAAAAG70vwk=")</f>
        <v>#VALUE!</v>
      </c>
      <c r="K47" t="e">
        <f>AND(Lists!C25,"AAAAAG70vwo=")</f>
        <v>#VALUE!</v>
      </c>
      <c r="L47" t="e">
        <f>AND(Lists!D32,"AAAAAG70vws=")</f>
        <v>#VALUE!</v>
      </c>
      <c r="M47" t="e">
        <f>AND(Lists!E32,"AAAAAG70vww=")</f>
        <v>#VALUE!</v>
      </c>
      <c r="N47" t="e">
        <f>AND(Lists!F32,"AAAAAG70vw0=")</f>
        <v>#VALUE!</v>
      </c>
      <c r="O47" t="e">
        <f>AND(Lists!G25,"AAAAAG70vw4=")</f>
        <v>#VALUE!</v>
      </c>
      <c r="P47" t="e">
        <f>AND(Lists!H25,"AAAAAG70vw8=")</f>
        <v>#VALUE!</v>
      </c>
      <c r="Q47" t="e">
        <f>AND(Lists!I25,"AAAAAG70vxA=")</f>
        <v>#VALUE!</v>
      </c>
      <c r="R47">
        <f>IF(Lists!26:26,"AAAAAG70vxE=",0)</f>
        <v>0</v>
      </c>
      <c r="S47" t="e">
        <f>AND(Lists!#REF!,"AAAAAG70vxI=")</f>
        <v>#REF!</v>
      </c>
      <c r="T47" t="e">
        <f>AND(Lists!#REF!,"AAAAAG70vxM=")</f>
        <v>#REF!</v>
      </c>
      <c r="U47" t="e">
        <f>AND(Lists!C26,"AAAAAG70vxQ=")</f>
        <v>#VALUE!</v>
      </c>
      <c r="V47" t="e">
        <f>AND(Lists!D33,"AAAAAG70vxU=")</f>
        <v>#VALUE!</v>
      </c>
      <c r="W47" t="e">
        <f>AND(Lists!E33,"AAAAAG70vxY=")</f>
        <v>#VALUE!</v>
      </c>
      <c r="X47" t="e">
        <f>AND(Lists!F33,"AAAAAG70vxc=")</f>
        <v>#VALUE!</v>
      </c>
      <c r="Y47" t="e">
        <f>AND(Lists!G26,"AAAAAG70vxg=")</f>
        <v>#VALUE!</v>
      </c>
      <c r="Z47" t="e">
        <f>AND(Lists!H26,"AAAAAG70vxk=")</f>
        <v>#VALUE!</v>
      </c>
      <c r="AA47" t="e">
        <f>AND(Lists!I26,"AAAAAG70vxo=")</f>
        <v>#VALUE!</v>
      </c>
      <c r="AB47">
        <f>IF(Lists!27:27,"AAAAAG70vxs=",0)</f>
        <v>0</v>
      </c>
      <c r="AC47" t="e">
        <f>AND(Lists!A26,"AAAAAG70vxw=")</f>
        <v>#VALUE!</v>
      </c>
      <c r="AD47" t="e">
        <f>AND(Lists!B26,"AAAAAG70vx0=")</f>
        <v>#VALUE!</v>
      </c>
      <c r="AE47" t="e">
        <f>AND(Lists!C27,"AAAAAG70vx4=")</f>
        <v>#VALUE!</v>
      </c>
      <c r="AF47" t="e">
        <f>AND(Lists!D34,"AAAAAG70vx8=")</f>
        <v>#VALUE!</v>
      </c>
      <c r="AG47" t="e">
        <f>AND(Lists!E34,"AAAAAG70vyA=")</f>
        <v>#VALUE!</v>
      </c>
      <c r="AH47" t="e">
        <f>AND(Lists!F34,"AAAAAG70vyE=")</f>
        <v>#VALUE!</v>
      </c>
      <c r="AI47" t="e">
        <f>AND(Lists!G27,"AAAAAG70vyI=")</f>
        <v>#VALUE!</v>
      </c>
      <c r="AJ47" t="e">
        <f>AND(Lists!H27,"AAAAAG70vyM=")</f>
        <v>#VALUE!</v>
      </c>
      <c r="AK47" t="e">
        <f>AND(Lists!I27,"AAAAAG70vyQ=")</f>
        <v>#VALUE!</v>
      </c>
      <c r="AL47">
        <f>IF(Lists!28:28,"AAAAAG70vyU=",0)</f>
        <v>0</v>
      </c>
      <c r="AM47" t="e">
        <f>AND(Lists!A27,"AAAAAG70vyY=")</f>
        <v>#VALUE!</v>
      </c>
      <c r="AN47" t="e">
        <f>AND(Lists!B27,"AAAAAG70vyc=")</f>
        <v>#VALUE!</v>
      </c>
      <c r="AO47" t="e">
        <f>AND(Lists!C28,"AAAAAG70vyg=")</f>
        <v>#VALUE!</v>
      </c>
      <c r="AP47" t="e">
        <f>AND(Lists!D35,"AAAAAG70vyk=")</f>
        <v>#VALUE!</v>
      </c>
      <c r="AQ47" t="e">
        <f>AND(Lists!E35,"AAAAAG70vyo=")</f>
        <v>#VALUE!</v>
      </c>
      <c r="AR47" t="e">
        <f>AND(Lists!F35,"AAAAAG70vys=")</f>
        <v>#VALUE!</v>
      </c>
      <c r="AS47" t="e">
        <f>AND(Lists!G28,"AAAAAG70vyw=")</f>
        <v>#VALUE!</v>
      </c>
      <c r="AT47" t="e">
        <f>AND(Lists!H28,"AAAAAG70vy0=")</f>
        <v>#VALUE!</v>
      </c>
      <c r="AU47" t="e">
        <f>AND(Lists!I28,"AAAAAG70vy4=")</f>
        <v>#VALUE!</v>
      </c>
      <c r="AV47">
        <f>IF(Lists!29:29,"AAAAAG70vy8=",0)</f>
        <v>0</v>
      </c>
      <c r="AW47" t="e">
        <f>AND(Lists!A29,"AAAAAG70vzA=")</f>
        <v>#VALUE!</v>
      </c>
      <c r="AX47" t="e">
        <f>AND(Lists!B29,"AAAAAG70vzE=")</f>
        <v>#VALUE!</v>
      </c>
      <c r="AY47" t="e">
        <f>AND(Lists!C29,"AAAAAG70vzI=")</f>
        <v>#VALUE!</v>
      </c>
      <c r="AZ47" t="e">
        <f>AND(Lists!D36,"AAAAAG70vzM=")</f>
        <v>#VALUE!</v>
      </c>
      <c r="BA47" t="e">
        <f>AND(Lists!E36,"AAAAAG70vzQ=")</f>
        <v>#VALUE!</v>
      </c>
      <c r="BB47" t="e">
        <f>AND(Lists!F36,"AAAAAG70vzU=")</f>
        <v>#VALUE!</v>
      </c>
      <c r="BC47" t="e">
        <f>AND(Lists!G29,"AAAAAG70vzY=")</f>
        <v>#VALUE!</v>
      </c>
      <c r="BD47" t="e">
        <f>AND(Lists!H29,"AAAAAG70vzc=")</f>
        <v>#VALUE!</v>
      </c>
      <c r="BE47" t="e">
        <f>AND(Lists!I29,"AAAAAG70vzg=")</f>
        <v>#VALUE!</v>
      </c>
      <c r="BF47">
        <f>IF(Lists!30:30,"AAAAAG70vzk=",0)</f>
        <v>0</v>
      </c>
      <c r="BG47" t="e">
        <f>AND(Lists!A30,"AAAAAG70vzo=")</f>
        <v>#VALUE!</v>
      </c>
      <c r="BH47" t="e">
        <f>AND(Lists!B30,"AAAAAG70vzs=")</f>
        <v>#VALUE!</v>
      </c>
      <c r="BI47" t="e">
        <f>AND(Lists!C30,"AAAAAG70vzw=")</f>
        <v>#VALUE!</v>
      </c>
      <c r="BJ47" t="e">
        <f>AND(Lists!D37,"AAAAAG70vz0=")</f>
        <v>#VALUE!</v>
      </c>
      <c r="BK47" t="e">
        <f>AND(Lists!E37,"AAAAAG70vz4=")</f>
        <v>#VALUE!</v>
      </c>
      <c r="BL47" t="e">
        <f>AND(Lists!F37,"AAAAAG70vz8=")</f>
        <v>#VALUE!</v>
      </c>
      <c r="BM47" t="e">
        <f>AND(Lists!G30,"AAAAAG70v0A=")</f>
        <v>#VALUE!</v>
      </c>
      <c r="BN47" t="e">
        <f>AND(Lists!H30,"AAAAAG70v0E=")</f>
        <v>#VALUE!</v>
      </c>
      <c r="BO47" t="e">
        <f>AND(Lists!I30,"AAAAAG70v0I=")</f>
        <v>#VALUE!</v>
      </c>
      <c r="BP47">
        <f>IF(Lists!31:31,"AAAAAG70v0M=",0)</f>
        <v>0</v>
      </c>
      <c r="BQ47" t="e">
        <f>AND(Lists!A31,"AAAAAG70v0Q=")</f>
        <v>#VALUE!</v>
      </c>
      <c r="BR47" t="e">
        <f>AND(Lists!B31,"AAAAAG70v0U=")</f>
        <v>#VALUE!</v>
      </c>
      <c r="BS47" t="e">
        <f>AND(Lists!C31,"AAAAAG70v0Y=")</f>
        <v>#VALUE!</v>
      </c>
      <c r="BT47" t="e">
        <f>AND(Lists!D38,"AAAAAG70v0c=")</f>
        <v>#VALUE!</v>
      </c>
      <c r="BU47" t="e">
        <f>AND(Lists!E38,"AAAAAG70v0g=")</f>
        <v>#VALUE!</v>
      </c>
      <c r="BV47" t="e">
        <f>AND(Lists!F38,"AAAAAG70v0k=")</f>
        <v>#VALUE!</v>
      </c>
      <c r="BW47" t="e">
        <f>AND(Lists!G31,"AAAAAG70v0o=")</f>
        <v>#VALUE!</v>
      </c>
      <c r="BX47" t="e">
        <f>AND(Lists!H31,"AAAAAG70v0s=")</f>
        <v>#VALUE!</v>
      </c>
      <c r="BY47" t="e">
        <f>AND(Lists!I31,"AAAAAG70v0w=")</f>
        <v>#VALUE!</v>
      </c>
      <c r="BZ47">
        <f>IF(Lists!32:32,"AAAAAG70v00=",0)</f>
        <v>0</v>
      </c>
      <c r="CA47" t="e">
        <f>AND(Lists!A32,"AAAAAG70v04=")</f>
        <v>#VALUE!</v>
      </c>
      <c r="CB47" t="e">
        <f>AND(Lists!B32,"AAAAAG70v08=")</f>
        <v>#VALUE!</v>
      </c>
      <c r="CC47" t="e">
        <f>AND(Lists!C32,"AAAAAG70v1A=")</f>
        <v>#VALUE!</v>
      </c>
      <c r="CD47" t="e">
        <f>AND(Lists!D39,"AAAAAG70v1E=")</f>
        <v>#VALUE!</v>
      </c>
      <c r="CE47" t="e">
        <f>AND(Lists!E39,"AAAAAG70v1I=")</f>
        <v>#VALUE!</v>
      </c>
      <c r="CF47" t="e">
        <f>AND(Lists!F39,"AAAAAG70v1M=")</f>
        <v>#VALUE!</v>
      </c>
      <c r="CG47" t="e">
        <f>AND(Lists!G32,"AAAAAG70v1Q=")</f>
        <v>#VALUE!</v>
      </c>
      <c r="CH47" t="e">
        <f>AND(Lists!H32,"AAAAAG70v1U=")</f>
        <v>#VALUE!</v>
      </c>
      <c r="CI47" t="e">
        <f>AND(Lists!I32,"AAAAAG70v1Y=")</f>
        <v>#VALUE!</v>
      </c>
      <c r="CJ47">
        <f>IF(Lists!33:33,"AAAAAG70v1c=",0)</f>
        <v>0</v>
      </c>
      <c r="CK47" t="e">
        <f>AND(Lists!A33,"AAAAAG70v1g=")</f>
        <v>#VALUE!</v>
      </c>
      <c r="CL47" t="e">
        <f>AND(Lists!B33,"AAAAAG70v1k=")</f>
        <v>#VALUE!</v>
      </c>
      <c r="CM47" t="e">
        <f>AND(Lists!C33,"AAAAAG70v1o=")</f>
        <v>#VALUE!</v>
      </c>
      <c r="CN47" t="e">
        <f>AND(Lists!D40,"AAAAAG70v1s=")</f>
        <v>#VALUE!</v>
      </c>
      <c r="CO47" t="e">
        <f>AND(Lists!E40,"AAAAAG70v1w=")</f>
        <v>#VALUE!</v>
      </c>
      <c r="CP47" t="e">
        <f>AND(Lists!F40,"AAAAAG70v10=")</f>
        <v>#VALUE!</v>
      </c>
      <c r="CQ47" t="e">
        <f>AND(Lists!G33,"AAAAAG70v14=")</f>
        <v>#VALUE!</v>
      </c>
      <c r="CR47" t="e">
        <f>AND(Lists!H33,"AAAAAG70v18=")</f>
        <v>#VALUE!</v>
      </c>
      <c r="CS47" t="e">
        <f>AND(Lists!I33,"AAAAAG70v2A=")</f>
        <v>#VALUE!</v>
      </c>
      <c r="CT47">
        <f>IF(Lists!34:34,"AAAAAG70v2E=",0)</f>
        <v>0</v>
      </c>
      <c r="CU47" t="e">
        <f>AND(Lists!A34,"AAAAAG70v2I=")</f>
        <v>#VALUE!</v>
      </c>
      <c r="CV47" t="e">
        <f>AND(Lists!B34,"AAAAAG70v2M=")</f>
        <v>#VALUE!</v>
      </c>
      <c r="CW47" t="e">
        <f>AND(Lists!C34,"AAAAAG70v2Q=")</f>
        <v>#VALUE!</v>
      </c>
      <c r="CX47" t="e">
        <f>AND(Lists!D41,"AAAAAG70v2U=")</f>
        <v>#VALUE!</v>
      </c>
      <c r="CY47" t="e">
        <f>AND(Lists!E41,"AAAAAG70v2Y=")</f>
        <v>#VALUE!</v>
      </c>
      <c r="CZ47" t="e">
        <f>AND(Lists!F41,"AAAAAG70v2c=")</f>
        <v>#VALUE!</v>
      </c>
      <c r="DA47" t="e">
        <f>AND(Lists!G34,"AAAAAG70v2g=")</f>
        <v>#VALUE!</v>
      </c>
      <c r="DB47" t="e">
        <f>AND(Lists!H34,"AAAAAG70v2k=")</f>
        <v>#VALUE!</v>
      </c>
      <c r="DC47" t="e">
        <f>AND(Lists!I34,"AAAAAG70v2o=")</f>
        <v>#VALUE!</v>
      </c>
      <c r="DD47">
        <f>IF(Lists!35:35,"AAAAAG70v2s=",0)</f>
        <v>0</v>
      </c>
      <c r="DE47" t="e">
        <f>AND(Lists!A35,"AAAAAG70v2w=")</f>
        <v>#VALUE!</v>
      </c>
      <c r="DF47" t="e">
        <f>AND(Lists!B35,"AAAAAG70v20=")</f>
        <v>#VALUE!</v>
      </c>
      <c r="DG47" t="e">
        <f>AND(Lists!C35,"AAAAAG70v24=")</f>
        <v>#VALUE!</v>
      </c>
      <c r="DH47" t="e">
        <f>AND(Lists!D42,"AAAAAG70v28=")</f>
        <v>#VALUE!</v>
      </c>
      <c r="DI47" t="e">
        <f>AND(Lists!E42,"AAAAAG70v3A=")</f>
        <v>#VALUE!</v>
      </c>
      <c r="DJ47" t="e">
        <f>AND(Lists!F42,"AAAAAG70v3E=")</f>
        <v>#VALUE!</v>
      </c>
      <c r="DK47" t="e">
        <f>AND(Lists!G35,"AAAAAG70v3I=")</f>
        <v>#VALUE!</v>
      </c>
      <c r="DL47" t="e">
        <f>AND(Lists!H35,"AAAAAG70v3M=")</f>
        <v>#VALUE!</v>
      </c>
      <c r="DM47" t="e">
        <f>AND(Lists!I35,"AAAAAG70v3Q=")</f>
        <v>#VALUE!</v>
      </c>
      <c r="DN47">
        <f>IF(Lists!36:36,"AAAAAG70v3U=",0)</f>
        <v>0</v>
      </c>
      <c r="DO47" t="e">
        <f>AND(Lists!A36,"AAAAAG70v3Y=")</f>
        <v>#VALUE!</v>
      </c>
      <c r="DP47" t="e">
        <f>AND(Lists!B36,"AAAAAG70v3c=")</f>
        <v>#VALUE!</v>
      </c>
      <c r="DQ47" t="e">
        <f>AND(Lists!C36,"AAAAAG70v3g=")</f>
        <v>#VALUE!</v>
      </c>
      <c r="DR47" t="e">
        <f>AND(Lists!D43,"AAAAAG70v3k=")</f>
        <v>#VALUE!</v>
      </c>
      <c r="DS47" t="e">
        <f>AND(Lists!E43,"AAAAAG70v3o=")</f>
        <v>#VALUE!</v>
      </c>
      <c r="DT47" t="e">
        <f>AND(Lists!F43,"AAAAAG70v3s=")</f>
        <v>#VALUE!</v>
      </c>
      <c r="DU47" t="e">
        <f>AND(Lists!G36,"AAAAAG70v3w=")</f>
        <v>#VALUE!</v>
      </c>
      <c r="DV47" t="e">
        <f>AND(Lists!H36,"AAAAAG70v30=")</f>
        <v>#VALUE!</v>
      </c>
      <c r="DW47" t="e">
        <f>AND(Lists!I36,"AAAAAG70v34=")</f>
        <v>#VALUE!</v>
      </c>
      <c r="DX47">
        <f>IF(Lists!37:37,"AAAAAG70v38=",0)</f>
        <v>0</v>
      </c>
      <c r="DY47" t="e">
        <f>AND(Lists!A37,"AAAAAG70v4A=")</f>
        <v>#VALUE!</v>
      </c>
      <c r="DZ47" t="e">
        <f>AND(Lists!B37,"AAAAAG70v4E=")</f>
        <v>#VALUE!</v>
      </c>
      <c r="EA47" t="e">
        <f>AND(Lists!C37,"AAAAAG70v4I=")</f>
        <v>#VALUE!</v>
      </c>
      <c r="EB47" t="e">
        <f>AND(Lists!D44,"AAAAAG70v4M=")</f>
        <v>#VALUE!</v>
      </c>
      <c r="EC47" t="e">
        <f>AND(Lists!E44,"AAAAAG70v4Q=")</f>
        <v>#VALUE!</v>
      </c>
      <c r="ED47" t="e">
        <f>AND(Lists!F44,"AAAAAG70v4U=")</f>
        <v>#VALUE!</v>
      </c>
      <c r="EE47" t="e">
        <f>AND(Lists!G37,"AAAAAG70v4Y=")</f>
        <v>#VALUE!</v>
      </c>
      <c r="EF47" t="e">
        <f>AND(Lists!H37,"AAAAAG70v4c=")</f>
        <v>#VALUE!</v>
      </c>
      <c r="EG47" t="e">
        <f>AND(Lists!I37,"AAAAAG70v4g=")</f>
        <v>#VALUE!</v>
      </c>
      <c r="EH47">
        <f>IF(Lists!38:38,"AAAAAG70v4k=",0)</f>
        <v>0</v>
      </c>
      <c r="EI47" t="e">
        <f>AND(Lists!A38,"AAAAAG70v4o=")</f>
        <v>#VALUE!</v>
      </c>
      <c r="EJ47" t="e">
        <f>AND(Lists!B38,"AAAAAG70v4s=")</f>
        <v>#VALUE!</v>
      </c>
      <c r="EK47" t="e">
        <f>AND(Lists!C38,"AAAAAG70v4w=")</f>
        <v>#VALUE!</v>
      </c>
      <c r="EL47" t="e">
        <f>AND(Lists!D45,"AAAAAG70v40=")</f>
        <v>#VALUE!</v>
      </c>
      <c r="EM47" t="e">
        <f>AND(Lists!E45,"AAAAAG70v44=")</f>
        <v>#VALUE!</v>
      </c>
      <c r="EN47" t="e">
        <f>AND(Lists!F45,"AAAAAG70v48=")</f>
        <v>#VALUE!</v>
      </c>
      <c r="EO47" t="e">
        <f>AND(Lists!G38,"AAAAAG70v5A=")</f>
        <v>#VALUE!</v>
      </c>
      <c r="EP47" t="e">
        <f>AND(Lists!H38,"AAAAAG70v5E=")</f>
        <v>#VALUE!</v>
      </c>
      <c r="EQ47" t="e">
        <f>AND(Lists!I38,"AAAAAG70v5I=")</f>
        <v>#VALUE!</v>
      </c>
      <c r="ER47">
        <f>IF(Lists!39:39,"AAAAAG70v5M=",0)</f>
        <v>0</v>
      </c>
      <c r="ES47" t="e">
        <f>AND(Lists!A39,"AAAAAG70v5Q=")</f>
        <v>#VALUE!</v>
      </c>
      <c r="ET47" t="e">
        <f>AND(Lists!B39,"AAAAAG70v5U=")</f>
        <v>#VALUE!</v>
      </c>
      <c r="EU47" t="e">
        <f>AND(Lists!C39,"AAAAAG70v5Y=")</f>
        <v>#VALUE!</v>
      </c>
      <c r="EV47" t="e">
        <f>AND(Lists!D46,"AAAAAG70v5c=")</f>
        <v>#VALUE!</v>
      </c>
      <c r="EW47" t="e">
        <f>AND(Lists!E46,"AAAAAG70v5g=")</f>
        <v>#VALUE!</v>
      </c>
      <c r="EX47" t="e">
        <f>AND(Lists!F46,"AAAAAG70v5k=")</f>
        <v>#VALUE!</v>
      </c>
      <c r="EY47" t="e">
        <f>AND(Lists!G39,"AAAAAG70v5o=")</f>
        <v>#VALUE!</v>
      </c>
      <c r="EZ47" t="e">
        <f>AND(Lists!H39,"AAAAAG70v5s=")</f>
        <v>#VALUE!</v>
      </c>
      <c r="FA47" t="e">
        <f>AND(Lists!I39,"AAAAAG70v5w=")</f>
        <v>#VALUE!</v>
      </c>
      <c r="FB47">
        <f>IF(Lists!40:40,"AAAAAG70v50=",0)</f>
        <v>0</v>
      </c>
      <c r="FC47" t="e">
        <f>AND(Lists!A40,"AAAAAG70v54=")</f>
        <v>#VALUE!</v>
      </c>
      <c r="FD47" t="e">
        <f>AND(Lists!B40,"AAAAAG70v58=")</f>
        <v>#VALUE!</v>
      </c>
      <c r="FE47" t="e">
        <f>AND(Lists!C40,"AAAAAG70v6A=")</f>
        <v>#VALUE!</v>
      </c>
      <c r="FF47" t="e">
        <f>AND(Lists!D47,"AAAAAG70v6E=")</f>
        <v>#VALUE!</v>
      </c>
      <c r="FG47" t="e">
        <f>AND(Lists!E47,"AAAAAG70v6I=")</f>
        <v>#VALUE!</v>
      </c>
      <c r="FH47" t="e">
        <f>AND(Lists!F47,"AAAAAG70v6M=")</f>
        <v>#VALUE!</v>
      </c>
      <c r="FI47" t="e">
        <f>AND(Lists!G40,"AAAAAG70v6Q=")</f>
        <v>#VALUE!</v>
      </c>
      <c r="FJ47" t="e">
        <f>AND(Lists!H40,"AAAAAG70v6U=")</f>
        <v>#VALUE!</v>
      </c>
      <c r="FK47" t="e">
        <f>AND(Lists!I40,"AAAAAG70v6Y=")</f>
        <v>#VALUE!</v>
      </c>
      <c r="FL47">
        <f>IF(Lists!41:41,"AAAAAG70v6c=",0)</f>
        <v>0</v>
      </c>
      <c r="FM47" t="e">
        <f>AND(Lists!A41,"AAAAAG70v6g=")</f>
        <v>#VALUE!</v>
      </c>
      <c r="FN47" t="e">
        <f>AND(Lists!B41,"AAAAAG70v6k=")</f>
        <v>#VALUE!</v>
      </c>
      <c r="FO47" t="e">
        <f>AND(Lists!C41,"AAAAAG70v6o=")</f>
        <v>#VALUE!</v>
      </c>
      <c r="FP47" t="e">
        <f>AND(Lists!D48,"AAAAAG70v6s=")</f>
        <v>#VALUE!</v>
      </c>
      <c r="FQ47" t="e">
        <f>AND(Lists!E48,"AAAAAG70v6w=")</f>
        <v>#VALUE!</v>
      </c>
      <c r="FR47" t="e">
        <f>AND(Lists!F48,"AAAAAG70v60=")</f>
        <v>#VALUE!</v>
      </c>
      <c r="FS47" t="e">
        <f>AND(Lists!G41,"AAAAAG70v64=")</f>
        <v>#VALUE!</v>
      </c>
      <c r="FT47" t="e">
        <f>AND(Lists!H41,"AAAAAG70v68=")</f>
        <v>#VALUE!</v>
      </c>
      <c r="FU47" t="e">
        <f>AND(Lists!I41,"AAAAAG70v7A=")</f>
        <v>#VALUE!</v>
      </c>
      <c r="FV47">
        <f>IF(Lists!42:42,"AAAAAG70v7E=",0)</f>
        <v>0</v>
      </c>
      <c r="FW47" t="e">
        <f>AND(Lists!A42,"AAAAAG70v7I=")</f>
        <v>#VALUE!</v>
      </c>
      <c r="FX47" t="e">
        <f>AND(Lists!B42,"AAAAAG70v7M=")</f>
        <v>#VALUE!</v>
      </c>
      <c r="FY47" t="e">
        <f>AND(Lists!C42,"AAAAAG70v7Q=")</f>
        <v>#VALUE!</v>
      </c>
      <c r="FZ47" t="e">
        <f>AND(Lists!D49,"AAAAAG70v7U=")</f>
        <v>#VALUE!</v>
      </c>
      <c r="GA47" t="e">
        <f>AND(Lists!E49,"AAAAAG70v7Y=")</f>
        <v>#VALUE!</v>
      </c>
      <c r="GB47" t="e">
        <f>AND(Lists!F49,"AAAAAG70v7c=")</f>
        <v>#VALUE!</v>
      </c>
      <c r="GC47" t="e">
        <f>AND(Lists!G42,"AAAAAG70v7g=")</f>
        <v>#VALUE!</v>
      </c>
      <c r="GD47" t="e">
        <f>AND(Lists!H42,"AAAAAG70v7k=")</f>
        <v>#VALUE!</v>
      </c>
      <c r="GE47" t="e">
        <f>AND(Lists!I42,"AAAAAG70v7o=")</f>
        <v>#VALUE!</v>
      </c>
      <c r="GF47">
        <f>IF(Lists!43:43,"AAAAAG70v7s=",0)</f>
        <v>0</v>
      </c>
      <c r="GG47" t="e">
        <f>AND(Lists!A43,"AAAAAG70v7w=")</f>
        <v>#VALUE!</v>
      </c>
      <c r="GH47" t="e">
        <f>AND(Lists!B43,"AAAAAG70v70=")</f>
        <v>#VALUE!</v>
      </c>
      <c r="GI47" t="e">
        <f>AND(Lists!C43,"AAAAAG70v74=")</f>
        <v>#VALUE!</v>
      </c>
      <c r="GJ47" t="e">
        <f>AND(Lists!D50,"AAAAAG70v78=")</f>
        <v>#VALUE!</v>
      </c>
      <c r="GK47" t="e">
        <f>AND(Lists!E50,"AAAAAG70v8A=")</f>
        <v>#VALUE!</v>
      </c>
      <c r="GL47" t="e">
        <f>AND(Lists!F50,"AAAAAG70v8E=")</f>
        <v>#VALUE!</v>
      </c>
      <c r="GM47" t="e">
        <f>AND(Lists!G43,"AAAAAG70v8I=")</f>
        <v>#VALUE!</v>
      </c>
      <c r="GN47" t="e">
        <f>AND(Lists!H43,"AAAAAG70v8M=")</f>
        <v>#VALUE!</v>
      </c>
      <c r="GO47" t="e">
        <f>AND(Lists!I43,"AAAAAG70v8Q=")</f>
        <v>#VALUE!</v>
      </c>
      <c r="GP47">
        <f>IF(Lists!44:44,"AAAAAG70v8U=",0)</f>
        <v>0</v>
      </c>
      <c r="GQ47" t="e">
        <f>AND(Lists!A44,"AAAAAG70v8Y=")</f>
        <v>#VALUE!</v>
      </c>
      <c r="GR47" t="e">
        <f>AND(Lists!B44,"AAAAAG70v8c=")</f>
        <v>#VALUE!</v>
      </c>
      <c r="GS47" t="e">
        <f>AND(Lists!C44,"AAAAAG70v8g=")</f>
        <v>#VALUE!</v>
      </c>
      <c r="GT47" t="e">
        <f>AND(Lists!D51,"AAAAAG70v8k=")</f>
        <v>#VALUE!</v>
      </c>
      <c r="GU47" t="e">
        <f>AND(Lists!E51,"AAAAAG70v8o=")</f>
        <v>#VALUE!</v>
      </c>
      <c r="GV47" t="e">
        <f>AND(Lists!F51,"AAAAAG70v8s=")</f>
        <v>#VALUE!</v>
      </c>
      <c r="GW47" t="e">
        <f>AND(Lists!G44,"AAAAAG70v8w=")</f>
        <v>#VALUE!</v>
      </c>
      <c r="GX47" t="e">
        <f>AND(Lists!H44,"AAAAAG70v80=")</f>
        <v>#VALUE!</v>
      </c>
      <c r="GY47" t="e">
        <f>AND(Lists!I44,"AAAAAG70v84=")</f>
        <v>#VALUE!</v>
      </c>
      <c r="GZ47">
        <f>IF(Lists!45:45,"AAAAAG70v88=",0)</f>
        <v>0</v>
      </c>
      <c r="HA47" t="e">
        <f>AND(Lists!A45,"AAAAAG70v9A=")</f>
        <v>#VALUE!</v>
      </c>
      <c r="HB47" t="e">
        <f>AND(Lists!B45,"AAAAAG70v9E=")</f>
        <v>#VALUE!</v>
      </c>
      <c r="HC47" t="e">
        <f>AND(Lists!C45,"AAAAAG70v9I=")</f>
        <v>#VALUE!</v>
      </c>
      <c r="HD47" t="e">
        <f>AND(Lists!D52,"AAAAAG70v9M=")</f>
        <v>#VALUE!</v>
      </c>
      <c r="HE47" t="e">
        <f>AND(Lists!E52,"AAAAAG70v9Q=")</f>
        <v>#VALUE!</v>
      </c>
      <c r="HF47" t="e">
        <f>AND(Lists!F52,"AAAAAG70v9U=")</f>
        <v>#VALUE!</v>
      </c>
      <c r="HG47" t="e">
        <f>AND(Lists!G45,"AAAAAG70v9Y=")</f>
        <v>#VALUE!</v>
      </c>
      <c r="HH47" t="e">
        <f>AND(Lists!H45,"AAAAAG70v9c=")</f>
        <v>#VALUE!</v>
      </c>
      <c r="HI47" t="e">
        <f>AND(Lists!I45,"AAAAAG70v9g=")</f>
        <v>#VALUE!</v>
      </c>
      <c r="HJ47">
        <f>IF(Lists!46:46,"AAAAAG70v9k=",0)</f>
        <v>0</v>
      </c>
      <c r="HK47" t="e">
        <f>AND(Lists!A46,"AAAAAG70v9o=")</f>
        <v>#VALUE!</v>
      </c>
      <c r="HL47" t="e">
        <f>AND(Lists!B46,"AAAAAG70v9s=")</f>
        <v>#VALUE!</v>
      </c>
      <c r="HM47" t="e">
        <f>AND(Lists!C46,"AAAAAG70v9w=")</f>
        <v>#VALUE!</v>
      </c>
      <c r="HN47" t="e">
        <f>AND(Lists!D53,"AAAAAG70v90=")</f>
        <v>#VALUE!</v>
      </c>
      <c r="HO47" t="e">
        <f>AND(Lists!E53,"AAAAAG70v94=")</f>
        <v>#VALUE!</v>
      </c>
      <c r="HP47" t="e">
        <f>AND(Lists!F53,"AAAAAG70v98=")</f>
        <v>#VALUE!</v>
      </c>
      <c r="HQ47" t="e">
        <f>AND(Lists!G46,"AAAAAG70v+A=")</f>
        <v>#VALUE!</v>
      </c>
      <c r="HR47" t="e">
        <f>AND(Lists!H46,"AAAAAG70v+E=")</f>
        <v>#VALUE!</v>
      </c>
      <c r="HS47" t="e">
        <f>AND(Lists!I46,"AAAAAG70v+I=")</f>
        <v>#VALUE!</v>
      </c>
      <c r="HT47">
        <f>IF(Lists!47:47,"AAAAAG70v+M=",0)</f>
        <v>0</v>
      </c>
      <c r="HU47" t="e">
        <f>AND(Lists!A47,"AAAAAG70v+Q=")</f>
        <v>#VALUE!</v>
      </c>
      <c r="HV47" t="e">
        <f>AND(Lists!B47,"AAAAAG70v+U=")</f>
        <v>#VALUE!</v>
      </c>
      <c r="HW47" t="e">
        <f>AND(Lists!C47,"AAAAAG70v+Y=")</f>
        <v>#VALUE!</v>
      </c>
      <c r="HX47" t="e">
        <f>AND(Lists!D54,"AAAAAG70v+c=")</f>
        <v>#VALUE!</v>
      </c>
      <c r="HY47" t="e">
        <f>AND(Lists!E54,"AAAAAG70v+g=")</f>
        <v>#VALUE!</v>
      </c>
      <c r="HZ47" t="e">
        <f>AND(Lists!F54,"AAAAAG70v+k=")</f>
        <v>#VALUE!</v>
      </c>
      <c r="IA47" t="e">
        <f>AND(Lists!G47,"AAAAAG70v+o=")</f>
        <v>#VALUE!</v>
      </c>
      <c r="IB47" t="e">
        <f>AND(Lists!H47,"AAAAAG70v+s=")</f>
        <v>#VALUE!</v>
      </c>
      <c r="IC47" t="e">
        <f>AND(Lists!I47,"AAAAAG70v+w=")</f>
        <v>#VALUE!</v>
      </c>
      <c r="ID47">
        <f>IF(Lists!48:48,"AAAAAG70v+0=",0)</f>
        <v>0</v>
      </c>
      <c r="IE47" t="e">
        <f>AND(Lists!A48,"AAAAAG70v+4=")</f>
        <v>#VALUE!</v>
      </c>
      <c r="IF47" t="e">
        <f>AND(Lists!B48,"AAAAAG70v+8=")</f>
        <v>#VALUE!</v>
      </c>
      <c r="IG47" t="e">
        <f>AND(Lists!C48,"AAAAAG70v/A=")</f>
        <v>#VALUE!</v>
      </c>
      <c r="IH47" t="e">
        <f>AND(Lists!D55,"AAAAAG70v/E=")</f>
        <v>#VALUE!</v>
      </c>
      <c r="II47" t="e">
        <f>AND(Lists!E55,"AAAAAG70v/I=")</f>
        <v>#VALUE!</v>
      </c>
      <c r="IJ47" t="e">
        <f>AND(Lists!F55,"AAAAAG70v/M=")</f>
        <v>#VALUE!</v>
      </c>
      <c r="IK47" t="e">
        <f>AND(Lists!G48,"AAAAAG70v/Q=")</f>
        <v>#VALUE!</v>
      </c>
      <c r="IL47" t="e">
        <f>AND(Lists!H48,"AAAAAG70v/U=")</f>
        <v>#VALUE!</v>
      </c>
      <c r="IM47" t="e">
        <f>AND(Lists!I48,"AAAAAG70v/Y=")</f>
        <v>#VALUE!</v>
      </c>
      <c r="IN47">
        <f>IF(Lists!49:49,"AAAAAG70v/c=",0)</f>
        <v>0</v>
      </c>
      <c r="IO47" t="e">
        <f>AND(Lists!A49,"AAAAAG70v/g=")</f>
        <v>#VALUE!</v>
      </c>
      <c r="IP47" t="e">
        <f>AND(Lists!B49,"AAAAAG70v/k=")</f>
        <v>#VALUE!</v>
      </c>
      <c r="IQ47" t="e">
        <f>AND(Lists!C49,"AAAAAG70v/o=")</f>
        <v>#VALUE!</v>
      </c>
      <c r="IR47" t="e">
        <f>AND(Lists!D56,"AAAAAG70v/s=")</f>
        <v>#VALUE!</v>
      </c>
      <c r="IS47" t="e">
        <f>AND(Lists!E56,"AAAAAG70v/w=")</f>
        <v>#VALUE!</v>
      </c>
      <c r="IT47" t="e">
        <f>AND(Lists!F56,"AAAAAG70v/0=")</f>
        <v>#VALUE!</v>
      </c>
      <c r="IU47" t="e">
        <f>AND(Lists!G49,"AAAAAG70v/4=")</f>
        <v>#VALUE!</v>
      </c>
      <c r="IV47" t="e">
        <f>AND(Lists!H49,"AAAAAG70v/8=")</f>
        <v>#VALUE!</v>
      </c>
    </row>
    <row r="48" spans="1:256" x14ac:dyDescent="0.25">
      <c r="A48" t="e">
        <f>AND(Lists!I49,"AAAAADuvIwA=")</f>
        <v>#VALUE!</v>
      </c>
      <c r="B48">
        <f>IF(Lists!50:50,"AAAAADuvIwE=",0)</f>
        <v>0</v>
      </c>
      <c r="C48" t="e">
        <f>AND(Lists!A50,"AAAAADuvIwI=")</f>
        <v>#VALUE!</v>
      </c>
      <c r="D48" t="e">
        <f>AND(Lists!B50,"AAAAADuvIwM=")</f>
        <v>#VALUE!</v>
      </c>
      <c r="E48" t="e">
        <f>AND(Lists!C50,"AAAAADuvIwQ=")</f>
        <v>#VALUE!</v>
      </c>
      <c r="F48" t="e">
        <f>AND(Lists!D57,"AAAAADuvIwU=")</f>
        <v>#VALUE!</v>
      </c>
      <c r="G48" t="e">
        <f>AND(Lists!E57,"AAAAADuvIwY=")</f>
        <v>#VALUE!</v>
      </c>
      <c r="H48" t="e">
        <f>AND(Lists!F57,"AAAAADuvIwc=")</f>
        <v>#VALUE!</v>
      </c>
      <c r="I48" t="e">
        <f>AND(Lists!G50,"AAAAADuvIwg=")</f>
        <v>#VALUE!</v>
      </c>
      <c r="J48" t="e">
        <f>AND(Lists!H50,"AAAAADuvIwk=")</f>
        <v>#VALUE!</v>
      </c>
      <c r="K48" t="e">
        <f>AND(Lists!I50,"AAAAADuvIwo=")</f>
        <v>#VALUE!</v>
      </c>
      <c r="L48">
        <f>IF(Lists!51:51,"AAAAADuvIws=",0)</f>
        <v>0</v>
      </c>
      <c r="M48" t="e">
        <f>AND(Lists!A51,"AAAAADuvIww=")</f>
        <v>#VALUE!</v>
      </c>
      <c r="N48" t="e">
        <f>AND(Lists!B51,"AAAAADuvIw0=")</f>
        <v>#VALUE!</v>
      </c>
      <c r="O48" t="e">
        <f>AND(Lists!C51,"AAAAADuvIw4=")</f>
        <v>#VALUE!</v>
      </c>
      <c r="P48" t="e">
        <f>AND(Lists!D58,"AAAAADuvIw8=")</f>
        <v>#VALUE!</v>
      </c>
      <c r="Q48" t="e">
        <f>AND(Lists!E58,"AAAAADuvIxA=")</f>
        <v>#VALUE!</v>
      </c>
      <c r="R48" t="e">
        <f>AND(Lists!F58,"AAAAADuvIxE=")</f>
        <v>#VALUE!</v>
      </c>
      <c r="S48" t="e">
        <f>AND(Lists!G51,"AAAAADuvIxI=")</f>
        <v>#VALUE!</v>
      </c>
      <c r="T48" t="e">
        <f>AND(Lists!H51,"AAAAADuvIxM=")</f>
        <v>#VALUE!</v>
      </c>
      <c r="U48" t="e">
        <f>AND(Lists!I51,"AAAAADuvIxQ=")</f>
        <v>#VALUE!</v>
      </c>
      <c r="V48">
        <f>IF(Lists!52:52,"AAAAADuvIxU=",0)</f>
        <v>0</v>
      </c>
      <c r="W48" t="e">
        <f>AND(Lists!A52,"AAAAADuvIxY=")</f>
        <v>#VALUE!</v>
      </c>
      <c r="X48" t="e">
        <f>AND(Lists!B52,"AAAAADuvIxc=")</f>
        <v>#VALUE!</v>
      </c>
      <c r="Y48" t="e">
        <f>AND(Lists!C52,"AAAAADuvIxg=")</f>
        <v>#VALUE!</v>
      </c>
      <c r="Z48" t="e">
        <f>AND(Lists!D59,"AAAAADuvIxk=")</f>
        <v>#VALUE!</v>
      </c>
      <c r="AA48" t="e">
        <f>AND(Lists!E59,"AAAAADuvIxo=")</f>
        <v>#VALUE!</v>
      </c>
      <c r="AB48" t="e">
        <f>AND(Lists!F59,"AAAAADuvIxs=")</f>
        <v>#VALUE!</v>
      </c>
      <c r="AC48" t="e">
        <f>AND(Lists!G52,"AAAAADuvIxw=")</f>
        <v>#VALUE!</v>
      </c>
      <c r="AD48" t="e">
        <f>AND(Lists!H52,"AAAAADuvIx0=")</f>
        <v>#VALUE!</v>
      </c>
      <c r="AE48" t="e">
        <f>AND(Lists!I52,"AAAAADuvIx4=")</f>
        <v>#VALUE!</v>
      </c>
      <c r="AF48">
        <f>IF(Lists!53:53,"AAAAADuvIx8=",0)</f>
        <v>0</v>
      </c>
      <c r="AG48" t="e">
        <f>AND(Lists!A53,"AAAAADuvIyA=")</f>
        <v>#VALUE!</v>
      </c>
      <c r="AH48" t="e">
        <f>AND(Lists!B53,"AAAAADuvIyE=")</f>
        <v>#VALUE!</v>
      </c>
      <c r="AI48" t="e">
        <f>AND(Lists!C53,"AAAAADuvIyI=")</f>
        <v>#VALUE!</v>
      </c>
      <c r="AJ48" t="e">
        <f>AND(Lists!D60,"AAAAADuvIyM=")</f>
        <v>#VALUE!</v>
      </c>
      <c r="AK48" t="e">
        <f>AND(Lists!E60,"AAAAADuvIyQ=")</f>
        <v>#VALUE!</v>
      </c>
      <c r="AL48" t="e">
        <f>AND(Lists!F60,"AAAAADuvIyU=")</f>
        <v>#VALUE!</v>
      </c>
      <c r="AM48" t="e">
        <f>AND(Lists!G53,"AAAAADuvIyY=")</f>
        <v>#VALUE!</v>
      </c>
      <c r="AN48" t="e">
        <f>AND(Lists!H53,"AAAAADuvIyc=")</f>
        <v>#VALUE!</v>
      </c>
      <c r="AO48" t="e">
        <f>AND(Lists!I53,"AAAAADuvIyg=")</f>
        <v>#VALUE!</v>
      </c>
      <c r="AP48">
        <f>IF(Lists!54:54,"AAAAADuvIyk=",0)</f>
        <v>0</v>
      </c>
      <c r="AQ48" t="e">
        <f>AND(Lists!A54,"AAAAADuvIyo=")</f>
        <v>#VALUE!</v>
      </c>
      <c r="AR48" t="e">
        <f>AND(Lists!B54,"AAAAADuvIys=")</f>
        <v>#VALUE!</v>
      </c>
      <c r="AS48" t="e">
        <f>AND(Lists!C54,"AAAAADuvIyw=")</f>
        <v>#VALUE!</v>
      </c>
      <c r="AT48" t="e">
        <f>AND(Lists!D61,"AAAAADuvIy0=")</f>
        <v>#VALUE!</v>
      </c>
      <c r="AU48" t="e">
        <f>AND(Lists!E61,"AAAAADuvIy4=")</f>
        <v>#VALUE!</v>
      </c>
      <c r="AV48" t="e">
        <f>AND(Lists!F61,"AAAAADuvIy8=")</f>
        <v>#VALUE!</v>
      </c>
      <c r="AW48" t="e">
        <f>AND(Lists!G54,"AAAAADuvIzA=")</f>
        <v>#VALUE!</v>
      </c>
      <c r="AX48" t="e">
        <f>AND(Lists!H54,"AAAAADuvIzE=")</f>
        <v>#VALUE!</v>
      </c>
      <c r="AY48" t="e">
        <f>AND(Lists!I54,"AAAAADuvIzI=")</f>
        <v>#VALUE!</v>
      </c>
      <c r="AZ48">
        <f>IF(Lists!55:55,"AAAAADuvIzM=",0)</f>
        <v>0</v>
      </c>
      <c r="BA48" t="e">
        <f>AND(Lists!A55,"AAAAADuvIzQ=")</f>
        <v>#VALUE!</v>
      </c>
      <c r="BB48" t="e">
        <f>AND(Lists!B55,"AAAAADuvIzU=")</f>
        <v>#VALUE!</v>
      </c>
      <c r="BC48" t="e">
        <f>AND(Lists!C55,"AAAAADuvIzY=")</f>
        <v>#VALUE!</v>
      </c>
      <c r="BD48" t="e">
        <f>AND(Lists!D62,"AAAAADuvIzc=")</f>
        <v>#VALUE!</v>
      </c>
      <c r="BE48" t="e">
        <f>AND(Lists!E62,"AAAAADuvIzg=")</f>
        <v>#VALUE!</v>
      </c>
      <c r="BF48" t="e">
        <f>AND(Lists!F62,"AAAAADuvIzk=")</f>
        <v>#VALUE!</v>
      </c>
      <c r="BG48" t="e">
        <f>AND(Lists!G55,"AAAAADuvIzo=")</f>
        <v>#VALUE!</v>
      </c>
      <c r="BH48" t="e">
        <f>AND(Lists!H55,"AAAAADuvIzs=")</f>
        <v>#VALUE!</v>
      </c>
      <c r="BI48" t="e">
        <f>AND(Lists!I55,"AAAAADuvIzw=")</f>
        <v>#VALUE!</v>
      </c>
      <c r="BJ48">
        <f>IF(Lists!56:56,"AAAAADuvIz0=",0)</f>
        <v>0</v>
      </c>
      <c r="BK48" t="e">
        <f>AND(Lists!A56,"AAAAADuvIz4=")</f>
        <v>#VALUE!</v>
      </c>
      <c r="BL48" t="e">
        <f>AND(Lists!B56,"AAAAADuvIz8=")</f>
        <v>#VALUE!</v>
      </c>
      <c r="BM48" t="e">
        <f>AND(Lists!C56,"AAAAADuvI0A=")</f>
        <v>#VALUE!</v>
      </c>
      <c r="BN48" t="e">
        <f>AND(Lists!D63,"AAAAADuvI0E=")</f>
        <v>#VALUE!</v>
      </c>
      <c r="BO48" t="e">
        <f>AND(Lists!E63,"AAAAADuvI0I=")</f>
        <v>#VALUE!</v>
      </c>
      <c r="BP48" t="e">
        <f>AND(Lists!F63,"AAAAADuvI0M=")</f>
        <v>#VALUE!</v>
      </c>
      <c r="BQ48" t="e">
        <f>AND(Lists!G56,"AAAAADuvI0Q=")</f>
        <v>#VALUE!</v>
      </c>
      <c r="BR48" t="e">
        <f>AND(Lists!H56,"AAAAADuvI0U=")</f>
        <v>#VALUE!</v>
      </c>
      <c r="BS48" t="e">
        <f>AND(Lists!I56,"AAAAADuvI0Y=")</f>
        <v>#VALUE!</v>
      </c>
      <c r="BT48">
        <f>IF(Lists!57:57,"AAAAADuvI0c=",0)</f>
        <v>0</v>
      </c>
      <c r="BU48" t="e">
        <f>AND(Lists!A57,"AAAAADuvI0g=")</f>
        <v>#VALUE!</v>
      </c>
      <c r="BV48" t="e">
        <f>AND(Lists!B57,"AAAAADuvI0k=")</f>
        <v>#VALUE!</v>
      </c>
      <c r="BW48" t="e">
        <f>AND(Lists!C57,"AAAAADuvI0o=")</f>
        <v>#VALUE!</v>
      </c>
      <c r="BX48" t="e">
        <f>AND(Lists!D64,"AAAAADuvI0s=")</f>
        <v>#VALUE!</v>
      </c>
      <c r="BY48" t="e">
        <f>AND(Lists!E64,"AAAAADuvI0w=")</f>
        <v>#VALUE!</v>
      </c>
      <c r="BZ48" t="e">
        <f>AND(Lists!F64,"AAAAADuvI00=")</f>
        <v>#VALUE!</v>
      </c>
      <c r="CA48" t="e">
        <f>AND(Lists!G57,"AAAAADuvI04=")</f>
        <v>#VALUE!</v>
      </c>
      <c r="CB48" t="e">
        <f>AND(Lists!H57,"AAAAADuvI08=")</f>
        <v>#VALUE!</v>
      </c>
      <c r="CC48" t="e">
        <f>AND(Lists!I57,"AAAAADuvI1A=")</f>
        <v>#VALUE!</v>
      </c>
      <c r="CD48">
        <f>IF(Lists!58:58,"AAAAADuvI1E=",0)</f>
        <v>0</v>
      </c>
      <c r="CE48" t="e">
        <f>AND(Lists!A58,"AAAAADuvI1I=")</f>
        <v>#VALUE!</v>
      </c>
      <c r="CF48" t="e">
        <f>AND(Lists!B58,"AAAAADuvI1M=")</f>
        <v>#VALUE!</v>
      </c>
      <c r="CG48" t="e">
        <f>AND(Lists!C58,"AAAAADuvI1Q=")</f>
        <v>#VALUE!</v>
      </c>
      <c r="CH48" t="e">
        <f>AND(Lists!D65,"AAAAADuvI1U=")</f>
        <v>#VALUE!</v>
      </c>
      <c r="CI48" t="e">
        <f>AND(Lists!E65,"AAAAADuvI1Y=")</f>
        <v>#VALUE!</v>
      </c>
      <c r="CJ48" t="e">
        <f>AND(Lists!F65,"AAAAADuvI1c=")</f>
        <v>#VALUE!</v>
      </c>
      <c r="CK48" t="e">
        <f>AND(Lists!G58,"AAAAADuvI1g=")</f>
        <v>#VALUE!</v>
      </c>
      <c r="CL48" t="e">
        <f>AND(Lists!H58,"AAAAADuvI1k=")</f>
        <v>#VALUE!</v>
      </c>
      <c r="CM48" t="e">
        <f>AND(Lists!I58,"AAAAADuvI1o=")</f>
        <v>#VALUE!</v>
      </c>
      <c r="CN48">
        <f>IF(Lists!59:59,"AAAAADuvI1s=",0)</f>
        <v>0</v>
      </c>
      <c r="CO48" t="e">
        <f>AND(Lists!A59,"AAAAADuvI1w=")</f>
        <v>#VALUE!</v>
      </c>
      <c r="CP48" t="e">
        <f>AND(Lists!B59,"AAAAADuvI10=")</f>
        <v>#VALUE!</v>
      </c>
      <c r="CQ48" t="e">
        <f>AND(Lists!C59,"AAAAADuvI14=")</f>
        <v>#VALUE!</v>
      </c>
      <c r="CR48" t="e">
        <f>AND(Lists!D66,"AAAAADuvI18=")</f>
        <v>#VALUE!</v>
      </c>
      <c r="CS48" t="e">
        <f>AND(Lists!E66,"AAAAADuvI2A=")</f>
        <v>#VALUE!</v>
      </c>
      <c r="CT48" t="e">
        <f>AND(Lists!F66,"AAAAADuvI2E=")</f>
        <v>#VALUE!</v>
      </c>
      <c r="CU48" t="e">
        <f>AND(Lists!G59,"AAAAADuvI2I=")</f>
        <v>#VALUE!</v>
      </c>
      <c r="CV48" t="e">
        <f>AND(Lists!H59,"AAAAADuvI2M=")</f>
        <v>#VALUE!</v>
      </c>
      <c r="CW48" t="e">
        <f>AND(Lists!I59,"AAAAADuvI2Q=")</f>
        <v>#VALUE!</v>
      </c>
      <c r="CX48">
        <f>IF(Lists!A:A,"AAAAADuvI2U=",0)</f>
        <v>0</v>
      </c>
      <c r="CY48">
        <f>IF(Lists!B:B,"AAAAADuvI2Y=",0)</f>
        <v>0</v>
      </c>
      <c r="CZ48">
        <f>IF(Lists!C:C,"AAAAADuvI2c=",0)</f>
        <v>0</v>
      </c>
      <c r="DA48">
        <f>IF(Lists!D:D,"AAAAADuvI2g=",0)</f>
        <v>0</v>
      </c>
      <c r="DB48">
        <f>IF(Lists!E:E,"AAAAADuvI2k=",0)</f>
        <v>0</v>
      </c>
      <c r="DC48">
        <f>IF(Lists!F:F,"AAAAADuvI2o=",0)</f>
        <v>0</v>
      </c>
      <c r="DD48">
        <f>IF(Lists!G:G,"AAAAADuvI2s=",0)</f>
        <v>0</v>
      </c>
      <c r="DE48" t="str">
        <f>IF(Lists!H:H,"AAAAADuvI2w=",0)</f>
        <v>AAAAADuvI2w=</v>
      </c>
      <c r="DF48" t="e">
        <f>IF(Lists!I:I,"AAAAADuvI20=",0)</f>
        <v>#VALUE!</v>
      </c>
      <c r="DG48">
        <f>IF(ConsolidatedEventList!1:1,"AAAAADuvI24=",0)</f>
        <v>0</v>
      </c>
      <c r="DH48" t="e">
        <f>AND(ConsolidatedEventList!A1,"AAAAADuvI28=")</f>
        <v>#VALUE!</v>
      </c>
      <c r="DI48" t="e">
        <f>AND(ConsolidatedEventList!B1,"AAAAADuvI3A=")</f>
        <v>#VALUE!</v>
      </c>
      <c r="DJ48" t="e">
        <f>AND(ConsolidatedEventList!C1,"AAAAADuvI3E=")</f>
        <v>#VALUE!</v>
      </c>
      <c r="DK48" t="e">
        <f>AND(ConsolidatedEventList!D1,"AAAAADuvI3I=")</f>
        <v>#VALUE!</v>
      </c>
      <c r="DL48" t="e">
        <f>AND(ConsolidatedEventList!E1,"AAAAADuvI3M=")</f>
        <v>#VALUE!</v>
      </c>
      <c r="DM48" t="e">
        <f>AND(ConsolidatedEventList!F1,"AAAAADuvI3Q=")</f>
        <v>#VALUE!</v>
      </c>
      <c r="DN48" t="e">
        <f>AND(ConsolidatedEventList!G1,"AAAAADuvI3U=")</f>
        <v>#VALUE!</v>
      </c>
      <c r="DO48" t="e">
        <f>AND(ConsolidatedEventList!H1,"AAAAADuvI3Y=")</f>
        <v>#VALUE!</v>
      </c>
      <c r="DP48">
        <f>IF(ConsolidatedEventList!2:2,"AAAAADuvI3c=",0)</f>
        <v>0</v>
      </c>
      <c r="DQ48" t="e">
        <f>AND(ConsolidatedEventList!A2,"AAAAADuvI3g=")</f>
        <v>#VALUE!</v>
      </c>
      <c r="DR48" t="e">
        <f>AND(ConsolidatedEventList!B2,"AAAAADuvI3k=")</f>
        <v>#VALUE!</v>
      </c>
      <c r="DS48" t="e">
        <f>AND(ConsolidatedEventList!C2,"AAAAADuvI3o=")</f>
        <v>#VALUE!</v>
      </c>
      <c r="DT48" t="e">
        <f>AND(ConsolidatedEventList!D2,"AAAAADuvI3s=")</f>
        <v>#VALUE!</v>
      </c>
      <c r="DU48" t="e">
        <f>AND(ConsolidatedEventList!E2,"AAAAADuvI3w=")</f>
        <v>#VALUE!</v>
      </c>
      <c r="DV48" t="e">
        <f>AND(ConsolidatedEventList!F2,"AAAAADuvI30=")</f>
        <v>#VALUE!</v>
      </c>
      <c r="DW48" t="e">
        <f>AND(ConsolidatedEventList!G2,"AAAAADuvI34=")</f>
        <v>#VALUE!</v>
      </c>
      <c r="DX48" t="e">
        <f>AND(ConsolidatedEventList!H2,"AAAAADuvI38=")</f>
        <v>#VALUE!</v>
      </c>
      <c r="DY48">
        <f>IF(ConsolidatedEventList!3:3,"AAAAADuvI4A=",0)</f>
        <v>0</v>
      </c>
      <c r="DZ48" t="e">
        <f>AND(ConsolidatedEventList!A3,"AAAAADuvI4E=")</f>
        <v>#VALUE!</v>
      </c>
      <c r="EA48" t="e">
        <f>AND(ConsolidatedEventList!B3,"AAAAADuvI4I=")</f>
        <v>#VALUE!</v>
      </c>
      <c r="EB48" t="e">
        <f>AND(ConsolidatedEventList!C3,"AAAAADuvI4M=")</f>
        <v>#VALUE!</v>
      </c>
      <c r="EC48" t="e">
        <f>AND(ConsolidatedEventList!D3,"AAAAADuvI4Q=")</f>
        <v>#VALUE!</v>
      </c>
      <c r="ED48" t="e">
        <f>AND(ConsolidatedEventList!E3,"AAAAADuvI4U=")</f>
        <v>#VALUE!</v>
      </c>
      <c r="EE48" t="e">
        <f>AND(ConsolidatedEventList!F3,"AAAAADuvI4Y=")</f>
        <v>#VALUE!</v>
      </c>
      <c r="EF48" t="e">
        <f>AND(ConsolidatedEventList!G3,"AAAAADuvI4c=")</f>
        <v>#VALUE!</v>
      </c>
      <c r="EG48" t="e">
        <f>AND(ConsolidatedEventList!H3,"AAAAADuvI4g=")</f>
        <v>#VALUE!</v>
      </c>
      <c r="EH48">
        <f>IF(ConsolidatedEventList!4:4,"AAAAADuvI4k=",0)</f>
        <v>0</v>
      </c>
      <c r="EI48" t="e">
        <f>AND(ConsolidatedEventList!A4,"AAAAADuvI4o=")</f>
        <v>#VALUE!</v>
      </c>
      <c r="EJ48" t="e">
        <f>AND(ConsolidatedEventList!B4,"AAAAADuvI4s=")</f>
        <v>#VALUE!</v>
      </c>
      <c r="EK48" t="e">
        <f>AND(ConsolidatedEventList!C4,"AAAAADuvI4w=")</f>
        <v>#VALUE!</v>
      </c>
      <c r="EL48" t="e">
        <f>AND(ConsolidatedEventList!D4,"AAAAADuvI40=")</f>
        <v>#VALUE!</v>
      </c>
      <c r="EM48" t="e">
        <f>AND(ConsolidatedEventList!E4,"AAAAADuvI44=")</f>
        <v>#VALUE!</v>
      </c>
      <c r="EN48" t="e">
        <f>AND(ConsolidatedEventList!F4,"AAAAADuvI48=")</f>
        <v>#VALUE!</v>
      </c>
      <c r="EO48" t="e">
        <f>AND(ConsolidatedEventList!G4,"AAAAADuvI5A=")</f>
        <v>#VALUE!</v>
      </c>
      <c r="EP48" t="e">
        <f>AND(ConsolidatedEventList!H4,"AAAAADuvI5E=")</f>
        <v>#VALUE!</v>
      </c>
      <c r="EQ48" t="e">
        <f>IF(ConsolidatedEventList!#REF!,"AAAAADuvI5I=",0)</f>
        <v>#REF!</v>
      </c>
      <c r="ER48" t="e">
        <f>AND(ConsolidatedEventList!#REF!,"AAAAADuvI5M=")</f>
        <v>#REF!</v>
      </c>
      <c r="ES48" t="e">
        <f>AND(ConsolidatedEventList!#REF!,"AAAAADuvI5Q=")</f>
        <v>#REF!</v>
      </c>
      <c r="ET48" t="e">
        <f>AND(ConsolidatedEventList!#REF!,"AAAAADuvI5U=")</f>
        <v>#REF!</v>
      </c>
      <c r="EU48" t="e">
        <f>AND(ConsolidatedEventList!#REF!,"AAAAADuvI5Y=")</f>
        <v>#REF!</v>
      </c>
      <c r="EV48" t="e">
        <f>AND(ConsolidatedEventList!#REF!,"AAAAADuvI5c=")</f>
        <v>#REF!</v>
      </c>
      <c r="EW48" t="e">
        <f>AND(ConsolidatedEventList!#REF!,"AAAAADuvI5g=")</f>
        <v>#REF!</v>
      </c>
      <c r="EX48" t="e">
        <f>AND(ConsolidatedEventList!#REF!,"AAAAADuvI5k=")</f>
        <v>#REF!</v>
      </c>
      <c r="EY48" t="e">
        <f>AND(ConsolidatedEventList!#REF!,"AAAAADuvI5o=")</f>
        <v>#REF!</v>
      </c>
      <c r="EZ48" t="e">
        <f>IF(ConsolidatedEventList!#REF!,"AAAAADuvI5s=",0)</f>
        <v>#REF!</v>
      </c>
      <c r="FA48" t="e">
        <f>AND(ConsolidatedEventList!#REF!,"AAAAADuvI5w=")</f>
        <v>#REF!</v>
      </c>
      <c r="FB48" t="e">
        <f>AND(ConsolidatedEventList!#REF!,"AAAAADuvI50=")</f>
        <v>#REF!</v>
      </c>
      <c r="FC48" t="e">
        <f>AND(ConsolidatedEventList!#REF!,"AAAAADuvI54=")</f>
        <v>#REF!</v>
      </c>
      <c r="FD48" t="e">
        <f>AND(ConsolidatedEventList!#REF!,"AAAAADuvI58=")</f>
        <v>#REF!</v>
      </c>
      <c r="FE48" t="e">
        <f>AND(ConsolidatedEventList!#REF!,"AAAAADuvI6A=")</f>
        <v>#REF!</v>
      </c>
      <c r="FF48" t="e">
        <f>AND(ConsolidatedEventList!#REF!,"AAAAADuvI6E=")</f>
        <v>#REF!</v>
      </c>
      <c r="FG48" t="e">
        <f>AND(ConsolidatedEventList!#REF!,"AAAAADuvI6I=")</f>
        <v>#REF!</v>
      </c>
      <c r="FH48" t="e">
        <f>AND(ConsolidatedEventList!#REF!,"AAAAADuvI6M=")</f>
        <v>#REF!</v>
      </c>
      <c r="FI48" t="e">
        <f>IF(ConsolidatedEventList!#REF!,"AAAAADuvI6Q=",0)</f>
        <v>#REF!</v>
      </c>
      <c r="FJ48" t="e">
        <f>AND(ConsolidatedEventList!#REF!,"AAAAADuvI6U=")</f>
        <v>#REF!</v>
      </c>
      <c r="FK48" t="e">
        <f>AND(ConsolidatedEventList!#REF!,"AAAAADuvI6Y=")</f>
        <v>#REF!</v>
      </c>
      <c r="FL48" t="e">
        <f>AND(ConsolidatedEventList!#REF!,"AAAAADuvI6c=")</f>
        <v>#REF!</v>
      </c>
      <c r="FM48" t="e">
        <f>AND(ConsolidatedEventList!#REF!,"AAAAADuvI6g=")</f>
        <v>#REF!</v>
      </c>
      <c r="FN48" t="e">
        <f>AND(ConsolidatedEventList!#REF!,"AAAAADuvI6k=")</f>
        <v>#REF!</v>
      </c>
      <c r="FO48" t="e">
        <f>AND(ConsolidatedEventList!#REF!,"AAAAADuvI6o=")</f>
        <v>#REF!</v>
      </c>
      <c r="FP48" t="e">
        <f>AND(ConsolidatedEventList!#REF!,"AAAAADuvI6s=")</f>
        <v>#REF!</v>
      </c>
      <c r="FQ48" t="e">
        <f>AND(ConsolidatedEventList!#REF!,"AAAAADuvI6w=")</f>
        <v>#REF!</v>
      </c>
      <c r="FR48" t="e">
        <f>IF(ConsolidatedEventList!#REF!,"AAAAADuvI60=",0)</f>
        <v>#REF!</v>
      </c>
      <c r="FS48" t="e">
        <f>AND(ConsolidatedEventList!#REF!,"AAAAADuvI64=")</f>
        <v>#REF!</v>
      </c>
      <c r="FT48" t="e">
        <f>AND(ConsolidatedEventList!#REF!,"AAAAADuvI68=")</f>
        <v>#REF!</v>
      </c>
      <c r="FU48" t="e">
        <f>AND(ConsolidatedEventList!#REF!,"AAAAADuvI7A=")</f>
        <v>#REF!</v>
      </c>
      <c r="FV48" t="e">
        <f>AND(ConsolidatedEventList!#REF!,"AAAAADuvI7E=")</f>
        <v>#REF!</v>
      </c>
      <c r="FW48" t="e">
        <f>AND(ConsolidatedEventList!#REF!,"AAAAADuvI7I=")</f>
        <v>#REF!</v>
      </c>
      <c r="FX48" t="e">
        <f>AND(ConsolidatedEventList!#REF!,"AAAAADuvI7M=")</f>
        <v>#REF!</v>
      </c>
      <c r="FY48" t="e">
        <f>AND(ConsolidatedEventList!#REF!,"AAAAADuvI7Q=")</f>
        <v>#REF!</v>
      </c>
      <c r="FZ48" t="e">
        <f>AND(ConsolidatedEventList!#REF!,"AAAAADuvI7U=")</f>
        <v>#REF!</v>
      </c>
      <c r="GA48" t="e">
        <f>IF(ConsolidatedEventList!#REF!,"AAAAADuvI7Y=",0)</f>
        <v>#REF!</v>
      </c>
      <c r="GB48" t="e">
        <f>AND(ConsolidatedEventList!#REF!,"AAAAADuvI7c=")</f>
        <v>#REF!</v>
      </c>
      <c r="GC48" t="e">
        <f>AND(ConsolidatedEventList!#REF!,"AAAAADuvI7g=")</f>
        <v>#REF!</v>
      </c>
      <c r="GD48" t="e">
        <f>AND(ConsolidatedEventList!#REF!,"AAAAADuvI7k=")</f>
        <v>#REF!</v>
      </c>
      <c r="GE48" t="e">
        <f>AND(ConsolidatedEventList!#REF!,"AAAAADuvI7o=")</f>
        <v>#REF!</v>
      </c>
      <c r="GF48" t="e">
        <f>AND(ConsolidatedEventList!#REF!,"AAAAADuvI7s=")</f>
        <v>#REF!</v>
      </c>
      <c r="GG48" t="e">
        <f>AND(ConsolidatedEventList!#REF!,"AAAAADuvI7w=")</f>
        <v>#REF!</v>
      </c>
      <c r="GH48" t="e">
        <f>AND(ConsolidatedEventList!#REF!,"AAAAADuvI70=")</f>
        <v>#REF!</v>
      </c>
      <c r="GI48" t="e">
        <f>AND(ConsolidatedEventList!#REF!,"AAAAADuvI74=")</f>
        <v>#REF!</v>
      </c>
      <c r="GJ48" t="e">
        <f>IF(ConsolidatedEventList!#REF!,"AAAAADuvI78=",0)</f>
        <v>#REF!</v>
      </c>
      <c r="GK48" t="e">
        <f>AND(ConsolidatedEventList!#REF!,"AAAAADuvI8A=")</f>
        <v>#REF!</v>
      </c>
      <c r="GL48" t="e">
        <f>AND(ConsolidatedEventList!#REF!,"AAAAADuvI8E=")</f>
        <v>#REF!</v>
      </c>
      <c r="GM48" t="e">
        <f>AND(ConsolidatedEventList!#REF!,"AAAAADuvI8I=")</f>
        <v>#REF!</v>
      </c>
      <c r="GN48" t="e">
        <f>AND(ConsolidatedEventList!#REF!,"AAAAADuvI8M=")</f>
        <v>#REF!</v>
      </c>
      <c r="GO48" t="e">
        <f>AND(ConsolidatedEventList!#REF!,"AAAAADuvI8Q=")</f>
        <v>#REF!</v>
      </c>
      <c r="GP48" t="e">
        <f>AND(ConsolidatedEventList!#REF!,"AAAAADuvI8U=")</f>
        <v>#REF!</v>
      </c>
      <c r="GQ48" t="e">
        <f>AND(ConsolidatedEventList!#REF!,"AAAAADuvI8Y=")</f>
        <v>#REF!</v>
      </c>
      <c r="GR48" t="e">
        <f>AND(ConsolidatedEventList!#REF!,"AAAAADuvI8c=")</f>
        <v>#REF!</v>
      </c>
      <c r="GS48" t="e">
        <f>IF(ConsolidatedEventList!#REF!,"AAAAADuvI8g=",0)</f>
        <v>#REF!</v>
      </c>
      <c r="GT48" t="e">
        <f>AND(ConsolidatedEventList!#REF!,"AAAAADuvI8k=")</f>
        <v>#REF!</v>
      </c>
      <c r="GU48" t="e">
        <f>AND(ConsolidatedEventList!#REF!,"AAAAADuvI8o=")</f>
        <v>#REF!</v>
      </c>
      <c r="GV48" t="e">
        <f>AND(ConsolidatedEventList!#REF!,"AAAAADuvI8s=")</f>
        <v>#REF!</v>
      </c>
      <c r="GW48" t="e">
        <f>AND(ConsolidatedEventList!#REF!,"AAAAADuvI8w=")</f>
        <v>#REF!</v>
      </c>
      <c r="GX48" t="e">
        <f>AND(ConsolidatedEventList!#REF!,"AAAAADuvI80=")</f>
        <v>#REF!</v>
      </c>
      <c r="GY48" t="e">
        <f>AND(ConsolidatedEventList!#REF!,"AAAAADuvI84=")</f>
        <v>#REF!</v>
      </c>
      <c r="GZ48" t="e">
        <f>AND(ConsolidatedEventList!#REF!,"AAAAADuvI88=")</f>
        <v>#REF!</v>
      </c>
      <c r="HA48" t="e">
        <f>AND(ConsolidatedEventList!#REF!,"AAAAADuvI9A=")</f>
        <v>#REF!</v>
      </c>
      <c r="HB48" t="e">
        <f>IF(ConsolidatedEventList!#REF!,"AAAAADuvI9E=",0)</f>
        <v>#REF!</v>
      </c>
      <c r="HC48" t="e">
        <f>AND(ConsolidatedEventList!#REF!,"AAAAADuvI9I=")</f>
        <v>#REF!</v>
      </c>
      <c r="HD48" t="e">
        <f>AND(ConsolidatedEventList!#REF!,"AAAAADuvI9M=")</f>
        <v>#REF!</v>
      </c>
      <c r="HE48" t="e">
        <f>AND(ConsolidatedEventList!#REF!,"AAAAADuvI9Q=")</f>
        <v>#REF!</v>
      </c>
      <c r="HF48" t="e">
        <f>AND(ConsolidatedEventList!#REF!,"AAAAADuvI9U=")</f>
        <v>#REF!</v>
      </c>
      <c r="HG48" t="e">
        <f>AND(ConsolidatedEventList!#REF!,"AAAAADuvI9Y=")</f>
        <v>#REF!</v>
      </c>
      <c r="HH48" t="e">
        <f>AND(ConsolidatedEventList!#REF!,"AAAAADuvI9c=")</f>
        <v>#REF!</v>
      </c>
      <c r="HI48" t="e">
        <f>AND(ConsolidatedEventList!#REF!,"AAAAADuvI9g=")</f>
        <v>#REF!</v>
      </c>
      <c r="HJ48" t="e">
        <f>AND(ConsolidatedEventList!#REF!,"AAAAADuvI9k=")</f>
        <v>#REF!</v>
      </c>
      <c r="HK48" t="e">
        <f>IF(ConsolidatedEventList!#REF!,"AAAAADuvI9o=",0)</f>
        <v>#REF!</v>
      </c>
      <c r="HL48" t="e">
        <f>AND(ConsolidatedEventList!#REF!,"AAAAADuvI9s=")</f>
        <v>#REF!</v>
      </c>
      <c r="HM48" t="e">
        <f>AND(ConsolidatedEventList!#REF!,"AAAAADuvI9w=")</f>
        <v>#REF!</v>
      </c>
      <c r="HN48" t="e">
        <f>AND(ConsolidatedEventList!#REF!,"AAAAADuvI90=")</f>
        <v>#REF!</v>
      </c>
      <c r="HO48" t="e">
        <f>AND(ConsolidatedEventList!#REF!,"AAAAADuvI94=")</f>
        <v>#REF!</v>
      </c>
      <c r="HP48" t="e">
        <f>AND(ConsolidatedEventList!#REF!,"AAAAADuvI98=")</f>
        <v>#REF!</v>
      </c>
      <c r="HQ48" t="e">
        <f>AND(ConsolidatedEventList!#REF!,"AAAAADuvI+A=")</f>
        <v>#REF!</v>
      </c>
      <c r="HR48" t="e">
        <f>AND(ConsolidatedEventList!#REF!,"AAAAADuvI+E=")</f>
        <v>#REF!</v>
      </c>
      <c r="HS48" t="e">
        <f>AND(ConsolidatedEventList!#REF!,"AAAAADuvI+I=")</f>
        <v>#REF!</v>
      </c>
      <c r="HT48" t="e">
        <f>IF(ConsolidatedEventList!#REF!,"AAAAADuvI+M=",0)</f>
        <v>#REF!</v>
      </c>
      <c r="HU48" t="e">
        <f>AND(ConsolidatedEventList!#REF!,"AAAAADuvI+Q=")</f>
        <v>#REF!</v>
      </c>
      <c r="HV48" t="e">
        <f>AND(ConsolidatedEventList!#REF!,"AAAAADuvI+U=")</f>
        <v>#REF!</v>
      </c>
      <c r="HW48" t="e">
        <f>AND(ConsolidatedEventList!#REF!,"AAAAADuvI+Y=")</f>
        <v>#REF!</v>
      </c>
      <c r="HX48" t="e">
        <f>AND(ConsolidatedEventList!#REF!,"AAAAADuvI+c=")</f>
        <v>#REF!</v>
      </c>
      <c r="HY48" t="e">
        <f>AND(ConsolidatedEventList!#REF!,"AAAAADuvI+g=")</f>
        <v>#REF!</v>
      </c>
      <c r="HZ48" t="e">
        <f>AND(ConsolidatedEventList!#REF!,"AAAAADuvI+k=")</f>
        <v>#REF!</v>
      </c>
      <c r="IA48" t="e">
        <f>AND(ConsolidatedEventList!#REF!,"AAAAADuvI+o=")</f>
        <v>#REF!</v>
      </c>
      <c r="IB48" t="e">
        <f>AND(ConsolidatedEventList!#REF!,"AAAAADuvI+s=")</f>
        <v>#REF!</v>
      </c>
      <c r="IC48" t="e">
        <f>IF(ConsolidatedEventList!#REF!,"AAAAADuvI+w=",0)</f>
        <v>#REF!</v>
      </c>
      <c r="ID48" t="e">
        <f>AND(ConsolidatedEventList!#REF!,"AAAAADuvI+0=")</f>
        <v>#REF!</v>
      </c>
      <c r="IE48" t="e">
        <f>AND(ConsolidatedEventList!#REF!,"AAAAADuvI+4=")</f>
        <v>#REF!</v>
      </c>
      <c r="IF48" t="e">
        <f>AND(ConsolidatedEventList!#REF!,"AAAAADuvI+8=")</f>
        <v>#REF!</v>
      </c>
      <c r="IG48" t="e">
        <f>AND(ConsolidatedEventList!#REF!,"AAAAADuvI/A=")</f>
        <v>#REF!</v>
      </c>
      <c r="IH48" t="e">
        <f>AND(ConsolidatedEventList!#REF!,"AAAAADuvI/E=")</f>
        <v>#REF!</v>
      </c>
      <c r="II48" t="e">
        <f>AND(ConsolidatedEventList!#REF!,"AAAAADuvI/I=")</f>
        <v>#REF!</v>
      </c>
      <c r="IJ48" t="e">
        <f>AND(ConsolidatedEventList!#REF!,"AAAAADuvI/M=")</f>
        <v>#REF!</v>
      </c>
      <c r="IK48" t="e">
        <f>AND(ConsolidatedEventList!#REF!,"AAAAADuvI/Q=")</f>
        <v>#REF!</v>
      </c>
      <c r="IL48">
        <f>IF(ConsolidatedEventList!5:5,"AAAAADuvI/U=",0)</f>
        <v>0</v>
      </c>
      <c r="IM48" t="e">
        <f>AND(ConsolidatedEventList!A5,"AAAAADuvI/Y=")</f>
        <v>#VALUE!</v>
      </c>
      <c r="IN48" t="e">
        <f>AND(ConsolidatedEventList!B5,"AAAAADuvI/c=")</f>
        <v>#VALUE!</v>
      </c>
      <c r="IO48" t="e">
        <f>AND(ConsolidatedEventList!C5,"AAAAADuvI/g=")</f>
        <v>#VALUE!</v>
      </c>
      <c r="IP48" t="e">
        <f>AND(ConsolidatedEventList!D5,"AAAAADuvI/k=")</f>
        <v>#VALUE!</v>
      </c>
      <c r="IQ48" t="e">
        <f>AND(ConsolidatedEventList!E5,"AAAAADuvI/o=")</f>
        <v>#VALUE!</v>
      </c>
      <c r="IR48" t="e">
        <f>AND(ConsolidatedEventList!F5,"AAAAADuvI/s=")</f>
        <v>#VALUE!</v>
      </c>
      <c r="IS48" t="e">
        <f>AND(ConsolidatedEventList!G5,"AAAAADuvI/w=")</f>
        <v>#VALUE!</v>
      </c>
      <c r="IT48" t="e">
        <f>AND(ConsolidatedEventList!H5,"AAAAADuvI/0=")</f>
        <v>#VALUE!</v>
      </c>
      <c r="IU48" t="e">
        <f>IF(ConsolidatedEventList!#REF!,"AAAAADuvI/4=",0)</f>
        <v>#REF!</v>
      </c>
      <c r="IV48" t="e">
        <f>AND(ConsolidatedEventList!#REF!,"AAAAADuvI/8=")</f>
        <v>#REF!</v>
      </c>
    </row>
    <row r="49" spans="1:256" x14ac:dyDescent="0.25">
      <c r="A49" t="e">
        <f>AND(ConsolidatedEventList!#REF!,"AAAAAG39/AA=")</f>
        <v>#REF!</v>
      </c>
      <c r="B49" t="e">
        <f>AND(ConsolidatedEventList!#REF!,"AAAAAG39/AE=")</f>
        <v>#REF!</v>
      </c>
      <c r="C49" t="e">
        <f>AND(ConsolidatedEventList!#REF!,"AAAAAG39/AI=")</f>
        <v>#REF!</v>
      </c>
      <c r="D49" t="e">
        <f>AND(ConsolidatedEventList!#REF!,"AAAAAG39/AM=")</f>
        <v>#REF!</v>
      </c>
      <c r="E49" t="e">
        <f>AND(ConsolidatedEventList!#REF!,"AAAAAG39/AQ=")</f>
        <v>#REF!</v>
      </c>
      <c r="F49" t="e">
        <f>AND(ConsolidatedEventList!#REF!,"AAAAAG39/AU=")</f>
        <v>#REF!</v>
      </c>
      <c r="G49" t="e">
        <f>AND(ConsolidatedEventList!#REF!,"AAAAAG39/AY=")</f>
        <v>#REF!</v>
      </c>
      <c r="H49" t="e">
        <f>IF(ConsolidatedEventList!#REF!,"AAAAAG39/Ac=",0)</f>
        <v>#REF!</v>
      </c>
      <c r="I49" t="e">
        <f>AND(ConsolidatedEventList!#REF!,"AAAAAG39/Ag=")</f>
        <v>#REF!</v>
      </c>
      <c r="J49" t="e">
        <f>AND(ConsolidatedEventList!#REF!,"AAAAAG39/Ak=")</f>
        <v>#REF!</v>
      </c>
      <c r="K49" t="e">
        <f>AND(ConsolidatedEventList!#REF!,"AAAAAG39/Ao=")</f>
        <v>#REF!</v>
      </c>
      <c r="L49" t="e">
        <f>AND(ConsolidatedEventList!#REF!,"AAAAAG39/As=")</f>
        <v>#REF!</v>
      </c>
      <c r="M49" t="e">
        <f>AND(ConsolidatedEventList!#REF!,"AAAAAG39/Aw=")</f>
        <v>#REF!</v>
      </c>
      <c r="N49" t="e">
        <f>AND(ConsolidatedEventList!#REF!,"AAAAAG39/A0=")</f>
        <v>#REF!</v>
      </c>
      <c r="O49" t="e">
        <f>AND(ConsolidatedEventList!#REF!,"AAAAAG39/A4=")</f>
        <v>#REF!</v>
      </c>
      <c r="P49" t="e">
        <f>AND(ConsolidatedEventList!#REF!,"AAAAAG39/A8=")</f>
        <v>#REF!</v>
      </c>
      <c r="Q49" t="e">
        <f>IF(ConsolidatedEventList!#REF!,"AAAAAG39/BA=",0)</f>
        <v>#REF!</v>
      </c>
      <c r="R49" t="e">
        <f>AND(ConsolidatedEventList!#REF!,"AAAAAG39/BE=")</f>
        <v>#REF!</v>
      </c>
      <c r="S49" t="e">
        <f>AND(ConsolidatedEventList!#REF!,"AAAAAG39/BI=")</f>
        <v>#REF!</v>
      </c>
      <c r="T49" t="e">
        <f>AND(ConsolidatedEventList!#REF!,"AAAAAG39/BM=")</f>
        <v>#REF!</v>
      </c>
      <c r="U49" t="e">
        <f>AND(ConsolidatedEventList!#REF!,"AAAAAG39/BQ=")</f>
        <v>#REF!</v>
      </c>
      <c r="V49" t="e">
        <f>AND(ConsolidatedEventList!#REF!,"AAAAAG39/BU=")</f>
        <v>#REF!</v>
      </c>
      <c r="W49" t="e">
        <f>AND(ConsolidatedEventList!#REF!,"AAAAAG39/BY=")</f>
        <v>#REF!</v>
      </c>
      <c r="X49" t="e">
        <f>AND(ConsolidatedEventList!#REF!,"AAAAAG39/Bc=")</f>
        <v>#REF!</v>
      </c>
      <c r="Y49" t="e">
        <f>AND(ConsolidatedEventList!#REF!,"AAAAAG39/Bg=")</f>
        <v>#REF!</v>
      </c>
      <c r="Z49" t="e">
        <f>IF(ConsolidatedEventList!#REF!,"AAAAAG39/Bk=",0)</f>
        <v>#REF!</v>
      </c>
      <c r="AA49" t="e">
        <f>AND(ConsolidatedEventList!#REF!,"AAAAAG39/Bo=")</f>
        <v>#REF!</v>
      </c>
      <c r="AB49" t="e">
        <f>AND(ConsolidatedEventList!#REF!,"AAAAAG39/Bs=")</f>
        <v>#REF!</v>
      </c>
      <c r="AC49" t="e">
        <f>AND(ConsolidatedEventList!#REF!,"AAAAAG39/Bw=")</f>
        <v>#REF!</v>
      </c>
      <c r="AD49" t="e">
        <f>AND(ConsolidatedEventList!#REF!,"AAAAAG39/B0=")</f>
        <v>#REF!</v>
      </c>
      <c r="AE49" t="e">
        <f>AND(ConsolidatedEventList!#REF!,"AAAAAG39/B4=")</f>
        <v>#REF!</v>
      </c>
      <c r="AF49" t="e">
        <f>AND(ConsolidatedEventList!#REF!,"AAAAAG39/B8=")</f>
        <v>#REF!</v>
      </c>
      <c r="AG49" t="e">
        <f>AND(ConsolidatedEventList!#REF!,"AAAAAG39/CA=")</f>
        <v>#REF!</v>
      </c>
      <c r="AH49" t="e">
        <f>AND(ConsolidatedEventList!#REF!,"AAAAAG39/CE=")</f>
        <v>#REF!</v>
      </c>
      <c r="AI49" t="e">
        <f>IF(ConsolidatedEventList!#REF!,"AAAAAG39/CI=",0)</f>
        <v>#REF!</v>
      </c>
      <c r="AJ49" t="e">
        <f>AND(ConsolidatedEventList!#REF!,"AAAAAG39/CM=")</f>
        <v>#REF!</v>
      </c>
      <c r="AK49" t="e">
        <f>AND(ConsolidatedEventList!#REF!,"AAAAAG39/CQ=")</f>
        <v>#REF!</v>
      </c>
      <c r="AL49" t="e">
        <f>AND(ConsolidatedEventList!#REF!,"AAAAAG39/CU=")</f>
        <v>#REF!</v>
      </c>
      <c r="AM49" t="e">
        <f>AND(ConsolidatedEventList!#REF!,"AAAAAG39/CY=")</f>
        <v>#REF!</v>
      </c>
      <c r="AN49" t="e">
        <f>AND(ConsolidatedEventList!#REF!,"AAAAAG39/Cc=")</f>
        <v>#REF!</v>
      </c>
      <c r="AO49" t="e">
        <f>AND(ConsolidatedEventList!#REF!,"AAAAAG39/Cg=")</f>
        <v>#REF!</v>
      </c>
      <c r="AP49" t="e">
        <f>AND(ConsolidatedEventList!#REF!,"AAAAAG39/Ck=")</f>
        <v>#REF!</v>
      </c>
      <c r="AQ49" t="e">
        <f>AND(ConsolidatedEventList!#REF!,"AAAAAG39/Co=")</f>
        <v>#REF!</v>
      </c>
      <c r="AR49" t="e">
        <f>IF(ConsolidatedEventList!#REF!,"AAAAAG39/Cs=",0)</f>
        <v>#REF!</v>
      </c>
      <c r="AS49" t="e">
        <f>AND(ConsolidatedEventList!#REF!,"AAAAAG39/Cw=")</f>
        <v>#REF!</v>
      </c>
      <c r="AT49" t="e">
        <f>AND(ConsolidatedEventList!#REF!,"AAAAAG39/C0=")</f>
        <v>#REF!</v>
      </c>
      <c r="AU49" t="e">
        <f>AND(ConsolidatedEventList!#REF!,"AAAAAG39/C4=")</f>
        <v>#REF!</v>
      </c>
      <c r="AV49" t="e">
        <f>AND(ConsolidatedEventList!#REF!,"AAAAAG39/C8=")</f>
        <v>#REF!</v>
      </c>
      <c r="AW49" t="e">
        <f>AND(ConsolidatedEventList!#REF!,"AAAAAG39/DA=")</f>
        <v>#REF!</v>
      </c>
      <c r="AX49" t="e">
        <f>AND(ConsolidatedEventList!#REF!,"AAAAAG39/DE=")</f>
        <v>#REF!</v>
      </c>
      <c r="AY49" t="e">
        <f>AND(ConsolidatedEventList!#REF!,"AAAAAG39/DI=")</f>
        <v>#REF!</v>
      </c>
      <c r="AZ49" t="e">
        <f>AND(ConsolidatedEventList!#REF!,"AAAAAG39/DM=")</f>
        <v>#REF!</v>
      </c>
      <c r="BA49" t="e">
        <f>IF(ConsolidatedEventList!#REF!,"AAAAAG39/DQ=",0)</f>
        <v>#REF!</v>
      </c>
      <c r="BB49" t="e">
        <f>AND(ConsolidatedEventList!#REF!,"AAAAAG39/DU=")</f>
        <v>#REF!</v>
      </c>
      <c r="BC49" t="e">
        <f>AND(ConsolidatedEventList!#REF!,"AAAAAG39/DY=")</f>
        <v>#REF!</v>
      </c>
      <c r="BD49" t="e">
        <f>AND(ConsolidatedEventList!#REF!,"AAAAAG39/Dc=")</f>
        <v>#REF!</v>
      </c>
      <c r="BE49" t="e">
        <f>AND(ConsolidatedEventList!#REF!,"AAAAAG39/Dg=")</f>
        <v>#REF!</v>
      </c>
      <c r="BF49" t="e">
        <f>AND(ConsolidatedEventList!#REF!,"AAAAAG39/Dk=")</f>
        <v>#REF!</v>
      </c>
      <c r="BG49" t="e">
        <f>AND(ConsolidatedEventList!#REF!,"AAAAAG39/Do=")</f>
        <v>#REF!</v>
      </c>
      <c r="BH49" t="e">
        <f>AND(ConsolidatedEventList!#REF!,"AAAAAG39/Ds=")</f>
        <v>#REF!</v>
      </c>
      <c r="BI49" t="e">
        <f>AND(ConsolidatedEventList!#REF!,"AAAAAG39/Dw=")</f>
        <v>#REF!</v>
      </c>
      <c r="BJ49" t="e">
        <f>IF(ConsolidatedEventList!#REF!,"AAAAAG39/D0=",0)</f>
        <v>#REF!</v>
      </c>
      <c r="BK49" t="e">
        <f>AND(ConsolidatedEventList!#REF!,"AAAAAG39/D4=")</f>
        <v>#REF!</v>
      </c>
      <c r="BL49" t="e">
        <f>AND(ConsolidatedEventList!#REF!,"AAAAAG39/D8=")</f>
        <v>#REF!</v>
      </c>
      <c r="BM49" t="e">
        <f>AND(ConsolidatedEventList!#REF!,"AAAAAG39/EA=")</f>
        <v>#REF!</v>
      </c>
      <c r="BN49" t="e">
        <f>AND(ConsolidatedEventList!#REF!,"AAAAAG39/EE=")</f>
        <v>#REF!</v>
      </c>
      <c r="BO49" t="e">
        <f>AND(ConsolidatedEventList!#REF!,"AAAAAG39/EI=")</f>
        <v>#REF!</v>
      </c>
      <c r="BP49" t="e">
        <f>AND(ConsolidatedEventList!#REF!,"AAAAAG39/EM=")</f>
        <v>#REF!</v>
      </c>
      <c r="BQ49" t="e">
        <f>AND(ConsolidatedEventList!#REF!,"AAAAAG39/EQ=")</f>
        <v>#REF!</v>
      </c>
      <c r="BR49" t="e">
        <f>AND(ConsolidatedEventList!#REF!,"AAAAAG39/EU=")</f>
        <v>#REF!</v>
      </c>
      <c r="BS49" t="e">
        <f>IF(ConsolidatedEventList!#REF!,"AAAAAG39/EY=",0)</f>
        <v>#REF!</v>
      </c>
      <c r="BT49" t="e">
        <f>AND(ConsolidatedEventList!#REF!,"AAAAAG39/Ec=")</f>
        <v>#REF!</v>
      </c>
      <c r="BU49" t="e">
        <f>AND(ConsolidatedEventList!#REF!,"AAAAAG39/Eg=")</f>
        <v>#REF!</v>
      </c>
      <c r="BV49" t="e">
        <f>AND(ConsolidatedEventList!#REF!,"AAAAAG39/Ek=")</f>
        <v>#REF!</v>
      </c>
      <c r="BW49" t="e">
        <f>AND(ConsolidatedEventList!#REF!,"AAAAAG39/Eo=")</f>
        <v>#REF!</v>
      </c>
      <c r="BX49" t="e">
        <f>AND(ConsolidatedEventList!#REF!,"AAAAAG39/Es=")</f>
        <v>#REF!</v>
      </c>
      <c r="BY49" t="e">
        <f>AND(ConsolidatedEventList!#REF!,"AAAAAG39/Ew=")</f>
        <v>#REF!</v>
      </c>
      <c r="BZ49" t="e">
        <f>AND(ConsolidatedEventList!#REF!,"AAAAAG39/E0=")</f>
        <v>#REF!</v>
      </c>
      <c r="CA49" t="e">
        <f>AND(ConsolidatedEventList!#REF!,"AAAAAG39/E4=")</f>
        <v>#REF!</v>
      </c>
      <c r="CB49" t="e">
        <f>IF(ConsolidatedEventList!#REF!,"AAAAAG39/E8=",0)</f>
        <v>#REF!</v>
      </c>
      <c r="CC49" t="e">
        <f>AND(ConsolidatedEventList!#REF!,"AAAAAG39/FA=")</f>
        <v>#REF!</v>
      </c>
      <c r="CD49" t="e">
        <f>AND(ConsolidatedEventList!#REF!,"AAAAAG39/FE=")</f>
        <v>#REF!</v>
      </c>
      <c r="CE49" t="e">
        <f>AND(ConsolidatedEventList!#REF!,"AAAAAG39/FI=")</f>
        <v>#REF!</v>
      </c>
      <c r="CF49" t="e">
        <f>AND(ConsolidatedEventList!#REF!,"AAAAAG39/FM=")</f>
        <v>#REF!</v>
      </c>
      <c r="CG49" t="e">
        <f>AND(ConsolidatedEventList!#REF!,"AAAAAG39/FQ=")</f>
        <v>#REF!</v>
      </c>
      <c r="CH49" t="e">
        <f>AND(ConsolidatedEventList!#REF!,"AAAAAG39/FU=")</f>
        <v>#REF!</v>
      </c>
      <c r="CI49" t="e">
        <f>AND(ConsolidatedEventList!#REF!,"AAAAAG39/FY=")</f>
        <v>#REF!</v>
      </c>
      <c r="CJ49" t="e">
        <f>AND(ConsolidatedEventList!#REF!,"AAAAAG39/Fc=")</f>
        <v>#REF!</v>
      </c>
      <c r="CK49" t="e">
        <f>IF(ConsolidatedEventList!#REF!,"AAAAAG39/Fg=",0)</f>
        <v>#REF!</v>
      </c>
      <c r="CL49" t="e">
        <f>AND(ConsolidatedEventList!#REF!,"AAAAAG39/Fk=")</f>
        <v>#REF!</v>
      </c>
      <c r="CM49" t="e">
        <f>AND(ConsolidatedEventList!#REF!,"AAAAAG39/Fo=")</f>
        <v>#REF!</v>
      </c>
      <c r="CN49" t="e">
        <f>AND(ConsolidatedEventList!#REF!,"AAAAAG39/Fs=")</f>
        <v>#REF!</v>
      </c>
      <c r="CO49" t="e">
        <f>AND(ConsolidatedEventList!#REF!,"AAAAAG39/Fw=")</f>
        <v>#REF!</v>
      </c>
      <c r="CP49" t="e">
        <f>AND(ConsolidatedEventList!#REF!,"AAAAAG39/F0=")</f>
        <v>#REF!</v>
      </c>
      <c r="CQ49" t="e">
        <f>AND(ConsolidatedEventList!#REF!,"AAAAAG39/F4=")</f>
        <v>#REF!</v>
      </c>
      <c r="CR49" t="e">
        <f>AND(ConsolidatedEventList!#REF!,"AAAAAG39/F8=")</f>
        <v>#REF!</v>
      </c>
      <c r="CS49" t="e">
        <f>AND(ConsolidatedEventList!#REF!,"AAAAAG39/GA=")</f>
        <v>#REF!</v>
      </c>
      <c r="CT49" t="e">
        <f>IF(ConsolidatedEventList!#REF!,"AAAAAG39/GE=",0)</f>
        <v>#REF!</v>
      </c>
      <c r="CU49" t="e">
        <f>AND(ConsolidatedEventList!#REF!,"AAAAAG39/GI=")</f>
        <v>#REF!</v>
      </c>
      <c r="CV49" t="e">
        <f>AND(ConsolidatedEventList!#REF!,"AAAAAG39/GM=")</f>
        <v>#REF!</v>
      </c>
      <c r="CW49" t="e">
        <f>AND(ConsolidatedEventList!#REF!,"AAAAAG39/GQ=")</f>
        <v>#REF!</v>
      </c>
      <c r="CX49" t="e">
        <f>AND(ConsolidatedEventList!#REF!,"AAAAAG39/GU=")</f>
        <v>#REF!</v>
      </c>
      <c r="CY49" t="e">
        <f>AND(ConsolidatedEventList!#REF!,"AAAAAG39/GY=")</f>
        <v>#REF!</v>
      </c>
      <c r="CZ49" t="e">
        <f>AND(ConsolidatedEventList!#REF!,"AAAAAG39/Gc=")</f>
        <v>#REF!</v>
      </c>
      <c r="DA49" t="e">
        <f>AND(ConsolidatedEventList!#REF!,"AAAAAG39/Gg=")</f>
        <v>#REF!</v>
      </c>
      <c r="DB49" t="e">
        <f>AND(ConsolidatedEventList!#REF!,"AAAAAG39/Gk=")</f>
        <v>#REF!</v>
      </c>
      <c r="DC49" t="e">
        <f>IF(ConsolidatedEventList!#REF!,"AAAAAG39/Go=",0)</f>
        <v>#REF!</v>
      </c>
      <c r="DD49" t="e">
        <f>AND(ConsolidatedEventList!#REF!,"AAAAAG39/Gs=")</f>
        <v>#REF!</v>
      </c>
      <c r="DE49" t="e">
        <f>AND(ConsolidatedEventList!#REF!,"AAAAAG39/Gw=")</f>
        <v>#REF!</v>
      </c>
      <c r="DF49" t="e">
        <f>AND(ConsolidatedEventList!#REF!,"AAAAAG39/G0=")</f>
        <v>#REF!</v>
      </c>
      <c r="DG49" t="e">
        <f>AND(ConsolidatedEventList!#REF!,"AAAAAG39/G4=")</f>
        <v>#REF!</v>
      </c>
      <c r="DH49" t="e">
        <f>AND(ConsolidatedEventList!#REF!,"AAAAAG39/G8=")</f>
        <v>#REF!</v>
      </c>
      <c r="DI49" t="e">
        <f>AND(ConsolidatedEventList!#REF!,"AAAAAG39/HA=")</f>
        <v>#REF!</v>
      </c>
      <c r="DJ49" t="e">
        <f>AND(ConsolidatedEventList!#REF!,"AAAAAG39/HE=")</f>
        <v>#REF!</v>
      </c>
      <c r="DK49" t="e">
        <f>AND(ConsolidatedEventList!#REF!,"AAAAAG39/HI=")</f>
        <v>#REF!</v>
      </c>
      <c r="DL49" t="e">
        <f>IF(ConsolidatedEventList!#REF!,"AAAAAG39/HM=",0)</f>
        <v>#REF!</v>
      </c>
      <c r="DM49" t="e">
        <f>AND(ConsolidatedEventList!#REF!,"AAAAAG39/HQ=")</f>
        <v>#REF!</v>
      </c>
      <c r="DN49" t="e">
        <f>AND(ConsolidatedEventList!#REF!,"AAAAAG39/HU=")</f>
        <v>#REF!</v>
      </c>
      <c r="DO49" t="e">
        <f>AND(ConsolidatedEventList!#REF!,"AAAAAG39/HY=")</f>
        <v>#REF!</v>
      </c>
      <c r="DP49" t="e">
        <f>AND(ConsolidatedEventList!#REF!,"AAAAAG39/Hc=")</f>
        <v>#REF!</v>
      </c>
      <c r="DQ49" t="e">
        <f>AND(ConsolidatedEventList!#REF!,"AAAAAG39/Hg=")</f>
        <v>#REF!</v>
      </c>
      <c r="DR49" t="e">
        <f>AND(ConsolidatedEventList!#REF!,"AAAAAG39/Hk=")</f>
        <v>#REF!</v>
      </c>
      <c r="DS49" t="e">
        <f>AND(ConsolidatedEventList!#REF!,"AAAAAG39/Ho=")</f>
        <v>#REF!</v>
      </c>
      <c r="DT49" t="e">
        <f>AND(ConsolidatedEventList!#REF!,"AAAAAG39/Hs=")</f>
        <v>#REF!</v>
      </c>
      <c r="DU49" t="e">
        <f>IF(ConsolidatedEventList!#REF!,"AAAAAG39/Hw=",0)</f>
        <v>#REF!</v>
      </c>
      <c r="DV49" t="e">
        <f>AND(ConsolidatedEventList!#REF!,"AAAAAG39/H0=")</f>
        <v>#REF!</v>
      </c>
      <c r="DW49" t="e">
        <f>AND(ConsolidatedEventList!#REF!,"AAAAAG39/H4=")</f>
        <v>#REF!</v>
      </c>
      <c r="DX49" t="e">
        <f>AND(ConsolidatedEventList!#REF!,"AAAAAG39/H8=")</f>
        <v>#REF!</v>
      </c>
      <c r="DY49" t="e">
        <f>AND(ConsolidatedEventList!#REF!,"AAAAAG39/IA=")</f>
        <v>#REF!</v>
      </c>
      <c r="DZ49" t="e">
        <f>AND(ConsolidatedEventList!#REF!,"AAAAAG39/IE=")</f>
        <v>#REF!</v>
      </c>
      <c r="EA49" t="e">
        <f>AND(ConsolidatedEventList!#REF!,"AAAAAG39/II=")</f>
        <v>#REF!</v>
      </c>
      <c r="EB49" t="e">
        <f>AND(ConsolidatedEventList!#REF!,"AAAAAG39/IM=")</f>
        <v>#REF!</v>
      </c>
      <c r="EC49" t="e">
        <f>AND(ConsolidatedEventList!#REF!,"AAAAAG39/IQ=")</f>
        <v>#REF!</v>
      </c>
      <c r="ED49" t="e">
        <f>IF(ConsolidatedEventList!#REF!,"AAAAAG39/IU=",0)</f>
        <v>#REF!</v>
      </c>
      <c r="EE49" t="e">
        <f>AND(ConsolidatedEventList!#REF!,"AAAAAG39/IY=")</f>
        <v>#REF!</v>
      </c>
      <c r="EF49" t="e">
        <f>AND(ConsolidatedEventList!#REF!,"AAAAAG39/Ic=")</f>
        <v>#REF!</v>
      </c>
      <c r="EG49" t="e">
        <f>AND(ConsolidatedEventList!#REF!,"AAAAAG39/Ig=")</f>
        <v>#REF!</v>
      </c>
      <c r="EH49" t="e">
        <f>AND(ConsolidatedEventList!#REF!,"AAAAAG39/Ik=")</f>
        <v>#REF!</v>
      </c>
      <c r="EI49" t="e">
        <f>AND(ConsolidatedEventList!#REF!,"AAAAAG39/Io=")</f>
        <v>#REF!</v>
      </c>
      <c r="EJ49" t="e">
        <f>AND(ConsolidatedEventList!#REF!,"AAAAAG39/Is=")</f>
        <v>#REF!</v>
      </c>
      <c r="EK49" t="e">
        <f>AND(ConsolidatedEventList!#REF!,"AAAAAG39/Iw=")</f>
        <v>#REF!</v>
      </c>
      <c r="EL49" t="e">
        <f>AND(ConsolidatedEventList!#REF!,"AAAAAG39/I0=")</f>
        <v>#REF!</v>
      </c>
      <c r="EM49" t="e">
        <f>IF(ConsolidatedEventList!#REF!,"AAAAAG39/I4=",0)</f>
        <v>#REF!</v>
      </c>
      <c r="EN49" t="e">
        <f>AND(ConsolidatedEventList!#REF!,"AAAAAG39/I8=")</f>
        <v>#REF!</v>
      </c>
      <c r="EO49" t="e">
        <f>AND(ConsolidatedEventList!#REF!,"AAAAAG39/JA=")</f>
        <v>#REF!</v>
      </c>
      <c r="EP49" t="e">
        <f>AND(ConsolidatedEventList!#REF!,"AAAAAG39/JE=")</f>
        <v>#REF!</v>
      </c>
      <c r="EQ49" t="e">
        <f>AND(ConsolidatedEventList!#REF!,"AAAAAG39/JI=")</f>
        <v>#REF!</v>
      </c>
      <c r="ER49" t="e">
        <f>AND(ConsolidatedEventList!#REF!,"AAAAAG39/JM=")</f>
        <v>#REF!</v>
      </c>
      <c r="ES49" t="e">
        <f>AND(ConsolidatedEventList!#REF!,"AAAAAG39/JQ=")</f>
        <v>#REF!</v>
      </c>
      <c r="ET49" t="e">
        <f>AND(ConsolidatedEventList!#REF!,"AAAAAG39/JU=")</f>
        <v>#REF!</v>
      </c>
      <c r="EU49" t="e">
        <f>AND(ConsolidatedEventList!#REF!,"AAAAAG39/JY=")</f>
        <v>#REF!</v>
      </c>
      <c r="EV49" t="e">
        <f>IF(ConsolidatedEventList!#REF!,"AAAAAG39/Jc=",0)</f>
        <v>#REF!</v>
      </c>
      <c r="EW49" t="e">
        <f>AND(ConsolidatedEventList!#REF!,"AAAAAG39/Jg=")</f>
        <v>#REF!</v>
      </c>
      <c r="EX49" t="e">
        <f>AND(ConsolidatedEventList!#REF!,"AAAAAG39/Jk=")</f>
        <v>#REF!</v>
      </c>
      <c r="EY49" t="e">
        <f>AND(ConsolidatedEventList!#REF!,"AAAAAG39/Jo=")</f>
        <v>#REF!</v>
      </c>
      <c r="EZ49" t="e">
        <f>AND(ConsolidatedEventList!#REF!,"AAAAAG39/Js=")</f>
        <v>#REF!</v>
      </c>
      <c r="FA49" t="e">
        <f>AND(ConsolidatedEventList!#REF!,"AAAAAG39/Jw=")</f>
        <v>#REF!</v>
      </c>
      <c r="FB49" t="e">
        <f>AND(ConsolidatedEventList!#REF!,"AAAAAG39/J0=")</f>
        <v>#REF!</v>
      </c>
      <c r="FC49" t="e">
        <f>AND(ConsolidatedEventList!#REF!,"AAAAAG39/J4=")</f>
        <v>#REF!</v>
      </c>
      <c r="FD49" t="e">
        <f>AND(ConsolidatedEventList!#REF!,"AAAAAG39/J8=")</f>
        <v>#REF!</v>
      </c>
      <c r="FE49" t="e">
        <f>IF(ConsolidatedEventList!#REF!,"AAAAAG39/KA=",0)</f>
        <v>#REF!</v>
      </c>
      <c r="FF49" t="e">
        <f>AND(ConsolidatedEventList!#REF!,"AAAAAG39/KE=")</f>
        <v>#REF!</v>
      </c>
      <c r="FG49" t="e">
        <f>AND(ConsolidatedEventList!#REF!,"AAAAAG39/KI=")</f>
        <v>#REF!</v>
      </c>
      <c r="FH49" t="e">
        <f>AND(ConsolidatedEventList!#REF!,"AAAAAG39/KM=")</f>
        <v>#REF!</v>
      </c>
      <c r="FI49" t="e">
        <f>AND(ConsolidatedEventList!#REF!,"AAAAAG39/KQ=")</f>
        <v>#REF!</v>
      </c>
      <c r="FJ49" t="e">
        <f>AND(ConsolidatedEventList!#REF!,"AAAAAG39/KU=")</f>
        <v>#REF!</v>
      </c>
      <c r="FK49" t="e">
        <f>AND(ConsolidatedEventList!#REF!,"AAAAAG39/KY=")</f>
        <v>#REF!</v>
      </c>
      <c r="FL49" t="e">
        <f>AND(ConsolidatedEventList!#REF!,"AAAAAG39/Kc=")</f>
        <v>#REF!</v>
      </c>
      <c r="FM49" t="e">
        <f>AND(ConsolidatedEventList!#REF!,"AAAAAG39/Kg=")</f>
        <v>#REF!</v>
      </c>
      <c r="FN49" t="e">
        <f>IF(ConsolidatedEventList!#REF!,"AAAAAG39/Kk=",0)</f>
        <v>#REF!</v>
      </c>
      <c r="FO49" t="e">
        <f>AND(ConsolidatedEventList!#REF!,"AAAAAG39/Ko=")</f>
        <v>#REF!</v>
      </c>
      <c r="FP49" t="e">
        <f>AND(ConsolidatedEventList!#REF!,"AAAAAG39/Ks=")</f>
        <v>#REF!</v>
      </c>
      <c r="FQ49" t="e">
        <f>AND(ConsolidatedEventList!#REF!,"AAAAAG39/Kw=")</f>
        <v>#REF!</v>
      </c>
      <c r="FR49" t="e">
        <f>AND(ConsolidatedEventList!#REF!,"AAAAAG39/K0=")</f>
        <v>#REF!</v>
      </c>
      <c r="FS49" t="e">
        <f>AND(ConsolidatedEventList!#REF!,"AAAAAG39/K4=")</f>
        <v>#REF!</v>
      </c>
      <c r="FT49" t="e">
        <f>AND(ConsolidatedEventList!#REF!,"AAAAAG39/K8=")</f>
        <v>#REF!</v>
      </c>
      <c r="FU49" t="e">
        <f>AND(ConsolidatedEventList!#REF!,"AAAAAG39/LA=")</f>
        <v>#REF!</v>
      </c>
      <c r="FV49" t="e">
        <f>AND(ConsolidatedEventList!#REF!,"AAAAAG39/LE=")</f>
        <v>#REF!</v>
      </c>
      <c r="FW49" t="e">
        <f>IF(ConsolidatedEventList!#REF!,"AAAAAG39/LI=",0)</f>
        <v>#REF!</v>
      </c>
      <c r="FX49" t="e">
        <f>AND(ConsolidatedEventList!#REF!,"AAAAAG39/LM=")</f>
        <v>#REF!</v>
      </c>
      <c r="FY49" t="e">
        <f>AND(ConsolidatedEventList!#REF!,"AAAAAG39/LQ=")</f>
        <v>#REF!</v>
      </c>
      <c r="FZ49" t="e">
        <f>AND(ConsolidatedEventList!#REF!,"AAAAAG39/LU=")</f>
        <v>#REF!</v>
      </c>
      <c r="GA49" t="e">
        <f>AND(ConsolidatedEventList!#REF!,"AAAAAG39/LY=")</f>
        <v>#REF!</v>
      </c>
      <c r="GB49" t="e">
        <f>AND(ConsolidatedEventList!#REF!,"AAAAAG39/Lc=")</f>
        <v>#REF!</v>
      </c>
      <c r="GC49" t="e">
        <f>AND(ConsolidatedEventList!#REF!,"AAAAAG39/Lg=")</f>
        <v>#REF!</v>
      </c>
      <c r="GD49" t="e">
        <f>AND(ConsolidatedEventList!#REF!,"AAAAAG39/Lk=")</f>
        <v>#REF!</v>
      </c>
      <c r="GE49" t="e">
        <f>AND(ConsolidatedEventList!#REF!,"AAAAAG39/Lo=")</f>
        <v>#REF!</v>
      </c>
      <c r="GF49" t="e">
        <f>IF(ConsolidatedEventList!#REF!,"AAAAAG39/Ls=",0)</f>
        <v>#REF!</v>
      </c>
      <c r="GG49" t="e">
        <f>AND(ConsolidatedEventList!#REF!,"AAAAAG39/Lw=")</f>
        <v>#REF!</v>
      </c>
      <c r="GH49" t="e">
        <f>AND(ConsolidatedEventList!#REF!,"AAAAAG39/L0=")</f>
        <v>#REF!</v>
      </c>
      <c r="GI49" t="e">
        <f>AND(ConsolidatedEventList!#REF!,"AAAAAG39/L4=")</f>
        <v>#REF!</v>
      </c>
      <c r="GJ49" t="e">
        <f>AND(ConsolidatedEventList!#REF!,"AAAAAG39/L8=")</f>
        <v>#REF!</v>
      </c>
      <c r="GK49" t="e">
        <f>AND(ConsolidatedEventList!#REF!,"AAAAAG39/MA=")</f>
        <v>#REF!</v>
      </c>
      <c r="GL49" t="e">
        <f>AND(ConsolidatedEventList!#REF!,"AAAAAG39/ME=")</f>
        <v>#REF!</v>
      </c>
      <c r="GM49" t="e">
        <f>AND(ConsolidatedEventList!#REF!,"AAAAAG39/MI=")</f>
        <v>#REF!</v>
      </c>
      <c r="GN49" t="e">
        <f>AND(ConsolidatedEventList!#REF!,"AAAAAG39/MM=")</f>
        <v>#REF!</v>
      </c>
      <c r="GO49" t="e">
        <f>IF(ConsolidatedEventList!#REF!,"AAAAAG39/MQ=",0)</f>
        <v>#REF!</v>
      </c>
      <c r="GP49" t="e">
        <f>AND(ConsolidatedEventList!#REF!,"AAAAAG39/MU=")</f>
        <v>#REF!</v>
      </c>
      <c r="GQ49" t="e">
        <f>AND(ConsolidatedEventList!#REF!,"AAAAAG39/MY=")</f>
        <v>#REF!</v>
      </c>
      <c r="GR49" t="e">
        <f>AND(ConsolidatedEventList!#REF!,"AAAAAG39/Mc=")</f>
        <v>#REF!</v>
      </c>
      <c r="GS49" t="e">
        <f>AND(ConsolidatedEventList!#REF!,"AAAAAG39/Mg=")</f>
        <v>#REF!</v>
      </c>
      <c r="GT49" t="e">
        <f>AND(ConsolidatedEventList!#REF!,"AAAAAG39/Mk=")</f>
        <v>#REF!</v>
      </c>
      <c r="GU49" t="e">
        <f>AND(ConsolidatedEventList!#REF!,"AAAAAG39/Mo=")</f>
        <v>#REF!</v>
      </c>
      <c r="GV49" t="e">
        <f>AND(ConsolidatedEventList!#REF!,"AAAAAG39/Ms=")</f>
        <v>#REF!</v>
      </c>
      <c r="GW49" t="e">
        <f>AND(ConsolidatedEventList!#REF!,"AAAAAG39/Mw=")</f>
        <v>#REF!</v>
      </c>
      <c r="GX49" t="e">
        <f>IF(ConsolidatedEventList!#REF!,"AAAAAG39/M0=",0)</f>
        <v>#REF!</v>
      </c>
      <c r="GY49" t="e">
        <f>AND(ConsolidatedEventList!#REF!,"AAAAAG39/M4=")</f>
        <v>#REF!</v>
      </c>
      <c r="GZ49" t="e">
        <f>AND(ConsolidatedEventList!#REF!,"AAAAAG39/M8=")</f>
        <v>#REF!</v>
      </c>
      <c r="HA49" t="e">
        <f>AND(ConsolidatedEventList!#REF!,"AAAAAG39/NA=")</f>
        <v>#REF!</v>
      </c>
      <c r="HB49" t="e">
        <f>AND(ConsolidatedEventList!#REF!,"AAAAAG39/NE=")</f>
        <v>#REF!</v>
      </c>
      <c r="HC49" t="e">
        <f>AND(ConsolidatedEventList!#REF!,"AAAAAG39/NI=")</f>
        <v>#REF!</v>
      </c>
      <c r="HD49" t="e">
        <f>AND(ConsolidatedEventList!#REF!,"AAAAAG39/NM=")</f>
        <v>#REF!</v>
      </c>
      <c r="HE49" t="e">
        <f>AND(ConsolidatedEventList!#REF!,"AAAAAG39/NQ=")</f>
        <v>#REF!</v>
      </c>
      <c r="HF49" t="e">
        <f>AND(ConsolidatedEventList!#REF!,"AAAAAG39/NU=")</f>
        <v>#REF!</v>
      </c>
      <c r="HG49" t="e">
        <f>IF(ConsolidatedEventList!#REF!,"AAAAAG39/NY=",0)</f>
        <v>#REF!</v>
      </c>
      <c r="HH49" t="e">
        <f>AND(ConsolidatedEventList!#REF!,"AAAAAG39/Nc=")</f>
        <v>#REF!</v>
      </c>
      <c r="HI49" t="e">
        <f>AND(ConsolidatedEventList!#REF!,"AAAAAG39/Ng=")</f>
        <v>#REF!</v>
      </c>
      <c r="HJ49" t="e">
        <f>AND(ConsolidatedEventList!#REF!,"AAAAAG39/Nk=")</f>
        <v>#REF!</v>
      </c>
      <c r="HK49" t="e">
        <f>AND(ConsolidatedEventList!#REF!,"AAAAAG39/No=")</f>
        <v>#REF!</v>
      </c>
      <c r="HL49" t="e">
        <f>AND(ConsolidatedEventList!#REF!,"AAAAAG39/Ns=")</f>
        <v>#REF!</v>
      </c>
      <c r="HM49" t="e">
        <f>AND(ConsolidatedEventList!#REF!,"AAAAAG39/Nw=")</f>
        <v>#REF!</v>
      </c>
      <c r="HN49" t="e">
        <f>AND(ConsolidatedEventList!#REF!,"AAAAAG39/N0=")</f>
        <v>#REF!</v>
      </c>
      <c r="HO49" t="e">
        <f>AND(ConsolidatedEventList!#REF!,"AAAAAG39/N4=")</f>
        <v>#REF!</v>
      </c>
      <c r="HP49" t="e">
        <f>IF(ConsolidatedEventList!#REF!,"AAAAAG39/N8=",0)</f>
        <v>#REF!</v>
      </c>
      <c r="HQ49" t="e">
        <f>AND(ConsolidatedEventList!#REF!,"AAAAAG39/OA=")</f>
        <v>#REF!</v>
      </c>
      <c r="HR49" t="e">
        <f>AND(ConsolidatedEventList!#REF!,"AAAAAG39/OE=")</f>
        <v>#REF!</v>
      </c>
      <c r="HS49" t="e">
        <f>AND(ConsolidatedEventList!#REF!,"AAAAAG39/OI=")</f>
        <v>#REF!</v>
      </c>
      <c r="HT49" t="e">
        <f>AND(ConsolidatedEventList!#REF!,"AAAAAG39/OM=")</f>
        <v>#REF!</v>
      </c>
      <c r="HU49" t="e">
        <f>AND(ConsolidatedEventList!#REF!,"AAAAAG39/OQ=")</f>
        <v>#REF!</v>
      </c>
      <c r="HV49" t="e">
        <f>AND(ConsolidatedEventList!#REF!,"AAAAAG39/OU=")</f>
        <v>#REF!</v>
      </c>
      <c r="HW49" t="e">
        <f>AND(ConsolidatedEventList!#REF!,"AAAAAG39/OY=")</f>
        <v>#REF!</v>
      </c>
      <c r="HX49" t="e">
        <f>AND(ConsolidatedEventList!#REF!,"AAAAAG39/Oc=")</f>
        <v>#REF!</v>
      </c>
      <c r="HY49" t="e">
        <f>IF(ConsolidatedEventList!#REF!,"AAAAAG39/Og=",0)</f>
        <v>#REF!</v>
      </c>
      <c r="HZ49" t="e">
        <f>AND(ConsolidatedEventList!#REF!,"AAAAAG39/Ok=")</f>
        <v>#REF!</v>
      </c>
      <c r="IA49" t="e">
        <f>AND(ConsolidatedEventList!#REF!,"AAAAAG39/Oo=")</f>
        <v>#REF!</v>
      </c>
      <c r="IB49" t="e">
        <f>AND(ConsolidatedEventList!#REF!,"AAAAAG39/Os=")</f>
        <v>#REF!</v>
      </c>
      <c r="IC49" t="e">
        <f>AND(ConsolidatedEventList!#REF!,"AAAAAG39/Ow=")</f>
        <v>#REF!</v>
      </c>
      <c r="ID49" t="e">
        <f>AND(ConsolidatedEventList!#REF!,"AAAAAG39/O0=")</f>
        <v>#REF!</v>
      </c>
      <c r="IE49" t="e">
        <f>AND(ConsolidatedEventList!#REF!,"AAAAAG39/O4=")</f>
        <v>#REF!</v>
      </c>
      <c r="IF49" t="e">
        <f>AND(ConsolidatedEventList!#REF!,"AAAAAG39/O8=")</f>
        <v>#REF!</v>
      </c>
      <c r="IG49" t="e">
        <f>AND(ConsolidatedEventList!#REF!,"AAAAAG39/PA=")</f>
        <v>#REF!</v>
      </c>
      <c r="IH49" t="e">
        <f>IF(ConsolidatedEventList!#REF!,"AAAAAG39/PE=",0)</f>
        <v>#REF!</v>
      </c>
      <c r="II49" t="e">
        <f>AND(ConsolidatedEventList!#REF!,"AAAAAG39/PI=")</f>
        <v>#REF!</v>
      </c>
      <c r="IJ49" t="e">
        <f>AND(ConsolidatedEventList!#REF!,"AAAAAG39/PM=")</f>
        <v>#REF!</v>
      </c>
      <c r="IK49" t="e">
        <f>AND(ConsolidatedEventList!#REF!,"AAAAAG39/PQ=")</f>
        <v>#REF!</v>
      </c>
      <c r="IL49" t="e">
        <f>AND(ConsolidatedEventList!#REF!,"AAAAAG39/PU=")</f>
        <v>#REF!</v>
      </c>
      <c r="IM49" t="e">
        <f>AND(ConsolidatedEventList!#REF!,"AAAAAG39/PY=")</f>
        <v>#REF!</v>
      </c>
      <c r="IN49" t="e">
        <f>AND(ConsolidatedEventList!#REF!,"AAAAAG39/Pc=")</f>
        <v>#REF!</v>
      </c>
      <c r="IO49" t="e">
        <f>AND(ConsolidatedEventList!#REF!,"AAAAAG39/Pg=")</f>
        <v>#REF!</v>
      </c>
      <c r="IP49" t="e">
        <f>AND(ConsolidatedEventList!#REF!,"AAAAAG39/Pk=")</f>
        <v>#REF!</v>
      </c>
      <c r="IQ49" t="e">
        <f>IF(ConsolidatedEventList!#REF!,"AAAAAG39/Po=",0)</f>
        <v>#REF!</v>
      </c>
      <c r="IR49" t="e">
        <f>AND(ConsolidatedEventList!#REF!,"AAAAAG39/Ps=")</f>
        <v>#REF!</v>
      </c>
      <c r="IS49" t="e">
        <f>AND(ConsolidatedEventList!#REF!,"AAAAAG39/Pw=")</f>
        <v>#REF!</v>
      </c>
      <c r="IT49" t="e">
        <f>AND(ConsolidatedEventList!#REF!,"AAAAAG39/P0=")</f>
        <v>#REF!</v>
      </c>
      <c r="IU49" t="e">
        <f>AND(ConsolidatedEventList!#REF!,"AAAAAG39/P4=")</f>
        <v>#REF!</v>
      </c>
      <c r="IV49" t="e">
        <f>AND(ConsolidatedEventList!#REF!,"AAAAAG39/P8=")</f>
        <v>#REF!</v>
      </c>
    </row>
    <row r="50" spans="1:256" x14ac:dyDescent="0.25">
      <c r="A50" t="e">
        <f>AND(ConsolidatedEventList!#REF!,"AAAAAF971wA=")</f>
        <v>#REF!</v>
      </c>
      <c r="B50" t="e">
        <f>AND(ConsolidatedEventList!#REF!,"AAAAAF971wE=")</f>
        <v>#REF!</v>
      </c>
      <c r="C50" t="e">
        <f>AND(ConsolidatedEventList!#REF!,"AAAAAF971wI=")</f>
        <v>#REF!</v>
      </c>
      <c r="D50" t="e">
        <f>IF(ConsolidatedEventList!6:6,"AAAAAF971wM=",0)</f>
        <v>#VALUE!</v>
      </c>
      <c r="E50" t="e">
        <f>AND(ConsolidatedEventList!A6,"AAAAAF971wQ=")</f>
        <v>#VALUE!</v>
      </c>
      <c r="F50" t="e">
        <f>AND(ConsolidatedEventList!B6,"AAAAAF971wU=")</f>
        <v>#VALUE!</v>
      </c>
      <c r="G50" t="e">
        <f>AND(ConsolidatedEventList!C6,"AAAAAF971wY=")</f>
        <v>#VALUE!</v>
      </c>
      <c r="H50" t="e">
        <f>AND(ConsolidatedEventList!D6,"AAAAAF971wc=")</f>
        <v>#VALUE!</v>
      </c>
      <c r="I50" t="e">
        <f>AND(ConsolidatedEventList!E6,"AAAAAF971wg=")</f>
        <v>#VALUE!</v>
      </c>
      <c r="J50" t="e">
        <f>AND(ConsolidatedEventList!F6,"AAAAAF971wk=")</f>
        <v>#VALUE!</v>
      </c>
      <c r="K50" t="e">
        <f>AND(ConsolidatedEventList!G6,"AAAAAF971wo=")</f>
        <v>#VALUE!</v>
      </c>
      <c r="L50" t="e">
        <f>AND(ConsolidatedEventList!H6,"AAAAAF971ws=")</f>
        <v>#VALUE!</v>
      </c>
      <c r="M50">
        <f>IF(ConsolidatedEventList!7:7,"AAAAAF971ww=",0)</f>
        <v>0</v>
      </c>
      <c r="N50" t="e">
        <f>AND(ConsolidatedEventList!A7,"AAAAAF971w0=")</f>
        <v>#VALUE!</v>
      </c>
      <c r="O50" t="e">
        <f>AND(ConsolidatedEventList!B7,"AAAAAF971w4=")</f>
        <v>#VALUE!</v>
      </c>
      <c r="P50" t="e">
        <f>AND(ConsolidatedEventList!C7,"AAAAAF971w8=")</f>
        <v>#VALUE!</v>
      </c>
      <c r="Q50" t="e">
        <f>AND(ConsolidatedEventList!D7,"AAAAAF971xA=")</f>
        <v>#VALUE!</v>
      </c>
      <c r="R50" t="e">
        <f>AND(ConsolidatedEventList!E7,"AAAAAF971xE=")</f>
        <v>#VALUE!</v>
      </c>
      <c r="S50" t="e">
        <f>AND(ConsolidatedEventList!F7,"AAAAAF971xI=")</f>
        <v>#VALUE!</v>
      </c>
      <c r="T50" t="e">
        <f>AND(ConsolidatedEventList!G7,"AAAAAF971xM=")</f>
        <v>#VALUE!</v>
      </c>
      <c r="U50" t="e">
        <f>AND(ConsolidatedEventList!H7,"AAAAAF971xQ=")</f>
        <v>#VALUE!</v>
      </c>
      <c r="V50">
        <f>IF(ConsolidatedEventList!8:8,"AAAAAF971xU=",0)</f>
        <v>0</v>
      </c>
      <c r="W50" t="e">
        <f>AND(ConsolidatedEventList!A8,"AAAAAF971xY=")</f>
        <v>#VALUE!</v>
      </c>
      <c r="X50" t="e">
        <f>AND(ConsolidatedEventList!B8,"AAAAAF971xc=")</f>
        <v>#VALUE!</v>
      </c>
      <c r="Y50" t="e">
        <f>AND(ConsolidatedEventList!C8,"AAAAAF971xg=")</f>
        <v>#VALUE!</v>
      </c>
      <c r="Z50" t="e">
        <f>AND(ConsolidatedEventList!D8,"AAAAAF971xk=")</f>
        <v>#VALUE!</v>
      </c>
      <c r="AA50" t="e">
        <f>AND(ConsolidatedEventList!E8,"AAAAAF971xo=")</f>
        <v>#VALUE!</v>
      </c>
      <c r="AB50" t="e">
        <f>AND(ConsolidatedEventList!F8,"AAAAAF971xs=")</f>
        <v>#VALUE!</v>
      </c>
      <c r="AC50" t="e">
        <f>AND(ConsolidatedEventList!G8,"AAAAAF971xw=")</f>
        <v>#VALUE!</v>
      </c>
      <c r="AD50" t="e">
        <f>AND(ConsolidatedEventList!H8,"AAAAAF971x0=")</f>
        <v>#VALUE!</v>
      </c>
      <c r="AE50">
        <f>IF(ConsolidatedEventList!9:9,"AAAAAF971x4=",0)</f>
        <v>0</v>
      </c>
      <c r="AF50" t="e">
        <f>AND(ConsolidatedEventList!A9,"AAAAAF971x8=")</f>
        <v>#VALUE!</v>
      </c>
      <c r="AG50" t="e">
        <f>AND(ConsolidatedEventList!B9,"AAAAAF971yA=")</f>
        <v>#VALUE!</v>
      </c>
      <c r="AH50" t="e">
        <f>AND(ConsolidatedEventList!C9,"AAAAAF971yE=")</f>
        <v>#VALUE!</v>
      </c>
      <c r="AI50" t="e">
        <f>AND(ConsolidatedEventList!D9,"AAAAAF971yI=")</f>
        <v>#VALUE!</v>
      </c>
      <c r="AJ50" t="e">
        <f>AND(ConsolidatedEventList!E9,"AAAAAF971yM=")</f>
        <v>#VALUE!</v>
      </c>
      <c r="AK50" t="e">
        <f>AND(ConsolidatedEventList!F9,"AAAAAF971yQ=")</f>
        <v>#VALUE!</v>
      </c>
      <c r="AL50" t="e">
        <f>AND(ConsolidatedEventList!G9,"AAAAAF971yU=")</f>
        <v>#VALUE!</v>
      </c>
      <c r="AM50" t="e">
        <f>AND(ConsolidatedEventList!H9,"AAAAAF971yY=")</f>
        <v>#VALUE!</v>
      </c>
      <c r="AN50">
        <f>IF(ConsolidatedEventList!10:10,"AAAAAF971yc=",0)</f>
        <v>0</v>
      </c>
      <c r="AO50" t="e">
        <f>AND(ConsolidatedEventList!A10,"AAAAAF971yg=")</f>
        <v>#VALUE!</v>
      </c>
      <c r="AP50" t="e">
        <f>AND(ConsolidatedEventList!B10,"AAAAAF971yk=")</f>
        <v>#VALUE!</v>
      </c>
      <c r="AQ50" t="e">
        <f>AND(ConsolidatedEventList!C10,"AAAAAF971yo=")</f>
        <v>#VALUE!</v>
      </c>
      <c r="AR50" t="e">
        <f>AND(ConsolidatedEventList!D10,"AAAAAF971ys=")</f>
        <v>#VALUE!</v>
      </c>
      <c r="AS50" t="e">
        <f>AND(ConsolidatedEventList!E10,"AAAAAF971yw=")</f>
        <v>#VALUE!</v>
      </c>
      <c r="AT50" t="e">
        <f>AND(ConsolidatedEventList!F10,"AAAAAF971y0=")</f>
        <v>#VALUE!</v>
      </c>
      <c r="AU50" t="e">
        <f>AND(ConsolidatedEventList!G10,"AAAAAF971y4=")</f>
        <v>#VALUE!</v>
      </c>
      <c r="AV50" t="e">
        <f>AND(ConsolidatedEventList!H10,"AAAAAF971y8=")</f>
        <v>#VALUE!</v>
      </c>
      <c r="AW50">
        <f>IF(ConsolidatedEventList!11:11,"AAAAAF971zA=",0)</f>
        <v>0</v>
      </c>
      <c r="AX50" t="e">
        <f>AND(ConsolidatedEventList!A11,"AAAAAF971zE=")</f>
        <v>#VALUE!</v>
      </c>
      <c r="AY50" t="e">
        <f>AND(ConsolidatedEventList!B11,"AAAAAF971zI=")</f>
        <v>#VALUE!</v>
      </c>
      <c r="AZ50" t="e">
        <f>AND(ConsolidatedEventList!C11,"AAAAAF971zM=")</f>
        <v>#VALUE!</v>
      </c>
      <c r="BA50" t="e">
        <f>AND(ConsolidatedEventList!D11,"AAAAAF971zQ=")</f>
        <v>#VALUE!</v>
      </c>
      <c r="BB50" t="e">
        <f>AND(ConsolidatedEventList!E11,"AAAAAF971zU=")</f>
        <v>#VALUE!</v>
      </c>
      <c r="BC50" t="e">
        <f>AND(ConsolidatedEventList!F11,"AAAAAF971zY=")</f>
        <v>#VALUE!</v>
      </c>
      <c r="BD50" t="e">
        <f>AND(ConsolidatedEventList!G11,"AAAAAF971zc=")</f>
        <v>#VALUE!</v>
      </c>
      <c r="BE50" t="e">
        <f>AND(ConsolidatedEventList!H11,"AAAAAF971zg=")</f>
        <v>#VALUE!</v>
      </c>
      <c r="BF50">
        <f>IF(ConsolidatedEventList!12:12,"AAAAAF971zk=",0)</f>
        <v>0</v>
      </c>
      <c r="BG50" t="e">
        <f>AND(ConsolidatedEventList!A12,"AAAAAF971zo=")</f>
        <v>#VALUE!</v>
      </c>
      <c r="BH50" t="e">
        <f>AND(ConsolidatedEventList!B12,"AAAAAF971zs=")</f>
        <v>#VALUE!</v>
      </c>
      <c r="BI50" t="e">
        <f>AND(ConsolidatedEventList!C12,"AAAAAF971zw=")</f>
        <v>#VALUE!</v>
      </c>
      <c r="BJ50" t="e">
        <f>AND(ConsolidatedEventList!D12,"AAAAAF971z0=")</f>
        <v>#VALUE!</v>
      </c>
      <c r="BK50" t="e">
        <f>AND(ConsolidatedEventList!E12,"AAAAAF971z4=")</f>
        <v>#VALUE!</v>
      </c>
      <c r="BL50" t="e">
        <f>AND(ConsolidatedEventList!F12,"AAAAAF971z8=")</f>
        <v>#VALUE!</v>
      </c>
      <c r="BM50" t="e">
        <f>AND(ConsolidatedEventList!G12,"AAAAAF9710A=")</f>
        <v>#VALUE!</v>
      </c>
      <c r="BN50" t="e">
        <f>AND(ConsolidatedEventList!H12,"AAAAAF9710E=")</f>
        <v>#VALUE!</v>
      </c>
      <c r="BO50">
        <f>IF(ConsolidatedEventList!13:13,"AAAAAF9710I=",0)</f>
        <v>0</v>
      </c>
      <c r="BP50" t="e">
        <f>AND(ConsolidatedEventList!A13,"AAAAAF9710M=")</f>
        <v>#VALUE!</v>
      </c>
      <c r="BQ50" t="e">
        <f>AND(ConsolidatedEventList!B13,"AAAAAF9710Q=")</f>
        <v>#VALUE!</v>
      </c>
      <c r="BR50" t="e">
        <f>AND(ConsolidatedEventList!C13,"AAAAAF9710U=")</f>
        <v>#VALUE!</v>
      </c>
      <c r="BS50" t="e">
        <f>AND(ConsolidatedEventList!D13,"AAAAAF9710Y=")</f>
        <v>#VALUE!</v>
      </c>
      <c r="BT50" t="e">
        <f>AND(ConsolidatedEventList!E13,"AAAAAF9710c=")</f>
        <v>#VALUE!</v>
      </c>
      <c r="BU50" t="e">
        <f>AND(ConsolidatedEventList!F13,"AAAAAF9710g=")</f>
        <v>#VALUE!</v>
      </c>
      <c r="BV50" t="e">
        <f>AND(ConsolidatedEventList!G13,"AAAAAF9710k=")</f>
        <v>#VALUE!</v>
      </c>
      <c r="BW50" t="e">
        <f>AND(ConsolidatedEventList!H13,"AAAAAF9710o=")</f>
        <v>#VALUE!</v>
      </c>
      <c r="BX50">
        <f>IF(ConsolidatedEventList!14:14,"AAAAAF9710s=",0)</f>
        <v>0</v>
      </c>
      <c r="BY50" t="e">
        <f>AND(ConsolidatedEventList!A14,"AAAAAF9710w=")</f>
        <v>#VALUE!</v>
      </c>
      <c r="BZ50" t="e">
        <f>AND(ConsolidatedEventList!B14,"AAAAAF97100=")</f>
        <v>#VALUE!</v>
      </c>
      <c r="CA50" t="e">
        <f>AND(ConsolidatedEventList!C14,"AAAAAF97104=")</f>
        <v>#VALUE!</v>
      </c>
      <c r="CB50" t="e">
        <f>AND(ConsolidatedEventList!D14,"AAAAAF97108=")</f>
        <v>#VALUE!</v>
      </c>
      <c r="CC50" t="e">
        <f>AND(ConsolidatedEventList!E14,"AAAAAF9711A=")</f>
        <v>#VALUE!</v>
      </c>
      <c r="CD50" t="e">
        <f>AND(ConsolidatedEventList!F14,"AAAAAF9711E=")</f>
        <v>#VALUE!</v>
      </c>
      <c r="CE50" t="e">
        <f>AND(ConsolidatedEventList!G14,"AAAAAF9711I=")</f>
        <v>#VALUE!</v>
      </c>
      <c r="CF50" t="e">
        <f>AND(ConsolidatedEventList!H14,"AAAAAF9711M=")</f>
        <v>#VALUE!</v>
      </c>
      <c r="CG50">
        <f>IF(ConsolidatedEventList!15:15,"AAAAAF9711Q=",0)</f>
        <v>0</v>
      </c>
      <c r="CH50" t="e">
        <f>AND(ConsolidatedEventList!A15,"AAAAAF9711U=")</f>
        <v>#VALUE!</v>
      </c>
      <c r="CI50" t="e">
        <f>AND(ConsolidatedEventList!B15,"AAAAAF9711Y=")</f>
        <v>#VALUE!</v>
      </c>
      <c r="CJ50" t="e">
        <f>AND(ConsolidatedEventList!C15,"AAAAAF9711c=")</f>
        <v>#VALUE!</v>
      </c>
      <c r="CK50" t="e">
        <f>AND(ConsolidatedEventList!D15,"AAAAAF9711g=")</f>
        <v>#VALUE!</v>
      </c>
      <c r="CL50" t="e">
        <f>AND(ConsolidatedEventList!E15,"AAAAAF9711k=")</f>
        <v>#VALUE!</v>
      </c>
      <c r="CM50" t="e">
        <f>AND(ConsolidatedEventList!F15,"AAAAAF9711o=")</f>
        <v>#VALUE!</v>
      </c>
      <c r="CN50" t="e">
        <f>AND(ConsolidatedEventList!G15,"AAAAAF9711s=")</f>
        <v>#VALUE!</v>
      </c>
      <c r="CO50" t="e">
        <f>AND(ConsolidatedEventList!H15,"AAAAAF9711w=")</f>
        <v>#VALUE!</v>
      </c>
      <c r="CP50">
        <f>IF(ConsolidatedEventList!16:16,"AAAAAF97110=",0)</f>
        <v>0</v>
      </c>
      <c r="CQ50" t="e">
        <f>AND(ConsolidatedEventList!A16,"AAAAAF97114=")</f>
        <v>#VALUE!</v>
      </c>
      <c r="CR50" t="e">
        <f>AND(ConsolidatedEventList!B16,"AAAAAF97118=")</f>
        <v>#VALUE!</v>
      </c>
      <c r="CS50" t="e">
        <f>AND(ConsolidatedEventList!C16,"AAAAAF9712A=")</f>
        <v>#VALUE!</v>
      </c>
      <c r="CT50" t="e">
        <f>AND(ConsolidatedEventList!D16,"AAAAAF9712E=")</f>
        <v>#VALUE!</v>
      </c>
      <c r="CU50" t="e">
        <f>AND(ConsolidatedEventList!E16,"AAAAAF9712I=")</f>
        <v>#VALUE!</v>
      </c>
      <c r="CV50" t="e">
        <f>AND(ConsolidatedEventList!F16,"AAAAAF9712M=")</f>
        <v>#VALUE!</v>
      </c>
      <c r="CW50" t="e">
        <f>AND(ConsolidatedEventList!G16,"AAAAAF9712Q=")</f>
        <v>#VALUE!</v>
      </c>
      <c r="CX50" t="e">
        <f>AND(ConsolidatedEventList!H16,"AAAAAF9712U=")</f>
        <v>#VALUE!</v>
      </c>
      <c r="CY50">
        <f>IF(ConsolidatedEventList!17:17,"AAAAAF9712Y=",0)</f>
        <v>0</v>
      </c>
      <c r="CZ50" t="e">
        <f>AND(ConsolidatedEventList!A17,"AAAAAF9712c=")</f>
        <v>#VALUE!</v>
      </c>
      <c r="DA50" t="e">
        <f>AND(ConsolidatedEventList!B17,"AAAAAF9712g=")</f>
        <v>#VALUE!</v>
      </c>
      <c r="DB50" t="e">
        <f>AND(ConsolidatedEventList!C17,"AAAAAF9712k=")</f>
        <v>#VALUE!</v>
      </c>
      <c r="DC50" t="e">
        <f>AND(ConsolidatedEventList!D17,"AAAAAF9712o=")</f>
        <v>#VALUE!</v>
      </c>
      <c r="DD50" t="e">
        <f>AND(ConsolidatedEventList!E17,"AAAAAF9712s=")</f>
        <v>#VALUE!</v>
      </c>
      <c r="DE50" t="e">
        <f>AND(ConsolidatedEventList!F17,"AAAAAF9712w=")</f>
        <v>#VALUE!</v>
      </c>
      <c r="DF50" t="e">
        <f>AND(ConsolidatedEventList!G17,"AAAAAF97120=")</f>
        <v>#VALUE!</v>
      </c>
      <c r="DG50" t="e">
        <f>AND(ConsolidatedEventList!H17,"AAAAAF97124=")</f>
        <v>#VALUE!</v>
      </c>
      <c r="DH50">
        <f>IF(ConsolidatedEventList!18:18,"AAAAAF97128=",0)</f>
        <v>0</v>
      </c>
      <c r="DI50" t="e">
        <f>AND(ConsolidatedEventList!A18,"AAAAAF9713A=")</f>
        <v>#VALUE!</v>
      </c>
      <c r="DJ50" t="e">
        <f>AND(ConsolidatedEventList!B18,"AAAAAF9713E=")</f>
        <v>#VALUE!</v>
      </c>
      <c r="DK50" t="e">
        <f>AND(ConsolidatedEventList!C18,"AAAAAF9713I=")</f>
        <v>#VALUE!</v>
      </c>
      <c r="DL50" t="e">
        <f>AND(ConsolidatedEventList!D18,"AAAAAF9713M=")</f>
        <v>#VALUE!</v>
      </c>
      <c r="DM50" t="e">
        <f>AND(ConsolidatedEventList!E18,"AAAAAF9713Q=")</f>
        <v>#VALUE!</v>
      </c>
      <c r="DN50" t="e">
        <f>AND(ConsolidatedEventList!F18,"AAAAAF9713U=")</f>
        <v>#VALUE!</v>
      </c>
      <c r="DO50" t="e">
        <f>AND(ConsolidatedEventList!G18,"AAAAAF9713Y=")</f>
        <v>#VALUE!</v>
      </c>
      <c r="DP50" t="e">
        <f>AND(ConsolidatedEventList!H18,"AAAAAF9713c=")</f>
        <v>#VALUE!</v>
      </c>
      <c r="DQ50">
        <f>IF(ConsolidatedEventList!19:19,"AAAAAF9713g=",0)</f>
        <v>0</v>
      </c>
      <c r="DR50" t="e">
        <f>AND(ConsolidatedEventList!A19,"AAAAAF9713k=")</f>
        <v>#VALUE!</v>
      </c>
      <c r="DS50" t="e">
        <f>AND(ConsolidatedEventList!B19,"AAAAAF9713o=")</f>
        <v>#VALUE!</v>
      </c>
      <c r="DT50" t="e">
        <f>AND(ConsolidatedEventList!C19,"AAAAAF9713s=")</f>
        <v>#VALUE!</v>
      </c>
      <c r="DU50" t="e">
        <f>AND(ConsolidatedEventList!D19,"AAAAAF9713w=")</f>
        <v>#VALUE!</v>
      </c>
      <c r="DV50" t="e">
        <f>AND(ConsolidatedEventList!E19,"AAAAAF97130=")</f>
        <v>#VALUE!</v>
      </c>
      <c r="DW50" t="e">
        <f>AND(ConsolidatedEventList!F19,"AAAAAF97134=")</f>
        <v>#VALUE!</v>
      </c>
      <c r="DX50" t="e">
        <f>AND(ConsolidatedEventList!G19,"AAAAAF97138=")</f>
        <v>#VALUE!</v>
      </c>
      <c r="DY50" t="e">
        <f>AND(ConsolidatedEventList!H19,"AAAAAF9714A=")</f>
        <v>#VALUE!</v>
      </c>
      <c r="DZ50">
        <f>IF(ConsolidatedEventList!20:20,"AAAAAF9714E=",0)</f>
        <v>0</v>
      </c>
      <c r="EA50" t="e">
        <f>AND(ConsolidatedEventList!A20,"AAAAAF9714I=")</f>
        <v>#VALUE!</v>
      </c>
      <c r="EB50" t="e">
        <f>AND(ConsolidatedEventList!B20,"AAAAAF9714M=")</f>
        <v>#VALUE!</v>
      </c>
      <c r="EC50" t="e">
        <f>AND(ConsolidatedEventList!C20,"AAAAAF9714Q=")</f>
        <v>#VALUE!</v>
      </c>
      <c r="ED50" t="e">
        <f>AND(ConsolidatedEventList!D20,"AAAAAF9714U=")</f>
        <v>#VALUE!</v>
      </c>
      <c r="EE50" t="e">
        <f>AND(ConsolidatedEventList!E20,"AAAAAF9714Y=")</f>
        <v>#VALUE!</v>
      </c>
      <c r="EF50" t="e">
        <f>AND(ConsolidatedEventList!F20,"AAAAAF9714c=")</f>
        <v>#VALUE!</v>
      </c>
      <c r="EG50" t="e">
        <f>AND(ConsolidatedEventList!G20,"AAAAAF9714g=")</f>
        <v>#VALUE!</v>
      </c>
      <c r="EH50" t="e">
        <f>AND(ConsolidatedEventList!H20,"AAAAAF9714k=")</f>
        <v>#VALUE!</v>
      </c>
      <c r="EI50">
        <f>IF(ConsolidatedEventList!21:21,"AAAAAF9714o=",0)</f>
        <v>0</v>
      </c>
      <c r="EJ50" t="e">
        <f>AND(ConsolidatedEventList!A21,"AAAAAF9714s=")</f>
        <v>#VALUE!</v>
      </c>
      <c r="EK50" t="e">
        <f>AND(ConsolidatedEventList!B21,"AAAAAF9714w=")</f>
        <v>#VALUE!</v>
      </c>
      <c r="EL50" t="e">
        <f>AND(ConsolidatedEventList!C21,"AAAAAF97140=")</f>
        <v>#VALUE!</v>
      </c>
      <c r="EM50" t="e">
        <f>AND(ConsolidatedEventList!D21,"AAAAAF97144=")</f>
        <v>#VALUE!</v>
      </c>
      <c r="EN50" t="e">
        <f>AND(ConsolidatedEventList!E21,"AAAAAF97148=")</f>
        <v>#VALUE!</v>
      </c>
      <c r="EO50" t="e">
        <f>AND(ConsolidatedEventList!F21,"AAAAAF9715A=")</f>
        <v>#VALUE!</v>
      </c>
      <c r="EP50" t="e">
        <f>AND(ConsolidatedEventList!G21,"AAAAAF9715E=")</f>
        <v>#VALUE!</v>
      </c>
      <c r="EQ50" t="e">
        <f>AND(ConsolidatedEventList!H21,"AAAAAF9715I=")</f>
        <v>#VALUE!</v>
      </c>
      <c r="ER50">
        <f>IF(ConsolidatedEventList!22:22,"AAAAAF9715M=",0)</f>
        <v>0</v>
      </c>
      <c r="ES50" t="e">
        <f>AND(ConsolidatedEventList!A22,"AAAAAF9715Q=")</f>
        <v>#VALUE!</v>
      </c>
      <c r="ET50" t="e">
        <f>AND(ConsolidatedEventList!B22,"AAAAAF9715U=")</f>
        <v>#VALUE!</v>
      </c>
      <c r="EU50" t="e">
        <f>AND(ConsolidatedEventList!C22,"AAAAAF9715Y=")</f>
        <v>#VALUE!</v>
      </c>
      <c r="EV50" t="e">
        <f>AND(ConsolidatedEventList!D22,"AAAAAF9715c=")</f>
        <v>#VALUE!</v>
      </c>
      <c r="EW50" t="e">
        <f>AND(ConsolidatedEventList!E22,"AAAAAF9715g=")</f>
        <v>#VALUE!</v>
      </c>
      <c r="EX50" t="e">
        <f>AND(ConsolidatedEventList!F22,"AAAAAF9715k=")</f>
        <v>#VALUE!</v>
      </c>
      <c r="EY50" t="e">
        <f>AND(ConsolidatedEventList!G22,"AAAAAF9715o=")</f>
        <v>#VALUE!</v>
      </c>
      <c r="EZ50" t="e">
        <f>AND(ConsolidatedEventList!H22,"AAAAAF9715s=")</f>
        <v>#VALUE!</v>
      </c>
      <c r="FA50">
        <f>IF(ConsolidatedEventList!23:23,"AAAAAF9715w=",0)</f>
        <v>0</v>
      </c>
      <c r="FB50" t="e">
        <f>AND(ConsolidatedEventList!A23,"AAAAAF97150=")</f>
        <v>#VALUE!</v>
      </c>
      <c r="FC50" t="e">
        <f>AND(ConsolidatedEventList!B23,"AAAAAF97154=")</f>
        <v>#VALUE!</v>
      </c>
      <c r="FD50" t="e">
        <f>AND(ConsolidatedEventList!C23,"AAAAAF97158=")</f>
        <v>#VALUE!</v>
      </c>
      <c r="FE50" t="e">
        <f>AND(ConsolidatedEventList!D23,"AAAAAF9716A=")</f>
        <v>#VALUE!</v>
      </c>
      <c r="FF50" t="e">
        <f>AND(ConsolidatedEventList!E23,"AAAAAF9716E=")</f>
        <v>#VALUE!</v>
      </c>
      <c r="FG50" t="e">
        <f>AND(ConsolidatedEventList!F23,"AAAAAF9716I=")</f>
        <v>#VALUE!</v>
      </c>
      <c r="FH50" t="e">
        <f>AND(ConsolidatedEventList!G23,"AAAAAF9716M=")</f>
        <v>#VALUE!</v>
      </c>
      <c r="FI50" t="e">
        <f>AND(ConsolidatedEventList!H23,"AAAAAF9716Q=")</f>
        <v>#VALUE!</v>
      </c>
      <c r="FJ50">
        <f>IF(ConsolidatedEventList!24:24,"AAAAAF9716U=",0)</f>
        <v>0</v>
      </c>
      <c r="FK50" t="e">
        <f>AND(ConsolidatedEventList!A24,"AAAAAF9716Y=")</f>
        <v>#VALUE!</v>
      </c>
      <c r="FL50" t="e">
        <f>AND(ConsolidatedEventList!B24,"AAAAAF9716c=")</f>
        <v>#VALUE!</v>
      </c>
      <c r="FM50" t="e">
        <f>AND(ConsolidatedEventList!C24,"AAAAAF9716g=")</f>
        <v>#VALUE!</v>
      </c>
      <c r="FN50" t="e">
        <f>AND(ConsolidatedEventList!D24,"AAAAAF9716k=")</f>
        <v>#VALUE!</v>
      </c>
      <c r="FO50" t="e">
        <f>AND(ConsolidatedEventList!E24,"AAAAAF9716o=")</f>
        <v>#VALUE!</v>
      </c>
      <c r="FP50" t="e">
        <f>AND(ConsolidatedEventList!F24,"AAAAAF9716s=")</f>
        <v>#VALUE!</v>
      </c>
      <c r="FQ50" t="e">
        <f>AND(ConsolidatedEventList!G24,"AAAAAF9716w=")</f>
        <v>#VALUE!</v>
      </c>
      <c r="FR50" t="e">
        <f>AND(ConsolidatedEventList!H24,"AAAAAF97160=")</f>
        <v>#VALUE!</v>
      </c>
      <c r="FS50">
        <f>IF(ConsolidatedEventList!25:25,"AAAAAF97164=",0)</f>
        <v>0</v>
      </c>
      <c r="FT50" t="e">
        <f>AND(ConsolidatedEventList!A25,"AAAAAF97168=")</f>
        <v>#VALUE!</v>
      </c>
      <c r="FU50" t="e">
        <f>AND(ConsolidatedEventList!B25,"AAAAAF9717A=")</f>
        <v>#VALUE!</v>
      </c>
      <c r="FV50" t="e">
        <f>AND(ConsolidatedEventList!C25,"AAAAAF9717E=")</f>
        <v>#VALUE!</v>
      </c>
      <c r="FW50" t="e">
        <f>AND(ConsolidatedEventList!D25,"AAAAAF9717I=")</f>
        <v>#VALUE!</v>
      </c>
      <c r="FX50" t="e">
        <f>AND(ConsolidatedEventList!E25,"AAAAAF9717M=")</f>
        <v>#VALUE!</v>
      </c>
      <c r="FY50" t="e">
        <f>AND(ConsolidatedEventList!F25,"AAAAAF9717Q=")</f>
        <v>#VALUE!</v>
      </c>
      <c r="FZ50" t="e">
        <f>AND(ConsolidatedEventList!G25,"AAAAAF9717U=")</f>
        <v>#VALUE!</v>
      </c>
      <c r="GA50" t="e">
        <f>AND(ConsolidatedEventList!H25,"AAAAAF9717Y=")</f>
        <v>#VALUE!</v>
      </c>
      <c r="GB50" t="e">
        <f>IF(ConsolidatedEventList!#REF!,"AAAAAF9717c=",0)</f>
        <v>#REF!</v>
      </c>
      <c r="GC50" t="e">
        <f>AND(ConsolidatedEventList!#REF!,"AAAAAF9717g=")</f>
        <v>#REF!</v>
      </c>
      <c r="GD50" t="e">
        <f>AND(ConsolidatedEventList!#REF!,"AAAAAF9717k=")</f>
        <v>#REF!</v>
      </c>
      <c r="GE50" t="e">
        <f>AND(ConsolidatedEventList!#REF!,"AAAAAF9717o=")</f>
        <v>#REF!</v>
      </c>
      <c r="GF50" t="e">
        <f>AND(ConsolidatedEventList!#REF!,"AAAAAF9717s=")</f>
        <v>#REF!</v>
      </c>
      <c r="GG50" t="e">
        <f>AND(ConsolidatedEventList!#REF!,"AAAAAF9717w=")</f>
        <v>#REF!</v>
      </c>
      <c r="GH50" t="e">
        <f>AND(ConsolidatedEventList!#REF!,"AAAAAF97170=")</f>
        <v>#REF!</v>
      </c>
      <c r="GI50" t="e">
        <f>AND(ConsolidatedEventList!#REF!,"AAAAAF97174=")</f>
        <v>#REF!</v>
      </c>
      <c r="GJ50" t="e">
        <f>AND(ConsolidatedEventList!#REF!,"AAAAAF97178=")</f>
        <v>#REF!</v>
      </c>
      <c r="GK50" t="e">
        <f>IF(ConsolidatedEventList!#REF!,"AAAAAF9718A=",0)</f>
        <v>#REF!</v>
      </c>
      <c r="GL50" t="e">
        <f>AND(ConsolidatedEventList!#REF!,"AAAAAF9718E=")</f>
        <v>#REF!</v>
      </c>
      <c r="GM50" t="e">
        <f>AND(ConsolidatedEventList!#REF!,"AAAAAF9718I=")</f>
        <v>#REF!</v>
      </c>
      <c r="GN50" t="e">
        <f>AND(ConsolidatedEventList!#REF!,"AAAAAF9718M=")</f>
        <v>#REF!</v>
      </c>
      <c r="GO50" t="e">
        <f>AND(ConsolidatedEventList!#REF!,"AAAAAF9718Q=")</f>
        <v>#REF!</v>
      </c>
      <c r="GP50" t="e">
        <f>AND(ConsolidatedEventList!#REF!,"AAAAAF9718U=")</f>
        <v>#REF!</v>
      </c>
      <c r="GQ50" t="e">
        <f>AND(ConsolidatedEventList!#REF!,"AAAAAF9718Y=")</f>
        <v>#REF!</v>
      </c>
      <c r="GR50" t="e">
        <f>AND(ConsolidatedEventList!#REF!,"AAAAAF9718c=")</f>
        <v>#REF!</v>
      </c>
      <c r="GS50" t="e">
        <f>AND(ConsolidatedEventList!#REF!,"AAAAAF9718g=")</f>
        <v>#REF!</v>
      </c>
      <c r="GT50">
        <f>IF(ConsolidatedEventList!26:26,"AAAAAF9718k=",0)</f>
        <v>0</v>
      </c>
      <c r="GU50" t="e">
        <f>AND(ConsolidatedEventList!A26,"AAAAAF9718o=")</f>
        <v>#VALUE!</v>
      </c>
      <c r="GV50" t="e">
        <f>AND(ConsolidatedEventList!B26,"AAAAAF9718s=")</f>
        <v>#VALUE!</v>
      </c>
      <c r="GW50" t="e">
        <f>AND(ConsolidatedEventList!C26,"AAAAAF9718w=")</f>
        <v>#VALUE!</v>
      </c>
      <c r="GX50" t="e">
        <f>AND(ConsolidatedEventList!D26,"AAAAAF97180=")</f>
        <v>#VALUE!</v>
      </c>
      <c r="GY50" t="e">
        <f>AND(ConsolidatedEventList!E26,"AAAAAF97184=")</f>
        <v>#VALUE!</v>
      </c>
      <c r="GZ50" t="e">
        <f>AND(ConsolidatedEventList!F26,"AAAAAF97188=")</f>
        <v>#VALUE!</v>
      </c>
      <c r="HA50" t="e">
        <f>AND(ConsolidatedEventList!G26,"AAAAAF9719A=")</f>
        <v>#VALUE!</v>
      </c>
      <c r="HB50" t="e">
        <f>AND(ConsolidatedEventList!H26,"AAAAAF9719E=")</f>
        <v>#VALUE!</v>
      </c>
      <c r="HC50">
        <f>IF(ConsolidatedEventList!27:27,"AAAAAF9719I=",0)</f>
        <v>0</v>
      </c>
      <c r="HD50" t="e">
        <f>AND(ConsolidatedEventList!A27,"AAAAAF9719M=")</f>
        <v>#VALUE!</v>
      </c>
      <c r="HE50" t="e">
        <f>AND(ConsolidatedEventList!B27,"AAAAAF9719Q=")</f>
        <v>#VALUE!</v>
      </c>
      <c r="HF50" t="e">
        <f>AND(ConsolidatedEventList!C27,"AAAAAF9719U=")</f>
        <v>#VALUE!</v>
      </c>
      <c r="HG50" t="e">
        <f>AND(ConsolidatedEventList!D27,"AAAAAF9719Y=")</f>
        <v>#VALUE!</v>
      </c>
      <c r="HH50" t="e">
        <f>AND(ConsolidatedEventList!E27,"AAAAAF9719c=")</f>
        <v>#VALUE!</v>
      </c>
      <c r="HI50" t="e">
        <f>AND(ConsolidatedEventList!F27,"AAAAAF9719g=")</f>
        <v>#VALUE!</v>
      </c>
      <c r="HJ50" t="e">
        <f>AND(ConsolidatedEventList!G27,"AAAAAF9719k=")</f>
        <v>#VALUE!</v>
      </c>
      <c r="HK50" t="e">
        <f>AND(ConsolidatedEventList!H27,"AAAAAF9719o=")</f>
        <v>#VALUE!</v>
      </c>
      <c r="HL50">
        <f>IF(ConsolidatedEventList!28:28,"AAAAAF9719s=",0)</f>
        <v>0</v>
      </c>
      <c r="HM50" t="e">
        <f>AND(ConsolidatedEventList!A28,"AAAAAF9719w=")</f>
        <v>#VALUE!</v>
      </c>
      <c r="HN50" t="e">
        <f>AND(ConsolidatedEventList!B28,"AAAAAF97190=")</f>
        <v>#VALUE!</v>
      </c>
      <c r="HO50" t="e">
        <f>AND(ConsolidatedEventList!C28,"AAAAAF97194=")</f>
        <v>#VALUE!</v>
      </c>
      <c r="HP50" t="e">
        <f>AND(ConsolidatedEventList!D28,"AAAAAF97198=")</f>
        <v>#VALUE!</v>
      </c>
      <c r="HQ50" t="e">
        <f>AND(ConsolidatedEventList!E28,"AAAAAF971+A=")</f>
        <v>#VALUE!</v>
      </c>
      <c r="HR50" t="e">
        <f>AND(ConsolidatedEventList!F28,"AAAAAF971+E=")</f>
        <v>#VALUE!</v>
      </c>
      <c r="HS50" t="e">
        <f>AND(ConsolidatedEventList!G28,"AAAAAF971+I=")</f>
        <v>#VALUE!</v>
      </c>
      <c r="HT50" t="e">
        <f>AND(ConsolidatedEventList!H28,"AAAAAF971+M=")</f>
        <v>#VALUE!</v>
      </c>
      <c r="HU50">
        <f>IF(ConsolidatedEventList!29:29,"AAAAAF971+Q=",0)</f>
        <v>0</v>
      </c>
      <c r="HV50" t="e">
        <f>AND(ConsolidatedEventList!A29,"AAAAAF971+U=")</f>
        <v>#VALUE!</v>
      </c>
      <c r="HW50" t="e">
        <f>AND(ConsolidatedEventList!B29,"AAAAAF971+Y=")</f>
        <v>#VALUE!</v>
      </c>
      <c r="HX50" t="e">
        <f>AND(ConsolidatedEventList!C29,"AAAAAF971+c=")</f>
        <v>#VALUE!</v>
      </c>
      <c r="HY50" t="e">
        <f>AND(ConsolidatedEventList!D29,"AAAAAF971+g=")</f>
        <v>#VALUE!</v>
      </c>
      <c r="HZ50" t="e">
        <f>AND(ConsolidatedEventList!E29,"AAAAAF971+k=")</f>
        <v>#VALUE!</v>
      </c>
      <c r="IA50" t="e">
        <f>AND(ConsolidatedEventList!F29,"AAAAAF971+o=")</f>
        <v>#VALUE!</v>
      </c>
      <c r="IB50" t="e">
        <f>AND(ConsolidatedEventList!G29,"AAAAAF971+s=")</f>
        <v>#VALUE!</v>
      </c>
      <c r="IC50" t="e">
        <f>AND(ConsolidatedEventList!H29,"AAAAAF971+w=")</f>
        <v>#VALUE!</v>
      </c>
      <c r="ID50">
        <f>IF(ConsolidatedEventList!30:30,"AAAAAF971+0=",0)</f>
        <v>0</v>
      </c>
      <c r="IE50" t="e">
        <f>AND(ConsolidatedEventList!A30,"AAAAAF971+4=")</f>
        <v>#VALUE!</v>
      </c>
      <c r="IF50" t="e">
        <f>AND(ConsolidatedEventList!B30,"AAAAAF971+8=")</f>
        <v>#VALUE!</v>
      </c>
      <c r="IG50" t="e">
        <f>AND(ConsolidatedEventList!C30,"AAAAAF971/A=")</f>
        <v>#VALUE!</v>
      </c>
      <c r="IH50" t="e">
        <f>AND(ConsolidatedEventList!D30,"AAAAAF971/E=")</f>
        <v>#VALUE!</v>
      </c>
      <c r="II50" t="e">
        <f>AND(ConsolidatedEventList!E30,"AAAAAF971/I=")</f>
        <v>#VALUE!</v>
      </c>
      <c r="IJ50" t="e">
        <f>AND(ConsolidatedEventList!F30,"AAAAAF971/M=")</f>
        <v>#VALUE!</v>
      </c>
      <c r="IK50" t="e">
        <f>AND(ConsolidatedEventList!G30,"AAAAAF971/Q=")</f>
        <v>#VALUE!</v>
      </c>
      <c r="IL50" t="e">
        <f>AND(ConsolidatedEventList!H30,"AAAAAF971/U=")</f>
        <v>#VALUE!</v>
      </c>
      <c r="IM50">
        <f>IF(ConsolidatedEventList!31:31,"AAAAAF971/Y=",0)</f>
        <v>0</v>
      </c>
      <c r="IN50" t="e">
        <f>AND(ConsolidatedEventList!A31,"AAAAAF971/c=")</f>
        <v>#VALUE!</v>
      </c>
      <c r="IO50" t="e">
        <f>AND(ConsolidatedEventList!B31,"AAAAAF971/g=")</f>
        <v>#VALUE!</v>
      </c>
      <c r="IP50" t="e">
        <f>AND(ConsolidatedEventList!C31,"AAAAAF971/k=")</f>
        <v>#VALUE!</v>
      </c>
      <c r="IQ50" t="e">
        <f>AND(ConsolidatedEventList!D31,"AAAAAF971/o=")</f>
        <v>#VALUE!</v>
      </c>
      <c r="IR50" t="e">
        <f>AND(ConsolidatedEventList!E31,"AAAAAF971/s=")</f>
        <v>#VALUE!</v>
      </c>
      <c r="IS50" t="e">
        <f>AND(ConsolidatedEventList!F31,"AAAAAF971/w=")</f>
        <v>#VALUE!</v>
      </c>
      <c r="IT50" t="e">
        <f>AND(ConsolidatedEventList!G31,"AAAAAF971/0=")</f>
        <v>#VALUE!</v>
      </c>
      <c r="IU50" t="e">
        <f>AND(ConsolidatedEventList!H31,"AAAAAF971/4=")</f>
        <v>#VALUE!</v>
      </c>
      <c r="IV50">
        <f>IF(ConsolidatedEventList!32:32,"AAAAAF971/8=",0)</f>
        <v>0</v>
      </c>
    </row>
    <row r="51" spans="1:256" x14ac:dyDescent="0.25">
      <c r="A51" t="e">
        <f>AND(ConsolidatedEventList!A32,"AAAAAFpF6wA=")</f>
        <v>#VALUE!</v>
      </c>
      <c r="B51" t="e">
        <f>AND(ConsolidatedEventList!B32,"AAAAAFpF6wE=")</f>
        <v>#VALUE!</v>
      </c>
      <c r="C51" t="e">
        <f>AND(ConsolidatedEventList!C32,"AAAAAFpF6wI=")</f>
        <v>#VALUE!</v>
      </c>
      <c r="D51" t="e">
        <f>AND(ConsolidatedEventList!D32,"AAAAAFpF6wM=")</f>
        <v>#VALUE!</v>
      </c>
      <c r="E51" t="e">
        <f>AND(ConsolidatedEventList!E32,"AAAAAFpF6wQ=")</f>
        <v>#VALUE!</v>
      </c>
      <c r="F51" t="e">
        <f>AND(ConsolidatedEventList!F32,"AAAAAFpF6wU=")</f>
        <v>#VALUE!</v>
      </c>
      <c r="G51" t="e">
        <f>AND(ConsolidatedEventList!G32,"AAAAAFpF6wY=")</f>
        <v>#VALUE!</v>
      </c>
      <c r="H51" t="e">
        <f>AND(ConsolidatedEventList!H32,"AAAAAFpF6wc=")</f>
        <v>#VALUE!</v>
      </c>
      <c r="I51" t="e">
        <f>IF(ConsolidatedEventList!33:33,"AAAAAFpF6wg=",0)</f>
        <v>#VALUE!</v>
      </c>
      <c r="J51" t="e">
        <f>AND(ConsolidatedEventList!A33,"AAAAAFpF6wk=")</f>
        <v>#VALUE!</v>
      </c>
      <c r="K51" t="e">
        <f>AND(ConsolidatedEventList!B33,"AAAAAFpF6wo=")</f>
        <v>#VALUE!</v>
      </c>
      <c r="L51" t="e">
        <f>AND(ConsolidatedEventList!C33,"AAAAAFpF6ws=")</f>
        <v>#VALUE!</v>
      </c>
      <c r="M51" t="e">
        <f>AND(ConsolidatedEventList!D33,"AAAAAFpF6ww=")</f>
        <v>#VALUE!</v>
      </c>
      <c r="N51" t="e">
        <f>AND(ConsolidatedEventList!E33,"AAAAAFpF6w0=")</f>
        <v>#VALUE!</v>
      </c>
      <c r="O51" t="e">
        <f>AND(ConsolidatedEventList!F33,"AAAAAFpF6w4=")</f>
        <v>#VALUE!</v>
      </c>
      <c r="P51" t="e">
        <f>AND(ConsolidatedEventList!G33,"AAAAAFpF6w8=")</f>
        <v>#VALUE!</v>
      </c>
      <c r="Q51" t="e">
        <f>AND(ConsolidatedEventList!H33,"AAAAAFpF6xA=")</f>
        <v>#VALUE!</v>
      </c>
      <c r="R51">
        <f>IF(ConsolidatedEventList!34:34,"AAAAAFpF6xE=",0)</f>
        <v>0</v>
      </c>
      <c r="S51" t="e">
        <f>AND(ConsolidatedEventList!A34,"AAAAAFpF6xI=")</f>
        <v>#VALUE!</v>
      </c>
      <c r="T51" t="e">
        <f>AND(ConsolidatedEventList!B34,"AAAAAFpF6xM=")</f>
        <v>#VALUE!</v>
      </c>
      <c r="U51" t="e">
        <f>AND(ConsolidatedEventList!C34,"AAAAAFpF6xQ=")</f>
        <v>#VALUE!</v>
      </c>
      <c r="V51" t="e">
        <f>AND(ConsolidatedEventList!D34,"AAAAAFpF6xU=")</f>
        <v>#VALUE!</v>
      </c>
      <c r="W51" t="e">
        <f>AND(ConsolidatedEventList!E34,"AAAAAFpF6xY=")</f>
        <v>#VALUE!</v>
      </c>
      <c r="X51" t="e">
        <f>AND(ConsolidatedEventList!F34,"AAAAAFpF6xc=")</f>
        <v>#VALUE!</v>
      </c>
      <c r="Y51" t="e">
        <f>AND(ConsolidatedEventList!G34,"AAAAAFpF6xg=")</f>
        <v>#VALUE!</v>
      </c>
      <c r="Z51" t="e">
        <f>AND(ConsolidatedEventList!H34,"AAAAAFpF6xk=")</f>
        <v>#VALUE!</v>
      </c>
      <c r="AA51">
        <f>IF(ConsolidatedEventList!35:35,"AAAAAFpF6xo=",0)</f>
        <v>0</v>
      </c>
      <c r="AB51" t="e">
        <f>AND(ConsolidatedEventList!A35,"AAAAAFpF6xs=")</f>
        <v>#VALUE!</v>
      </c>
      <c r="AC51" t="e">
        <f>AND(ConsolidatedEventList!B35,"AAAAAFpF6xw=")</f>
        <v>#VALUE!</v>
      </c>
      <c r="AD51" t="e">
        <f>AND(ConsolidatedEventList!C35,"AAAAAFpF6x0=")</f>
        <v>#VALUE!</v>
      </c>
      <c r="AE51" t="e">
        <f>AND(ConsolidatedEventList!D35,"AAAAAFpF6x4=")</f>
        <v>#VALUE!</v>
      </c>
      <c r="AF51" t="e">
        <f>AND(ConsolidatedEventList!E35,"AAAAAFpF6x8=")</f>
        <v>#VALUE!</v>
      </c>
      <c r="AG51" t="e">
        <f>AND(ConsolidatedEventList!F35,"AAAAAFpF6yA=")</f>
        <v>#VALUE!</v>
      </c>
      <c r="AH51" t="e">
        <f>AND(ConsolidatedEventList!G35,"AAAAAFpF6yE=")</f>
        <v>#VALUE!</v>
      </c>
      <c r="AI51" t="e">
        <f>AND(ConsolidatedEventList!H35,"AAAAAFpF6yI=")</f>
        <v>#VALUE!</v>
      </c>
      <c r="AJ51">
        <f>IF(ConsolidatedEventList!36:36,"AAAAAFpF6yM=",0)</f>
        <v>0</v>
      </c>
      <c r="AK51" t="e">
        <f>AND(ConsolidatedEventList!A36,"AAAAAFpF6yQ=")</f>
        <v>#VALUE!</v>
      </c>
      <c r="AL51" t="e">
        <f>AND(ConsolidatedEventList!B36,"AAAAAFpF6yU=")</f>
        <v>#VALUE!</v>
      </c>
      <c r="AM51" t="e">
        <f>AND(ConsolidatedEventList!C36,"AAAAAFpF6yY=")</f>
        <v>#VALUE!</v>
      </c>
      <c r="AN51" t="e">
        <f>AND(ConsolidatedEventList!D36,"AAAAAFpF6yc=")</f>
        <v>#VALUE!</v>
      </c>
      <c r="AO51" t="e">
        <f>AND(ConsolidatedEventList!E36,"AAAAAFpF6yg=")</f>
        <v>#VALUE!</v>
      </c>
      <c r="AP51" t="e">
        <f>AND(ConsolidatedEventList!F36,"AAAAAFpF6yk=")</f>
        <v>#VALUE!</v>
      </c>
      <c r="AQ51" t="e">
        <f>AND(ConsolidatedEventList!G36,"AAAAAFpF6yo=")</f>
        <v>#VALUE!</v>
      </c>
      <c r="AR51" t="e">
        <f>AND(ConsolidatedEventList!H36,"AAAAAFpF6ys=")</f>
        <v>#VALUE!</v>
      </c>
      <c r="AS51">
        <f>IF(ConsolidatedEventList!37:37,"AAAAAFpF6yw=",0)</f>
        <v>0</v>
      </c>
      <c r="AT51" t="e">
        <f>AND(ConsolidatedEventList!A37,"AAAAAFpF6y0=")</f>
        <v>#VALUE!</v>
      </c>
      <c r="AU51" t="e">
        <f>AND(ConsolidatedEventList!B37,"AAAAAFpF6y4=")</f>
        <v>#VALUE!</v>
      </c>
      <c r="AV51" t="e">
        <f>AND(ConsolidatedEventList!C37,"AAAAAFpF6y8=")</f>
        <v>#VALUE!</v>
      </c>
      <c r="AW51" t="e">
        <f>AND(ConsolidatedEventList!D37,"AAAAAFpF6zA=")</f>
        <v>#VALUE!</v>
      </c>
      <c r="AX51" t="e">
        <f>AND(ConsolidatedEventList!E37,"AAAAAFpF6zE=")</f>
        <v>#VALUE!</v>
      </c>
      <c r="AY51" t="e">
        <f>AND(ConsolidatedEventList!F37,"AAAAAFpF6zI=")</f>
        <v>#VALUE!</v>
      </c>
      <c r="AZ51" t="e">
        <f>AND(ConsolidatedEventList!G37,"AAAAAFpF6zM=")</f>
        <v>#VALUE!</v>
      </c>
      <c r="BA51" t="e">
        <f>AND(ConsolidatedEventList!H37,"AAAAAFpF6zQ=")</f>
        <v>#VALUE!</v>
      </c>
      <c r="BB51">
        <f>IF(ConsolidatedEventList!38:38,"AAAAAFpF6zU=",0)</f>
        <v>0</v>
      </c>
      <c r="BC51" t="e">
        <f>AND(ConsolidatedEventList!A38,"AAAAAFpF6zY=")</f>
        <v>#VALUE!</v>
      </c>
      <c r="BD51" t="e">
        <f>AND(ConsolidatedEventList!B38,"AAAAAFpF6zc=")</f>
        <v>#VALUE!</v>
      </c>
      <c r="BE51" t="e">
        <f>AND(ConsolidatedEventList!C38,"AAAAAFpF6zg=")</f>
        <v>#VALUE!</v>
      </c>
      <c r="BF51" t="e">
        <f>AND(ConsolidatedEventList!D38,"AAAAAFpF6zk=")</f>
        <v>#VALUE!</v>
      </c>
      <c r="BG51" t="e">
        <f>AND(ConsolidatedEventList!E38,"AAAAAFpF6zo=")</f>
        <v>#VALUE!</v>
      </c>
      <c r="BH51" t="e">
        <f>AND(ConsolidatedEventList!F38,"AAAAAFpF6zs=")</f>
        <v>#VALUE!</v>
      </c>
      <c r="BI51" t="e">
        <f>AND(ConsolidatedEventList!G38,"AAAAAFpF6zw=")</f>
        <v>#VALUE!</v>
      </c>
      <c r="BJ51" t="e">
        <f>AND(ConsolidatedEventList!H38,"AAAAAFpF6z0=")</f>
        <v>#VALUE!</v>
      </c>
      <c r="BK51">
        <f>IF(ConsolidatedEventList!39:39,"AAAAAFpF6z4=",0)</f>
        <v>0</v>
      </c>
      <c r="BL51" t="e">
        <f>AND(ConsolidatedEventList!A39,"AAAAAFpF6z8=")</f>
        <v>#VALUE!</v>
      </c>
      <c r="BM51" t="e">
        <f>AND(ConsolidatedEventList!B39,"AAAAAFpF60A=")</f>
        <v>#VALUE!</v>
      </c>
      <c r="BN51" t="e">
        <f>AND(ConsolidatedEventList!C39,"AAAAAFpF60E=")</f>
        <v>#VALUE!</v>
      </c>
      <c r="BO51" t="e">
        <f>AND(ConsolidatedEventList!D39,"AAAAAFpF60I=")</f>
        <v>#VALUE!</v>
      </c>
      <c r="BP51" t="e">
        <f>AND(ConsolidatedEventList!E39,"AAAAAFpF60M=")</f>
        <v>#VALUE!</v>
      </c>
      <c r="BQ51" t="e">
        <f>AND(ConsolidatedEventList!F39,"AAAAAFpF60Q=")</f>
        <v>#VALUE!</v>
      </c>
      <c r="BR51" t="e">
        <f>AND(ConsolidatedEventList!G39,"AAAAAFpF60U=")</f>
        <v>#VALUE!</v>
      </c>
      <c r="BS51" t="e">
        <f>AND(ConsolidatedEventList!H39,"AAAAAFpF60Y=")</f>
        <v>#VALUE!</v>
      </c>
      <c r="BT51">
        <f>IF(ConsolidatedEventList!40:40,"AAAAAFpF60c=",0)</f>
        <v>0</v>
      </c>
      <c r="BU51" t="e">
        <f>AND(ConsolidatedEventList!A40,"AAAAAFpF60g=")</f>
        <v>#VALUE!</v>
      </c>
      <c r="BV51" t="e">
        <f>AND(ConsolidatedEventList!B40,"AAAAAFpF60k=")</f>
        <v>#VALUE!</v>
      </c>
      <c r="BW51" t="e">
        <f>AND(ConsolidatedEventList!C40,"AAAAAFpF60o=")</f>
        <v>#VALUE!</v>
      </c>
      <c r="BX51" t="e">
        <f>AND(ConsolidatedEventList!D40,"AAAAAFpF60s=")</f>
        <v>#VALUE!</v>
      </c>
      <c r="BY51" t="e">
        <f>AND(ConsolidatedEventList!E40,"AAAAAFpF60w=")</f>
        <v>#VALUE!</v>
      </c>
      <c r="BZ51" t="e">
        <f>AND(ConsolidatedEventList!F40,"AAAAAFpF600=")</f>
        <v>#VALUE!</v>
      </c>
      <c r="CA51" t="e">
        <f>AND(ConsolidatedEventList!G40,"AAAAAFpF604=")</f>
        <v>#VALUE!</v>
      </c>
      <c r="CB51" t="e">
        <f>AND(ConsolidatedEventList!H40,"AAAAAFpF608=")</f>
        <v>#VALUE!</v>
      </c>
      <c r="CC51">
        <f>IF(ConsolidatedEventList!41:41,"AAAAAFpF61A=",0)</f>
        <v>0</v>
      </c>
      <c r="CD51" t="e">
        <f>AND(ConsolidatedEventList!A41,"AAAAAFpF61E=")</f>
        <v>#VALUE!</v>
      </c>
      <c r="CE51" t="e">
        <f>AND(ConsolidatedEventList!B41,"AAAAAFpF61I=")</f>
        <v>#VALUE!</v>
      </c>
      <c r="CF51" t="e">
        <f>AND(ConsolidatedEventList!C41,"AAAAAFpF61M=")</f>
        <v>#VALUE!</v>
      </c>
      <c r="CG51" t="e">
        <f>AND(ConsolidatedEventList!D41,"AAAAAFpF61Q=")</f>
        <v>#VALUE!</v>
      </c>
      <c r="CH51" t="e">
        <f>AND(ConsolidatedEventList!E41,"AAAAAFpF61U=")</f>
        <v>#VALUE!</v>
      </c>
      <c r="CI51" t="e">
        <f>AND(ConsolidatedEventList!F41,"AAAAAFpF61Y=")</f>
        <v>#VALUE!</v>
      </c>
      <c r="CJ51" t="e">
        <f>AND(ConsolidatedEventList!G41,"AAAAAFpF61c=")</f>
        <v>#VALUE!</v>
      </c>
      <c r="CK51" t="e">
        <f>AND(ConsolidatedEventList!H41,"AAAAAFpF61g=")</f>
        <v>#VALUE!</v>
      </c>
      <c r="CL51">
        <f>IF(ConsolidatedEventList!42:42,"AAAAAFpF61k=",0)</f>
        <v>0</v>
      </c>
      <c r="CM51" t="e">
        <f>AND(ConsolidatedEventList!A42,"AAAAAFpF61o=")</f>
        <v>#VALUE!</v>
      </c>
      <c r="CN51" t="e">
        <f>AND(ConsolidatedEventList!B42,"AAAAAFpF61s=")</f>
        <v>#VALUE!</v>
      </c>
      <c r="CO51" t="e">
        <f>AND(ConsolidatedEventList!C42,"AAAAAFpF61w=")</f>
        <v>#VALUE!</v>
      </c>
      <c r="CP51" t="e">
        <f>AND(ConsolidatedEventList!D42,"AAAAAFpF610=")</f>
        <v>#VALUE!</v>
      </c>
      <c r="CQ51" t="e">
        <f>AND(ConsolidatedEventList!E42,"AAAAAFpF614=")</f>
        <v>#VALUE!</v>
      </c>
      <c r="CR51" t="e">
        <f>AND(ConsolidatedEventList!F42,"AAAAAFpF618=")</f>
        <v>#VALUE!</v>
      </c>
      <c r="CS51" t="e">
        <f>AND(ConsolidatedEventList!G42,"AAAAAFpF62A=")</f>
        <v>#VALUE!</v>
      </c>
      <c r="CT51" t="e">
        <f>AND(ConsolidatedEventList!H42,"AAAAAFpF62E=")</f>
        <v>#VALUE!</v>
      </c>
      <c r="CU51">
        <f>IF(ConsolidatedEventList!43:43,"AAAAAFpF62I=",0)</f>
        <v>0</v>
      </c>
      <c r="CV51" t="e">
        <f>AND(ConsolidatedEventList!A43,"AAAAAFpF62M=")</f>
        <v>#VALUE!</v>
      </c>
      <c r="CW51" t="e">
        <f>AND(ConsolidatedEventList!B43,"AAAAAFpF62Q=")</f>
        <v>#VALUE!</v>
      </c>
      <c r="CX51" t="e">
        <f>AND(ConsolidatedEventList!C43,"AAAAAFpF62U=")</f>
        <v>#VALUE!</v>
      </c>
      <c r="CY51" t="e">
        <f>AND(ConsolidatedEventList!D43,"AAAAAFpF62Y=")</f>
        <v>#VALUE!</v>
      </c>
      <c r="CZ51" t="e">
        <f>AND(ConsolidatedEventList!E43,"AAAAAFpF62c=")</f>
        <v>#VALUE!</v>
      </c>
      <c r="DA51" t="e">
        <f>AND(ConsolidatedEventList!F43,"AAAAAFpF62g=")</f>
        <v>#VALUE!</v>
      </c>
      <c r="DB51" t="e">
        <f>AND(ConsolidatedEventList!G43,"AAAAAFpF62k=")</f>
        <v>#VALUE!</v>
      </c>
      <c r="DC51" t="e">
        <f>AND(ConsolidatedEventList!H43,"AAAAAFpF62o=")</f>
        <v>#VALUE!</v>
      </c>
      <c r="DD51">
        <f>IF(ConsolidatedEventList!44:44,"AAAAAFpF62s=",0)</f>
        <v>0</v>
      </c>
      <c r="DE51" t="e">
        <f>AND(ConsolidatedEventList!A44,"AAAAAFpF62w=")</f>
        <v>#VALUE!</v>
      </c>
      <c r="DF51" t="e">
        <f>AND(ConsolidatedEventList!B44,"AAAAAFpF620=")</f>
        <v>#VALUE!</v>
      </c>
      <c r="DG51" t="e">
        <f>AND(ConsolidatedEventList!C44,"AAAAAFpF624=")</f>
        <v>#VALUE!</v>
      </c>
      <c r="DH51" t="e">
        <f>AND(ConsolidatedEventList!D44,"AAAAAFpF628=")</f>
        <v>#VALUE!</v>
      </c>
      <c r="DI51" t="e">
        <f>AND(ConsolidatedEventList!E44,"AAAAAFpF63A=")</f>
        <v>#VALUE!</v>
      </c>
      <c r="DJ51" t="e">
        <f>AND(ConsolidatedEventList!F44,"AAAAAFpF63E=")</f>
        <v>#VALUE!</v>
      </c>
      <c r="DK51" t="e">
        <f>AND(ConsolidatedEventList!G44,"AAAAAFpF63I=")</f>
        <v>#VALUE!</v>
      </c>
      <c r="DL51" t="e">
        <f>AND(ConsolidatedEventList!H44,"AAAAAFpF63M=")</f>
        <v>#VALUE!</v>
      </c>
      <c r="DM51">
        <f>IF(ConsolidatedEventList!45:45,"AAAAAFpF63Q=",0)</f>
        <v>0</v>
      </c>
      <c r="DN51" t="e">
        <f>AND(ConsolidatedEventList!A45,"AAAAAFpF63U=")</f>
        <v>#VALUE!</v>
      </c>
      <c r="DO51" t="e">
        <f>AND(ConsolidatedEventList!B45,"AAAAAFpF63Y=")</f>
        <v>#VALUE!</v>
      </c>
      <c r="DP51" t="e">
        <f>AND(ConsolidatedEventList!C45,"AAAAAFpF63c=")</f>
        <v>#VALUE!</v>
      </c>
      <c r="DQ51" t="e">
        <f>AND(ConsolidatedEventList!D45,"AAAAAFpF63g=")</f>
        <v>#VALUE!</v>
      </c>
      <c r="DR51" t="e">
        <f>AND(ConsolidatedEventList!E45,"AAAAAFpF63k=")</f>
        <v>#VALUE!</v>
      </c>
      <c r="DS51" t="e">
        <f>AND(ConsolidatedEventList!F45,"AAAAAFpF63o=")</f>
        <v>#VALUE!</v>
      </c>
      <c r="DT51" t="e">
        <f>AND(ConsolidatedEventList!G45,"AAAAAFpF63s=")</f>
        <v>#VALUE!</v>
      </c>
      <c r="DU51" t="e">
        <f>AND(ConsolidatedEventList!H45,"AAAAAFpF63w=")</f>
        <v>#VALUE!</v>
      </c>
      <c r="DV51" t="e">
        <f>IF(ConsolidatedEventList!#REF!,"AAAAAFpF630=",0)</f>
        <v>#REF!</v>
      </c>
      <c r="DW51" t="e">
        <f>AND(ConsolidatedEventList!#REF!,"AAAAAFpF634=")</f>
        <v>#REF!</v>
      </c>
      <c r="DX51" t="e">
        <f>AND(ConsolidatedEventList!#REF!,"AAAAAFpF638=")</f>
        <v>#REF!</v>
      </c>
      <c r="DY51" t="e">
        <f>AND(ConsolidatedEventList!#REF!,"AAAAAFpF64A=")</f>
        <v>#REF!</v>
      </c>
      <c r="DZ51" t="e">
        <f>AND(ConsolidatedEventList!#REF!,"AAAAAFpF64E=")</f>
        <v>#REF!</v>
      </c>
      <c r="EA51" t="e">
        <f>AND(ConsolidatedEventList!#REF!,"AAAAAFpF64I=")</f>
        <v>#REF!</v>
      </c>
      <c r="EB51" t="e">
        <f>AND(ConsolidatedEventList!#REF!,"AAAAAFpF64M=")</f>
        <v>#REF!</v>
      </c>
      <c r="EC51" t="e">
        <f>AND(ConsolidatedEventList!#REF!,"AAAAAFpF64Q=")</f>
        <v>#REF!</v>
      </c>
      <c r="ED51" t="e">
        <f>AND(ConsolidatedEventList!#REF!,"AAAAAFpF64U=")</f>
        <v>#REF!</v>
      </c>
      <c r="EE51" t="e">
        <f>IF(ConsolidatedEventList!#REF!,"AAAAAFpF64Y=",0)</f>
        <v>#REF!</v>
      </c>
      <c r="EF51" t="e">
        <f>AND(ConsolidatedEventList!#REF!,"AAAAAFpF64c=")</f>
        <v>#REF!</v>
      </c>
      <c r="EG51" t="e">
        <f>AND(ConsolidatedEventList!#REF!,"AAAAAFpF64g=")</f>
        <v>#REF!</v>
      </c>
      <c r="EH51" t="e">
        <f>AND(ConsolidatedEventList!#REF!,"AAAAAFpF64k=")</f>
        <v>#REF!</v>
      </c>
      <c r="EI51" t="e">
        <f>AND(ConsolidatedEventList!#REF!,"AAAAAFpF64o=")</f>
        <v>#REF!</v>
      </c>
      <c r="EJ51" t="e">
        <f>AND(ConsolidatedEventList!#REF!,"AAAAAFpF64s=")</f>
        <v>#REF!</v>
      </c>
      <c r="EK51" t="e">
        <f>AND(ConsolidatedEventList!#REF!,"AAAAAFpF64w=")</f>
        <v>#REF!</v>
      </c>
      <c r="EL51" t="e">
        <f>AND(ConsolidatedEventList!#REF!,"AAAAAFpF640=")</f>
        <v>#REF!</v>
      </c>
      <c r="EM51" t="e">
        <f>AND(ConsolidatedEventList!#REF!,"AAAAAFpF644=")</f>
        <v>#REF!</v>
      </c>
      <c r="EN51">
        <f>IF(ConsolidatedEventList!46:46,"AAAAAFpF648=",0)</f>
        <v>0</v>
      </c>
      <c r="EO51" t="e">
        <f>AND(ConsolidatedEventList!A46,"AAAAAFpF65A=")</f>
        <v>#VALUE!</v>
      </c>
      <c r="EP51" t="e">
        <f>AND(ConsolidatedEventList!B46,"AAAAAFpF65E=")</f>
        <v>#VALUE!</v>
      </c>
      <c r="EQ51" t="e">
        <f>AND(ConsolidatedEventList!C46,"AAAAAFpF65I=")</f>
        <v>#VALUE!</v>
      </c>
      <c r="ER51" t="e">
        <f>AND(ConsolidatedEventList!D46,"AAAAAFpF65M=")</f>
        <v>#VALUE!</v>
      </c>
      <c r="ES51" t="e">
        <f>AND(ConsolidatedEventList!E46,"AAAAAFpF65Q=")</f>
        <v>#VALUE!</v>
      </c>
      <c r="ET51" t="e">
        <f>AND(ConsolidatedEventList!F46,"AAAAAFpF65U=")</f>
        <v>#VALUE!</v>
      </c>
      <c r="EU51" t="e">
        <f>AND(ConsolidatedEventList!G46,"AAAAAFpF65Y=")</f>
        <v>#VALUE!</v>
      </c>
      <c r="EV51" t="e">
        <f>AND(ConsolidatedEventList!H46,"AAAAAFpF65c=")</f>
        <v>#VALUE!</v>
      </c>
      <c r="EW51">
        <f>IF(ConsolidatedEventList!47:47,"AAAAAFpF65g=",0)</f>
        <v>0</v>
      </c>
      <c r="EX51" t="e">
        <f>AND(ConsolidatedEventList!A47,"AAAAAFpF65k=")</f>
        <v>#VALUE!</v>
      </c>
      <c r="EY51" t="e">
        <f>AND(ConsolidatedEventList!B47,"AAAAAFpF65o=")</f>
        <v>#VALUE!</v>
      </c>
      <c r="EZ51" t="e">
        <f>AND(ConsolidatedEventList!C47,"AAAAAFpF65s=")</f>
        <v>#VALUE!</v>
      </c>
      <c r="FA51" t="e">
        <f>AND(ConsolidatedEventList!D47,"AAAAAFpF65w=")</f>
        <v>#VALUE!</v>
      </c>
      <c r="FB51" t="e">
        <f>AND(ConsolidatedEventList!E47,"AAAAAFpF650=")</f>
        <v>#VALUE!</v>
      </c>
      <c r="FC51" t="e">
        <f>AND(ConsolidatedEventList!F47,"AAAAAFpF654=")</f>
        <v>#VALUE!</v>
      </c>
      <c r="FD51" t="e">
        <f>AND(ConsolidatedEventList!G47,"AAAAAFpF658=")</f>
        <v>#VALUE!</v>
      </c>
      <c r="FE51" t="e">
        <f>AND(ConsolidatedEventList!H47,"AAAAAFpF66A=")</f>
        <v>#VALUE!</v>
      </c>
      <c r="FF51">
        <f>IF(ConsolidatedEventList!48:48,"AAAAAFpF66E=",0)</f>
        <v>0</v>
      </c>
      <c r="FG51" t="e">
        <f>AND(ConsolidatedEventList!A48,"AAAAAFpF66I=")</f>
        <v>#VALUE!</v>
      </c>
      <c r="FH51" t="e">
        <f>AND(ConsolidatedEventList!B48,"AAAAAFpF66M=")</f>
        <v>#VALUE!</v>
      </c>
      <c r="FI51" t="e">
        <f>AND(ConsolidatedEventList!C48,"AAAAAFpF66Q=")</f>
        <v>#VALUE!</v>
      </c>
      <c r="FJ51" t="e">
        <f>AND(ConsolidatedEventList!D48,"AAAAAFpF66U=")</f>
        <v>#VALUE!</v>
      </c>
      <c r="FK51" t="e">
        <f>AND(ConsolidatedEventList!E48,"AAAAAFpF66Y=")</f>
        <v>#VALUE!</v>
      </c>
      <c r="FL51" t="e">
        <f>AND(ConsolidatedEventList!F48,"AAAAAFpF66c=")</f>
        <v>#VALUE!</v>
      </c>
      <c r="FM51" t="e">
        <f>AND(ConsolidatedEventList!G48,"AAAAAFpF66g=")</f>
        <v>#VALUE!</v>
      </c>
      <c r="FN51" t="e">
        <f>AND(ConsolidatedEventList!H48,"AAAAAFpF66k=")</f>
        <v>#VALUE!</v>
      </c>
      <c r="FO51">
        <f>IF(ConsolidatedEventList!49:49,"AAAAAFpF66o=",0)</f>
        <v>0</v>
      </c>
      <c r="FP51" t="e">
        <f>AND(ConsolidatedEventList!A49,"AAAAAFpF66s=")</f>
        <v>#VALUE!</v>
      </c>
      <c r="FQ51" t="e">
        <f>AND(ConsolidatedEventList!B49,"AAAAAFpF66w=")</f>
        <v>#VALUE!</v>
      </c>
      <c r="FR51" t="e">
        <f>AND(ConsolidatedEventList!C49,"AAAAAFpF660=")</f>
        <v>#VALUE!</v>
      </c>
      <c r="FS51" t="e">
        <f>AND(ConsolidatedEventList!D49,"AAAAAFpF664=")</f>
        <v>#VALUE!</v>
      </c>
      <c r="FT51" t="e">
        <f>AND(ConsolidatedEventList!E49,"AAAAAFpF668=")</f>
        <v>#VALUE!</v>
      </c>
      <c r="FU51" t="e">
        <f>AND(ConsolidatedEventList!F49,"AAAAAFpF67A=")</f>
        <v>#VALUE!</v>
      </c>
      <c r="FV51" t="e">
        <f>AND(ConsolidatedEventList!G49,"AAAAAFpF67E=")</f>
        <v>#VALUE!</v>
      </c>
      <c r="FW51" t="e">
        <f>AND(ConsolidatedEventList!H49,"AAAAAFpF67I=")</f>
        <v>#VALUE!</v>
      </c>
      <c r="FX51">
        <f>IF(ConsolidatedEventList!50:50,"AAAAAFpF67M=",0)</f>
        <v>0</v>
      </c>
      <c r="FY51" t="e">
        <f>AND(ConsolidatedEventList!A50,"AAAAAFpF67Q=")</f>
        <v>#VALUE!</v>
      </c>
      <c r="FZ51" t="e">
        <f>AND(ConsolidatedEventList!B50,"AAAAAFpF67U=")</f>
        <v>#VALUE!</v>
      </c>
      <c r="GA51" t="e">
        <f>AND(ConsolidatedEventList!C50,"AAAAAFpF67Y=")</f>
        <v>#VALUE!</v>
      </c>
      <c r="GB51" t="e">
        <f>AND(ConsolidatedEventList!D50,"AAAAAFpF67c=")</f>
        <v>#VALUE!</v>
      </c>
      <c r="GC51" t="e">
        <f>AND(ConsolidatedEventList!E50,"AAAAAFpF67g=")</f>
        <v>#VALUE!</v>
      </c>
      <c r="GD51" t="e">
        <f>AND(ConsolidatedEventList!F50,"AAAAAFpF67k=")</f>
        <v>#VALUE!</v>
      </c>
      <c r="GE51" t="e">
        <f>AND(ConsolidatedEventList!G50,"AAAAAFpF67o=")</f>
        <v>#VALUE!</v>
      </c>
      <c r="GF51" t="e">
        <f>AND(ConsolidatedEventList!H50,"AAAAAFpF67s=")</f>
        <v>#VALUE!</v>
      </c>
      <c r="GG51">
        <f>IF(ConsolidatedEventList!51:51,"AAAAAFpF67w=",0)</f>
        <v>0</v>
      </c>
      <c r="GH51" t="e">
        <f>AND(ConsolidatedEventList!A51,"AAAAAFpF670=")</f>
        <v>#VALUE!</v>
      </c>
      <c r="GI51" t="e">
        <f>AND(ConsolidatedEventList!B51,"AAAAAFpF674=")</f>
        <v>#VALUE!</v>
      </c>
      <c r="GJ51" t="e">
        <f>AND(ConsolidatedEventList!C51,"AAAAAFpF678=")</f>
        <v>#VALUE!</v>
      </c>
      <c r="GK51" t="e">
        <f>AND(ConsolidatedEventList!D51,"AAAAAFpF68A=")</f>
        <v>#VALUE!</v>
      </c>
      <c r="GL51" t="e">
        <f>AND(ConsolidatedEventList!E51,"AAAAAFpF68E=")</f>
        <v>#VALUE!</v>
      </c>
      <c r="GM51" t="e">
        <f>AND(ConsolidatedEventList!F51,"AAAAAFpF68I=")</f>
        <v>#VALUE!</v>
      </c>
      <c r="GN51" t="e">
        <f>AND(ConsolidatedEventList!G51,"AAAAAFpF68M=")</f>
        <v>#VALUE!</v>
      </c>
      <c r="GO51" t="e">
        <f>AND(ConsolidatedEventList!H51,"AAAAAFpF68Q=")</f>
        <v>#VALUE!</v>
      </c>
      <c r="GP51">
        <f>IF(ConsolidatedEventList!52:52,"AAAAAFpF68U=",0)</f>
        <v>0</v>
      </c>
      <c r="GQ51" t="e">
        <f>AND(ConsolidatedEventList!A52,"AAAAAFpF68Y=")</f>
        <v>#VALUE!</v>
      </c>
      <c r="GR51" t="e">
        <f>AND(ConsolidatedEventList!B52,"AAAAAFpF68c=")</f>
        <v>#VALUE!</v>
      </c>
      <c r="GS51" t="e">
        <f>AND(ConsolidatedEventList!C52,"AAAAAFpF68g=")</f>
        <v>#VALUE!</v>
      </c>
      <c r="GT51" t="e">
        <f>AND(ConsolidatedEventList!D52,"AAAAAFpF68k=")</f>
        <v>#VALUE!</v>
      </c>
      <c r="GU51" t="e">
        <f>AND(ConsolidatedEventList!E52,"AAAAAFpF68o=")</f>
        <v>#VALUE!</v>
      </c>
      <c r="GV51" t="e">
        <f>AND(ConsolidatedEventList!F52,"AAAAAFpF68s=")</f>
        <v>#VALUE!</v>
      </c>
      <c r="GW51" t="e">
        <f>AND(ConsolidatedEventList!G52,"AAAAAFpF68w=")</f>
        <v>#VALUE!</v>
      </c>
      <c r="GX51" t="e">
        <f>AND(ConsolidatedEventList!H52,"AAAAAFpF680=")</f>
        <v>#VALUE!</v>
      </c>
      <c r="GY51">
        <f>IF(ConsolidatedEventList!53:53,"AAAAAFpF684=",0)</f>
        <v>0</v>
      </c>
      <c r="GZ51" t="e">
        <f>AND(ConsolidatedEventList!A53,"AAAAAFpF688=")</f>
        <v>#VALUE!</v>
      </c>
      <c r="HA51" t="e">
        <f>AND(ConsolidatedEventList!B53,"AAAAAFpF69A=")</f>
        <v>#VALUE!</v>
      </c>
      <c r="HB51" t="e">
        <f>AND(ConsolidatedEventList!C53,"AAAAAFpF69E=")</f>
        <v>#VALUE!</v>
      </c>
      <c r="HC51" t="e">
        <f>AND(ConsolidatedEventList!D53,"AAAAAFpF69I=")</f>
        <v>#VALUE!</v>
      </c>
      <c r="HD51" t="e">
        <f>AND(ConsolidatedEventList!E53,"AAAAAFpF69M=")</f>
        <v>#VALUE!</v>
      </c>
      <c r="HE51" t="e">
        <f>AND(ConsolidatedEventList!F53,"AAAAAFpF69Q=")</f>
        <v>#VALUE!</v>
      </c>
      <c r="HF51" t="e">
        <f>AND(ConsolidatedEventList!G53,"AAAAAFpF69U=")</f>
        <v>#VALUE!</v>
      </c>
      <c r="HG51" t="e">
        <f>AND(ConsolidatedEventList!H53,"AAAAAFpF69Y=")</f>
        <v>#VALUE!</v>
      </c>
      <c r="HH51" t="e">
        <f>IF(ConsolidatedEventList!#REF!,"AAAAAFpF69c=",0)</f>
        <v>#REF!</v>
      </c>
      <c r="HI51" t="e">
        <f>AND(ConsolidatedEventList!#REF!,"AAAAAFpF69g=")</f>
        <v>#REF!</v>
      </c>
      <c r="HJ51" t="e">
        <f>AND(ConsolidatedEventList!#REF!,"AAAAAFpF69k=")</f>
        <v>#REF!</v>
      </c>
      <c r="HK51" t="e">
        <f>AND(ConsolidatedEventList!#REF!,"AAAAAFpF69o=")</f>
        <v>#REF!</v>
      </c>
      <c r="HL51" t="e">
        <f>AND(ConsolidatedEventList!#REF!,"AAAAAFpF69s=")</f>
        <v>#REF!</v>
      </c>
      <c r="HM51" t="e">
        <f>AND(ConsolidatedEventList!#REF!,"AAAAAFpF69w=")</f>
        <v>#REF!</v>
      </c>
      <c r="HN51" t="e">
        <f>AND(ConsolidatedEventList!#REF!,"AAAAAFpF690=")</f>
        <v>#REF!</v>
      </c>
      <c r="HO51" t="e">
        <f>AND(ConsolidatedEventList!#REF!,"AAAAAFpF694=")</f>
        <v>#REF!</v>
      </c>
      <c r="HP51" t="e">
        <f>AND(ConsolidatedEventList!#REF!,"AAAAAFpF698=")</f>
        <v>#REF!</v>
      </c>
      <c r="HQ51" t="e">
        <f>IF(ConsolidatedEventList!#REF!,"AAAAAFpF6+A=",0)</f>
        <v>#REF!</v>
      </c>
      <c r="HR51" t="e">
        <f>AND(ConsolidatedEventList!#REF!,"AAAAAFpF6+E=")</f>
        <v>#REF!</v>
      </c>
      <c r="HS51" t="e">
        <f>AND(ConsolidatedEventList!#REF!,"AAAAAFpF6+I=")</f>
        <v>#REF!</v>
      </c>
      <c r="HT51" t="e">
        <f>AND(ConsolidatedEventList!#REF!,"AAAAAFpF6+M=")</f>
        <v>#REF!</v>
      </c>
      <c r="HU51" t="e">
        <f>AND(ConsolidatedEventList!#REF!,"AAAAAFpF6+Q=")</f>
        <v>#REF!</v>
      </c>
      <c r="HV51" t="e">
        <f>AND(ConsolidatedEventList!#REF!,"AAAAAFpF6+U=")</f>
        <v>#REF!</v>
      </c>
      <c r="HW51" t="e">
        <f>AND(ConsolidatedEventList!#REF!,"AAAAAFpF6+Y=")</f>
        <v>#REF!</v>
      </c>
      <c r="HX51" t="e">
        <f>AND(ConsolidatedEventList!#REF!,"AAAAAFpF6+c=")</f>
        <v>#REF!</v>
      </c>
      <c r="HY51" t="e">
        <f>AND(ConsolidatedEventList!#REF!,"AAAAAFpF6+g=")</f>
        <v>#REF!</v>
      </c>
      <c r="HZ51">
        <f>IF(ConsolidatedEventList!54:54,"AAAAAFpF6+k=",0)</f>
        <v>0</v>
      </c>
      <c r="IA51" t="e">
        <f>AND(ConsolidatedEventList!A54,"AAAAAFpF6+o=")</f>
        <v>#VALUE!</v>
      </c>
      <c r="IB51" t="e">
        <f>AND(ConsolidatedEventList!B54,"AAAAAFpF6+s=")</f>
        <v>#VALUE!</v>
      </c>
      <c r="IC51" t="e">
        <f>AND(ConsolidatedEventList!C54,"AAAAAFpF6+w=")</f>
        <v>#VALUE!</v>
      </c>
      <c r="ID51" t="e">
        <f>AND(ConsolidatedEventList!D54,"AAAAAFpF6+0=")</f>
        <v>#VALUE!</v>
      </c>
      <c r="IE51" t="e">
        <f>AND(ConsolidatedEventList!E54,"AAAAAFpF6+4=")</f>
        <v>#VALUE!</v>
      </c>
      <c r="IF51" t="e">
        <f>AND(ConsolidatedEventList!F54,"AAAAAFpF6+8=")</f>
        <v>#VALUE!</v>
      </c>
      <c r="IG51" t="e">
        <f>AND(ConsolidatedEventList!G54,"AAAAAFpF6/A=")</f>
        <v>#VALUE!</v>
      </c>
      <c r="IH51" t="e">
        <f>AND(ConsolidatedEventList!H54,"AAAAAFpF6/E=")</f>
        <v>#VALUE!</v>
      </c>
      <c r="II51">
        <f>IF(ConsolidatedEventList!55:55,"AAAAAFpF6/I=",0)</f>
        <v>0</v>
      </c>
      <c r="IJ51" t="e">
        <f>AND(ConsolidatedEventList!A55,"AAAAAFpF6/M=")</f>
        <v>#VALUE!</v>
      </c>
      <c r="IK51" t="e">
        <f>AND(ConsolidatedEventList!B55,"AAAAAFpF6/Q=")</f>
        <v>#VALUE!</v>
      </c>
      <c r="IL51" t="e">
        <f>AND(ConsolidatedEventList!C55,"AAAAAFpF6/U=")</f>
        <v>#VALUE!</v>
      </c>
      <c r="IM51" t="e">
        <f>AND(ConsolidatedEventList!D55,"AAAAAFpF6/Y=")</f>
        <v>#VALUE!</v>
      </c>
      <c r="IN51" t="e">
        <f>AND(ConsolidatedEventList!E55,"AAAAAFpF6/c=")</f>
        <v>#VALUE!</v>
      </c>
      <c r="IO51" t="e">
        <f>AND(ConsolidatedEventList!F55,"AAAAAFpF6/g=")</f>
        <v>#VALUE!</v>
      </c>
      <c r="IP51" t="e">
        <f>AND(ConsolidatedEventList!G55,"AAAAAFpF6/k=")</f>
        <v>#VALUE!</v>
      </c>
      <c r="IQ51" t="e">
        <f>AND(ConsolidatedEventList!H55,"AAAAAFpF6/o=")</f>
        <v>#VALUE!</v>
      </c>
      <c r="IR51">
        <f>IF(ConsolidatedEventList!56:56,"AAAAAFpF6/s=",0)</f>
        <v>0</v>
      </c>
      <c r="IS51" t="e">
        <f>AND(ConsolidatedEventList!A56,"AAAAAFpF6/w=")</f>
        <v>#VALUE!</v>
      </c>
      <c r="IT51" t="e">
        <f>AND(ConsolidatedEventList!B56,"AAAAAFpF6/0=")</f>
        <v>#VALUE!</v>
      </c>
      <c r="IU51" t="e">
        <f>AND(ConsolidatedEventList!C56,"AAAAAFpF6/4=")</f>
        <v>#VALUE!</v>
      </c>
      <c r="IV51" t="e">
        <f>AND(ConsolidatedEventList!D56,"AAAAAFpF6/8=")</f>
        <v>#VALUE!</v>
      </c>
    </row>
    <row r="52" spans="1:256" x14ac:dyDescent="0.25">
      <c r="A52" t="e">
        <f>AND(ConsolidatedEventList!E56,"AAAAAD9u/gA=")</f>
        <v>#VALUE!</v>
      </c>
      <c r="B52" t="e">
        <f>AND(ConsolidatedEventList!F56,"AAAAAD9u/gE=")</f>
        <v>#VALUE!</v>
      </c>
      <c r="C52" t="e">
        <f>AND(ConsolidatedEventList!G56,"AAAAAD9u/gI=")</f>
        <v>#VALUE!</v>
      </c>
      <c r="D52" t="e">
        <f>AND(ConsolidatedEventList!H56,"AAAAAD9u/gM=")</f>
        <v>#VALUE!</v>
      </c>
      <c r="E52">
        <f>IF(ConsolidatedEventList!57:57,"AAAAAD9u/gQ=",0)</f>
        <v>0</v>
      </c>
      <c r="F52" t="e">
        <f>AND(ConsolidatedEventList!A57,"AAAAAD9u/gU=")</f>
        <v>#VALUE!</v>
      </c>
      <c r="G52" t="e">
        <f>AND(ConsolidatedEventList!B57,"AAAAAD9u/gY=")</f>
        <v>#VALUE!</v>
      </c>
      <c r="H52" t="e">
        <f>AND(ConsolidatedEventList!C57,"AAAAAD9u/gc=")</f>
        <v>#VALUE!</v>
      </c>
      <c r="I52" t="e">
        <f>AND(ConsolidatedEventList!D57,"AAAAAD9u/gg=")</f>
        <v>#VALUE!</v>
      </c>
      <c r="J52" t="e">
        <f>AND(ConsolidatedEventList!E57,"AAAAAD9u/gk=")</f>
        <v>#VALUE!</v>
      </c>
      <c r="K52" t="e">
        <f>AND(ConsolidatedEventList!F57,"AAAAAD9u/go=")</f>
        <v>#VALUE!</v>
      </c>
      <c r="L52" t="e">
        <f>AND(ConsolidatedEventList!G57,"AAAAAD9u/gs=")</f>
        <v>#VALUE!</v>
      </c>
      <c r="M52" t="e">
        <f>AND(ConsolidatedEventList!H57,"AAAAAD9u/gw=")</f>
        <v>#VALUE!</v>
      </c>
      <c r="N52">
        <f>IF(ConsolidatedEventList!58:58,"AAAAAD9u/g0=",0)</f>
        <v>0</v>
      </c>
      <c r="O52" t="e">
        <f>AND(ConsolidatedEventList!A58,"AAAAAD9u/g4=")</f>
        <v>#VALUE!</v>
      </c>
      <c r="P52" t="e">
        <f>AND(ConsolidatedEventList!B58,"AAAAAD9u/g8=")</f>
        <v>#VALUE!</v>
      </c>
      <c r="Q52" t="e">
        <f>AND(ConsolidatedEventList!C58,"AAAAAD9u/hA=")</f>
        <v>#VALUE!</v>
      </c>
      <c r="R52" t="e">
        <f>AND(ConsolidatedEventList!D58,"AAAAAD9u/hE=")</f>
        <v>#VALUE!</v>
      </c>
      <c r="S52" t="e">
        <f>AND(ConsolidatedEventList!E58,"AAAAAD9u/hI=")</f>
        <v>#VALUE!</v>
      </c>
      <c r="T52" t="e">
        <f>AND(ConsolidatedEventList!F58,"AAAAAD9u/hM=")</f>
        <v>#VALUE!</v>
      </c>
      <c r="U52" t="e">
        <f>AND(ConsolidatedEventList!G58,"AAAAAD9u/hQ=")</f>
        <v>#VALUE!</v>
      </c>
      <c r="V52" t="e">
        <f>AND(ConsolidatedEventList!H58,"AAAAAD9u/hU=")</f>
        <v>#VALUE!</v>
      </c>
      <c r="W52" t="e">
        <f>IF(ConsolidatedEventList!#REF!,"AAAAAD9u/hY=",0)</f>
        <v>#REF!</v>
      </c>
      <c r="X52" t="e">
        <f>AND(ConsolidatedEventList!#REF!,"AAAAAD9u/hc=")</f>
        <v>#REF!</v>
      </c>
      <c r="Y52" t="e">
        <f>AND(ConsolidatedEventList!#REF!,"AAAAAD9u/hg=")</f>
        <v>#REF!</v>
      </c>
      <c r="Z52" t="e">
        <f>AND(ConsolidatedEventList!#REF!,"AAAAAD9u/hk=")</f>
        <v>#REF!</v>
      </c>
      <c r="AA52" t="e">
        <f>AND(ConsolidatedEventList!#REF!,"AAAAAD9u/ho=")</f>
        <v>#REF!</v>
      </c>
      <c r="AB52" t="e">
        <f>AND(ConsolidatedEventList!#REF!,"AAAAAD9u/hs=")</f>
        <v>#REF!</v>
      </c>
      <c r="AC52" t="e">
        <f>AND(ConsolidatedEventList!#REF!,"AAAAAD9u/hw=")</f>
        <v>#REF!</v>
      </c>
      <c r="AD52" t="e">
        <f>AND(ConsolidatedEventList!#REF!,"AAAAAD9u/h0=")</f>
        <v>#REF!</v>
      </c>
      <c r="AE52" t="e">
        <f>AND(ConsolidatedEventList!#REF!,"AAAAAD9u/h4=")</f>
        <v>#REF!</v>
      </c>
      <c r="AF52" t="e">
        <f>IF(ConsolidatedEventList!#REF!,"AAAAAD9u/h8=",0)</f>
        <v>#REF!</v>
      </c>
      <c r="AG52" t="e">
        <f>AND(ConsolidatedEventList!#REF!,"AAAAAD9u/iA=")</f>
        <v>#REF!</v>
      </c>
      <c r="AH52" t="e">
        <f>AND(ConsolidatedEventList!#REF!,"AAAAAD9u/iE=")</f>
        <v>#REF!</v>
      </c>
      <c r="AI52" t="e">
        <f>AND(ConsolidatedEventList!#REF!,"AAAAAD9u/iI=")</f>
        <v>#REF!</v>
      </c>
      <c r="AJ52" t="e">
        <f>AND(ConsolidatedEventList!#REF!,"AAAAAD9u/iM=")</f>
        <v>#REF!</v>
      </c>
      <c r="AK52" t="e">
        <f>AND(ConsolidatedEventList!#REF!,"AAAAAD9u/iQ=")</f>
        <v>#REF!</v>
      </c>
      <c r="AL52" t="e">
        <f>AND(ConsolidatedEventList!#REF!,"AAAAAD9u/iU=")</f>
        <v>#REF!</v>
      </c>
      <c r="AM52" t="e">
        <f>AND(ConsolidatedEventList!#REF!,"AAAAAD9u/iY=")</f>
        <v>#REF!</v>
      </c>
      <c r="AN52" t="e">
        <f>AND(ConsolidatedEventList!#REF!,"AAAAAD9u/ic=")</f>
        <v>#REF!</v>
      </c>
      <c r="AO52" t="e">
        <f>IF(ConsolidatedEventList!#REF!,"AAAAAD9u/ig=",0)</f>
        <v>#REF!</v>
      </c>
      <c r="AP52" t="e">
        <f>AND(ConsolidatedEventList!#REF!,"AAAAAD9u/ik=")</f>
        <v>#REF!</v>
      </c>
      <c r="AQ52" t="e">
        <f>AND(ConsolidatedEventList!#REF!,"AAAAAD9u/io=")</f>
        <v>#REF!</v>
      </c>
      <c r="AR52" t="e">
        <f>AND(ConsolidatedEventList!#REF!,"AAAAAD9u/is=")</f>
        <v>#REF!</v>
      </c>
      <c r="AS52" t="e">
        <f>AND(ConsolidatedEventList!#REF!,"AAAAAD9u/iw=")</f>
        <v>#REF!</v>
      </c>
      <c r="AT52" t="e">
        <f>AND(ConsolidatedEventList!#REF!,"AAAAAD9u/i0=")</f>
        <v>#REF!</v>
      </c>
      <c r="AU52" t="e">
        <f>AND(ConsolidatedEventList!#REF!,"AAAAAD9u/i4=")</f>
        <v>#REF!</v>
      </c>
      <c r="AV52" t="e">
        <f>AND(ConsolidatedEventList!#REF!,"AAAAAD9u/i8=")</f>
        <v>#REF!</v>
      </c>
      <c r="AW52" t="e">
        <f>AND(ConsolidatedEventList!#REF!,"AAAAAD9u/jA=")</f>
        <v>#REF!</v>
      </c>
      <c r="AX52" t="e">
        <f>IF(ConsolidatedEventList!#REF!,"AAAAAD9u/jE=",0)</f>
        <v>#REF!</v>
      </c>
      <c r="AY52" t="e">
        <f>AND(ConsolidatedEventList!#REF!,"AAAAAD9u/jI=")</f>
        <v>#REF!</v>
      </c>
      <c r="AZ52" t="e">
        <f>AND(ConsolidatedEventList!#REF!,"AAAAAD9u/jM=")</f>
        <v>#REF!</v>
      </c>
      <c r="BA52" t="e">
        <f>AND(ConsolidatedEventList!#REF!,"AAAAAD9u/jQ=")</f>
        <v>#REF!</v>
      </c>
      <c r="BB52" t="e">
        <f>AND(ConsolidatedEventList!#REF!,"AAAAAD9u/jU=")</f>
        <v>#REF!</v>
      </c>
      <c r="BC52" t="e">
        <f>AND(ConsolidatedEventList!#REF!,"AAAAAD9u/jY=")</f>
        <v>#REF!</v>
      </c>
      <c r="BD52" t="e">
        <f>AND(ConsolidatedEventList!#REF!,"AAAAAD9u/jc=")</f>
        <v>#REF!</v>
      </c>
      <c r="BE52" t="e">
        <f>AND(ConsolidatedEventList!#REF!,"AAAAAD9u/jg=")</f>
        <v>#REF!</v>
      </c>
      <c r="BF52" t="e">
        <f>AND(ConsolidatedEventList!#REF!,"AAAAAD9u/jk=")</f>
        <v>#REF!</v>
      </c>
      <c r="BG52" t="e">
        <f>IF(ConsolidatedEventList!#REF!,"AAAAAD9u/jo=",0)</f>
        <v>#REF!</v>
      </c>
      <c r="BH52" t="e">
        <f>AND(ConsolidatedEventList!#REF!,"AAAAAD9u/js=")</f>
        <v>#REF!</v>
      </c>
      <c r="BI52" t="e">
        <f>AND(ConsolidatedEventList!#REF!,"AAAAAD9u/jw=")</f>
        <v>#REF!</v>
      </c>
      <c r="BJ52" t="e">
        <f>AND(ConsolidatedEventList!#REF!,"AAAAAD9u/j0=")</f>
        <v>#REF!</v>
      </c>
      <c r="BK52" t="e">
        <f>AND(ConsolidatedEventList!#REF!,"AAAAAD9u/j4=")</f>
        <v>#REF!</v>
      </c>
      <c r="BL52" t="e">
        <f>AND(ConsolidatedEventList!#REF!,"AAAAAD9u/j8=")</f>
        <v>#REF!</v>
      </c>
      <c r="BM52" t="e">
        <f>AND(ConsolidatedEventList!#REF!,"AAAAAD9u/kA=")</f>
        <v>#REF!</v>
      </c>
      <c r="BN52" t="e">
        <f>AND(ConsolidatedEventList!#REF!,"AAAAAD9u/kE=")</f>
        <v>#REF!</v>
      </c>
      <c r="BO52" t="e">
        <f>AND(ConsolidatedEventList!#REF!,"AAAAAD9u/kI=")</f>
        <v>#REF!</v>
      </c>
      <c r="BP52" t="e">
        <f>IF(ConsolidatedEventList!#REF!,"AAAAAD9u/kM=",0)</f>
        <v>#REF!</v>
      </c>
      <c r="BQ52" t="e">
        <f>AND(ConsolidatedEventList!#REF!,"AAAAAD9u/kQ=")</f>
        <v>#REF!</v>
      </c>
      <c r="BR52" t="e">
        <f>AND(ConsolidatedEventList!#REF!,"AAAAAD9u/kU=")</f>
        <v>#REF!</v>
      </c>
      <c r="BS52" t="e">
        <f>AND(ConsolidatedEventList!#REF!,"AAAAAD9u/kY=")</f>
        <v>#REF!</v>
      </c>
      <c r="BT52" t="e">
        <f>AND(ConsolidatedEventList!#REF!,"AAAAAD9u/kc=")</f>
        <v>#REF!</v>
      </c>
      <c r="BU52" t="e">
        <f>AND(ConsolidatedEventList!#REF!,"AAAAAD9u/kg=")</f>
        <v>#REF!</v>
      </c>
      <c r="BV52" t="e">
        <f>AND(ConsolidatedEventList!#REF!,"AAAAAD9u/kk=")</f>
        <v>#REF!</v>
      </c>
      <c r="BW52" t="e">
        <f>AND(ConsolidatedEventList!#REF!,"AAAAAD9u/ko=")</f>
        <v>#REF!</v>
      </c>
      <c r="BX52" t="e">
        <f>AND(ConsolidatedEventList!#REF!,"AAAAAD9u/ks=")</f>
        <v>#REF!</v>
      </c>
      <c r="BY52" t="e">
        <f>IF(ConsolidatedEventList!#REF!,"AAAAAD9u/kw=",0)</f>
        <v>#REF!</v>
      </c>
      <c r="BZ52" t="e">
        <f>AND(ConsolidatedEventList!#REF!,"AAAAAD9u/k0=")</f>
        <v>#REF!</v>
      </c>
      <c r="CA52" t="e">
        <f>AND(ConsolidatedEventList!#REF!,"AAAAAD9u/k4=")</f>
        <v>#REF!</v>
      </c>
      <c r="CB52" t="e">
        <f>AND(ConsolidatedEventList!#REF!,"AAAAAD9u/k8=")</f>
        <v>#REF!</v>
      </c>
      <c r="CC52" t="e">
        <f>AND(ConsolidatedEventList!#REF!,"AAAAAD9u/lA=")</f>
        <v>#REF!</v>
      </c>
      <c r="CD52" t="e">
        <f>AND(ConsolidatedEventList!#REF!,"AAAAAD9u/lE=")</f>
        <v>#REF!</v>
      </c>
      <c r="CE52" t="e">
        <f>AND(ConsolidatedEventList!#REF!,"AAAAAD9u/lI=")</f>
        <v>#REF!</v>
      </c>
      <c r="CF52" t="e">
        <f>AND(ConsolidatedEventList!#REF!,"AAAAAD9u/lM=")</f>
        <v>#REF!</v>
      </c>
      <c r="CG52" t="e">
        <f>AND(ConsolidatedEventList!#REF!,"AAAAAD9u/lQ=")</f>
        <v>#REF!</v>
      </c>
      <c r="CH52" t="e">
        <f>IF(ConsolidatedEventList!#REF!,"AAAAAD9u/lU=",0)</f>
        <v>#REF!</v>
      </c>
      <c r="CI52" t="e">
        <f>AND(ConsolidatedEventList!#REF!,"AAAAAD9u/lY=")</f>
        <v>#REF!</v>
      </c>
      <c r="CJ52" t="e">
        <f>AND(ConsolidatedEventList!#REF!,"AAAAAD9u/lc=")</f>
        <v>#REF!</v>
      </c>
      <c r="CK52" t="e">
        <f>AND(ConsolidatedEventList!#REF!,"AAAAAD9u/lg=")</f>
        <v>#REF!</v>
      </c>
      <c r="CL52" t="e">
        <f>AND(ConsolidatedEventList!#REF!,"AAAAAD9u/lk=")</f>
        <v>#REF!</v>
      </c>
      <c r="CM52" t="e">
        <f>AND(ConsolidatedEventList!#REF!,"AAAAAD9u/lo=")</f>
        <v>#REF!</v>
      </c>
      <c r="CN52" t="e">
        <f>AND(ConsolidatedEventList!#REF!,"AAAAAD9u/ls=")</f>
        <v>#REF!</v>
      </c>
      <c r="CO52" t="e">
        <f>AND(ConsolidatedEventList!#REF!,"AAAAAD9u/lw=")</f>
        <v>#REF!</v>
      </c>
      <c r="CP52" t="e">
        <f>AND(ConsolidatedEventList!#REF!,"AAAAAD9u/l0=")</f>
        <v>#REF!</v>
      </c>
      <c r="CQ52" t="e">
        <f>IF(ConsolidatedEventList!#REF!,"AAAAAD9u/l4=",0)</f>
        <v>#REF!</v>
      </c>
      <c r="CR52" t="e">
        <f>AND(ConsolidatedEventList!#REF!,"AAAAAD9u/l8=")</f>
        <v>#REF!</v>
      </c>
      <c r="CS52" t="e">
        <f>AND(ConsolidatedEventList!#REF!,"AAAAAD9u/mA=")</f>
        <v>#REF!</v>
      </c>
      <c r="CT52" t="e">
        <f>AND(ConsolidatedEventList!#REF!,"AAAAAD9u/mE=")</f>
        <v>#REF!</v>
      </c>
      <c r="CU52" t="e">
        <f>AND(ConsolidatedEventList!#REF!,"AAAAAD9u/mI=")</f>
        <v>#REF!</v>
      </c>
      <c r="CV52" t="e">
        <f>AND(ConsolidatedEventList!#REF!,"AAAAAD9u/mM=")</f>
        <v>#REF!</v>
      </c>
      <c r="CW52" t="e">
        <f>AND(ConsolidatedEventList!#REF!,"AAAAAD9u/mQ=")</f>
        <v>#REF!</v>
      </c>
      <c r="CX52" t="e">
        <f>AND(ConsolidatedEventList!#REF!,"AAAAAD9u/mU=")</f>
        <v>#REF!</v>
      </c>
      <c r="CY52" t="e">
        <f>AND(ConsolidatedEventList!#REF!,"AAAAAD9u/mY=")</f>
        <v>#REF!</v>
      </c>
      <c r="CZ52" t="e">
        <f>IF(ConsolidatedEventList!#REF!,"AAAAAD9u/mc=",0)</f>
        <v>#REF!</v>
      </c>
      <c r="DA52" t="e">
        <f>AND(ConsolidatedEventList!#REF!,"AAAAAD9u/mg=")</f>
        <v>#REF!</v>
      </c>
      <c r="DB52" t="e">
        <f>AND(ConsolidatedEventList!#REF!,"AAAAAD9u/mk=")</f>
        <v>#REF!</v>
      </c>
      <c r="DC52" t="e">
        <f>AND(ConsolidatedEventList!#REF!,"AAAAAD9u/mo=")</f>
        <v>#REF!</v>
      </c>
      <c r="DD52" t="e">
        <f>AND(ConsolidatedEventList!#REF!,"AAAAAD9u/ms=")</f>
        <v>#REF!</v>
      </c>
      <c r="DE52" t="e">
        <f>AND(ConsolidatedEventList!#REF!,"AAAAAD9u/mw=")</f>
        <v>#REF!</v>
      </c>
      <c r="DF52" t="e">
        <f>AND(ConsolidatedEventList!#REF!,"AAAAAD9u/m0=")</f>
        <v>#REF!</v>
      </c>
      <c r="DG52" t="e">
        <f>AND(ConsolidatedEventList!#REF!,"AAAAAD9u/m4=")</f>
        <v>#REF!</v>
      </c>
      <c r="DH52" t="e">
        <f>AND(ConsolidatedEventList!#REF!,"AAAAAD9u/m8=")</f>
        <v>#REF!</v>
      </c>
      <c r="DI52">
        <f>IF(ConsolidatedEventList!59:59,"AAAAAD9u/nA=",0)</f>
        <v>0</v>
      </c>
      <c r="DJ52" t="e">
        <f>AND(ConsolidatedEventList!A59,"AAAAAD9u/nE=")</f>
        <v>#VALUE!</v>
      </c>
      <c r="DK52" t="e">
        <f>AND(ConsolidatedEventList!B59,"AAAAAD9u/nI=")</f>
        <v>#VALUE!</v>
      </c>
      <c r="DL52" t="e">
        <f>AND(ConsolidatedEventList!C59,"AAAAAD9u/nM=")</f>
        <v>#VALUE!</v>
      </c>
      <c r="DM52" t="e">
        <f>AND(ConsolidatedEventList!D59,"AAAAAD9u/nQ=")</f>
        <v>#VALUE!</v>
      </c>
      <c r="DN52" t="e">
        <f>AND(ConsolidatedEventList!E59,"AAAAAD9u/nU=")</f>
        <v>#VALUE!</v>
      </c>
      <c r="DO52" t="e">
        <f>AND(ConsolidatedEventList!F59,"AAAAAD9u/nY=")</f>
        <v>#VALUE!</v>
      </c>
      <c r="DP52" t="e">
        <f>AND(ConsolidatedEventList!G59,"AAAAAD9u/nc=")</f>
        <v>#VALUE!</v>
      </c>
      <c r="DQ52" t="e">
        <f>AND(ConsolidatedEventList!H59,"AAAAAD9u/ng=")</f>
        <v>#VALUE!</v>
      </c>
      <c r="DR52">
        <f>IF(ConsolidatedEventList!60:60,"AAAAAD9u/nk=",0)</f>
        <v>0</v>
      </c>
      <c r="DS52" t="e">
        <f>AND(ConsolidatedEventList!A60,"AAAAAD9u/no=")</f>
        <v>#VALUE!</v>
      </c>
      <c r="DT52" t="e">
        <f>AND(ConsolidatedEventList!B60,"AAAAAD9u/ns=")</f>
        <v>#VALUE!</v>
      </c>
      <c r="DU52" t="e">
        <f>AND(ConsolidatedEventList!C60,"AAAAAD9u/nw=")</f>
        <v>#VALUE!</v>
      </c>
      <c r="DV52" t="e">
        <f>AND(ConsolidatedEventList!D60,"AAAAAD9u/n0=")</f>
        <v>#VALUE!</v>
      </c>
      <c r="DW52" t="e">
        <f>AND(ConsolidatedEventList!E60,"AAAAAD9u/n4=")</f>
        <v>#VALUE!</v>
      </c>
      <c r="DX52" t="e">
        <f>AND(ConsolidatedEventList!F60,"AAAAAD9u/n8=")</f>
        <v>#VALUE!</v>
      </c>
      <c r="DY52" t="e">
        <f>AND(ConsolidatedEventList!G60,"AAAAAD9u/oA=")</f>
        <v>#VALUE!</v>
      </c>
      <c r="DZ52" t="e">
        <f>AND(ConsolidatedEventList!H60,"AAAAAD9u/oE=")</f>
        <v>#VALUE!</v>
      </c>
      <c r="EA52">
        <f>IF(ConsolidatedEventList!63:63,"AAAAAD9u/oI=",0)</f>
        <v>0</v>
      </c>
      <c r="EB52" t="e">
        <f>AND(ConsolidatedEventList!A63,"AAAAAD9u/oM=")</f>
        <v>#VALUE!</v>
      </c>
      <c r="EC52" t="e">
        <f>AND(ConsolidatedEventList!B63,"AAAAAD9u/oQ=")</f>
        <v>#VALUE!</v>
      </c>
      <c r="ED52" t="e">
        <f>AND(ConsolidatedEventList!C63,"AAAAAD9u/oU=")</f>
        <v>#VALUE!</v>
      </c>
      <c r="EE52" t="e">
        <f>AND(ConsolidatedEventList!D63,"AAAAAD9u/oY=")</f>
        <v>#VALUE!</v>
      </c>
      <c r="EF52" t="e">
        <f>AND(ConsolidatedEventList!E63,"AAAAAD9u/oc=")</f>
        <v>#VALUE!</v>
      </c>
      <c r="EG52" t="e">
        <f>AND(ConsolidatedEventList!F63,"AAAAAD9u/og=")</f>
        <v>#VALUE!</v>
      </c>
      <c r="EH52" t="e">
        <f>AND(ConsolidatedEventList!G63,"AAAAAD9u/ok=")</f>
        <v>#VALUE!</v>
      </c>
      <c r="EI52" t="e">
        <f>AND(ConsolidatedEventList!H63,"AAAAAD9u/oo=")</f>
        <v>#VALUE!</v>
      </c>
      <c r="EJ52">
        <f>IF(ConsolidatedEventList!64:64,"AAAAAD9u/os=",0)</f>
        <v>0</v>
      </c>
      <c r="EK52" t="e">
        <f>AND(ConsolidatedEventList!A64,"AAAAAD9u/ow=")</f>
        <v>#VALUE!</v>
      </c>
      <c r="EL52" t="e">
        <f>AND(ConsolidatedEventList!B64,"AAAAAD9u/o0=")</f>
        <v>#VALUE!</v>
      </c>
      <c r="EM52" t="e">
        <f>AND(ConsolidatedEventList!C64,"AAAAAD9u/o4=")</f>
        <v>#VALUE!</v>
      </c>
      <c r="EN52" t="e">
        <f>AND(ConsolidatedEventList!D64,"AAAAAD9u/o8=")</f>
        <v>#VALUE!</v>
      </c>
      <c r="EO52" t="e">
        <f>AND(ConsolidatedEventList!E64,"AAAAAD9u/pA=")</f>
        <v>#VALUE!</v>
      </c>
      <c r="EP52" t="e">
        <f>AND(ConsolidatedEventList!F64,"AAAAAD9u/pE=")</f>
        <v>#VALUE!</v>
      </c>
      <c r="EQ52" t="e">
        <f>AND(ConsolidatedEventList!G64,"AAAAAD9u/pI=")</f>
        <v>#VALUE!</v>
      </c>
      <c r="ER52" t="e">
        <f>AND(ConsolidatedEventList!H64,"AAAAAD9u/pM=")</f>
        <v>#VALUE!</v>
      </c>
      <c r="ES52">
        <f>IF(ConsolidatedEventList!65:65,"AAAAAD9u/pQ=",0)</f>
        <v>0</v>
      </c>
      <c r="ET52" t="e">
        <f>AND(ConsolidatedEventList!A65,"AAAAAD9u/pU=")</f>
        <v>#VALUE!</v>
      </c>
      <c r="EU52" t="e">
        <f>AND(ConsolidatedEventList!B65,"AAAAAD9u/pY=")</f>
        <v>#VALUE!</v>
      </c>
      <c r="EV52" t="e">
        <f>AND(ConsolidatedEventList!C65,"AAAAAD9u/pc=")</f>
        <v>#VALUE!</v>
      </c>
      <c r="EW52" t="e">
        <f>AND(ConsolidatedEventList!D65,"AAAAAD9u/pg=")</f>
        <v>#VALUE!</v>
      </c>
      <c r="EX52" t="e">
        <f>AND(ConsolidatedEventList!E65,"AAAAAD9u/pk=")</f>
        <v>#VALUE!</v>
      </c>
      <c r="EY52" t="e">
        <f>AND(ConsolidatedEventList!F65,"AAAAAD9u/po=")</f>
        <v>#VALUE!</v>
      </c>
      <c r="EZ52" t="e">
        <f>AND(ConsolidatedEventList!G65,"AAAAAD9u/ps=")</f>
        <v>#VALUE!</v>
      </c>
      <c r="FA52" t="e">
        <f>AND(ConsolidatedEventList!H65,"AAAAAD9u/pw=")</f>
        <v>#VALUE!</v>
      </c>
      <c r="FB52">
        <f>IF(ConsolidatedEventList!66:66,"AAAAAD9u/p0=",0)</f>
        <v>0</v>
      </c>
      <c r="FC52" t="e">
        <f>AND(ConsolidatedEventList!A66,"AAAAAD9u/p4=")</f>
        <v>#VALUE!</v>
      </c>
      <c r="FD52" t="e">
        <f>AND(ConsolidatedEventList!B66,"AAAAAD9u/p8=")</f>
        <v>#VALUE!</v>
      </c>
      <c r="FE52" t="e">
        <f>AND(ConsolidatedEventList!C66,"AAAAAD9u/qA=")</f>
        <v>#VALUE!</v>
      </c>
      <c r="FF52" t="e">
        <f>AND(ConsolidatedEventList!D66,"AAAAAD9u/qE=")</f>
        <v>#VALUE!</v>
      </c>
      <c r="FG52" t="e">
        <f>AND(ConsolidatedEventList!E66,"AAAAAD9u/qI=")</f>
        <v>#VALUE!</v>
      </c>
      <c r="FH52" t="e">
        <f>AND(ConsolidatedEventList!F66,"AAAAAD9u/qM=")</f>
        <v>#VALUE!</v>
      </c>
      <c r="FI52" t="e">
        <f>AND(ConsolidatedEventList!G66,"AAAAAD9u/qQ=")</f>
        <v>#VALUE!</v>
      </c>
      <c r="FJ52" t="e">
        <f>AND(ConsolidatedEventList!H66,"AAAAAD9u/qU=")</f>
        <v>#VALUE!</v>
      </c>
      <c r="FK52">
        <f>IF(ConsolidatedEventList!67:67,"AAAAAD9u/qY=",0)</f>
        <v>0</v>
      </c>
      <c r="FL52" t="e">
        <f>AND(ConsolidatedEventList!A67,"AAAAAD9u/qc=")</f>
        <v>#VALUE!</v>
      </c>
      <c r="FM52" t="e">
        <f>AND(ConsolidatedEventList!B67,"AAAAAD9u/qg=")</f>
        <v>#VALUE!</v>
      </c>
      <c r="FN52" t="e">
        <f>AND(ConsolidatedEventList!C67,"AAAAAD9u/qk=")</f>
        <v>#VALUE!</v>
      </c>
      <c r="FO52" t="e">
        <f>AND(ConsolidatedEventList!D67,"AAAAAD9u/qo=")</f>
        <v>#VALUE!</v>
      </c>
      <c r="FP52" t="e">
        <f>AND(ConsolidatedEventList!E67,"AAAAAD9u/qs=")</f>
        <v>#VALUE!</v>
      </c>
      <c r="FQ52" t="e">
        <f>AND(ConsolidatedEventList!F67,"AAAAAD9u/qw=")</f>
        <v>#VALUE!</v>
      </c>
      <c r="FR52" t="e">
        <f>AND(ConsolidatedEventList!G67,"AAAAAD9u/q0=")</f>
        <v>#VALUE!</v>
      </c>
      <c r="FS52" t="e">
        <f>AND(ConsolidatedEventList!H67,"AAAAAD9u/q4=")</f>
        <v>#VALUE!</v>
      </c>
      <c r="FT52">
        <f>IF(ConsolidatedEventList!68:68,"AAAAAD9u/q8=",0)</f>
        <v>0</v>
      </c>
      <c r="FU52" t="e">
        <f>AND(ConsolidatedEventList!A68,"AAAAAD9u/rA=")</f>
        <v>#VALUE!</v>
      </c>
      <c r="FV52" t="e">
        <f>AND(ConsolidatedEventList!B68,"AAAAAD9u/rE=")</f>
        <v>#VALUE!</v>
      </c>
      <c r="FW52" t="e">
        <f>AND(ConsolidatedEventList!C68,"AAAAAD9u/rI=")</f>
        <v>#VALUE!</v>
      </c>
      <c r="FX52" t="e">
        <f>AND(ConsolidatedEventList!D68,"AAAAAD9u/rM=")</f>
        <v>#VALUE!</v>
      </c>
      <c r="FY52" t="e">
        <f>AND(ConsolidatedEventList!E68,"AAAAAD9u/rQ=")</f>
        <v>#VALUE!</v>
      </c>
      <c r="FZ52" t="e">
        <f>AND(ConsolidatedEventList!F68,"AAAAAD9u/rU=")</f>
        <v>#VALUE!</v>
      </c>
      <c r="GA52" t="e">
        <f>AND(ConsolidatedEventList!G68,"AAAAAD9u/rY=")</f>
        <v>#VALUE!</v>
      </c>
      <c r="GB52" t="e">
        <f>AND(ConsolidatedEventList!H68,"AAAAAD9u/rc=")</f>
        <v>#VALUE!</v>
      </c>
      <c r="GC52">
        <f>IF(ConsolidatedEventList!69:69,"AAAAAD9u/rg=",0)</f>
        <v>0</v>
      </c>
      <c r="GD52" t="e">
        <f>AND(ConsolidatedEventList!A69,"AAAAAD9u/rk=")</f>
        <v>#VALUE!</v>
      </c>
      <c r="GE52" t="e">
        <f>AND(ConsolidatedEventList!B69,"AAAAAD9u/ro=")</f>
        <v>#VALUE!</v>
      </c>
      <c r="GF52" t="e">
        <f>AND(ConsolidatedEventList!C69,"AAAAAD9u/rs=")</f>
        <v>#VALUE!</v>
      </c>
      <c r="GG52" t="e">
        <f>AND(ConsolidatedEventList!D69,"AAAAAD9u/rw=")</f>
        <v>#VALUE!</v>
      </c>
      <c r="GH52" t="e">
        <f>AND(ConsolidatedEventList!E69,"AAAAAD9u/r0=")</f>
        <v>#VALUE!</v>
      </c>
      <c r="GI52" t="e">
        <f>AND(ConsolidatedEventList!F69,"AAAAAD9u/r4=")</f>
        <v>#VALUE!</v>
      </c>
      <c r="GJ52" t="e">
        <f>AND(ConsolidatedEventList!G69,"AAAAAD9u/r8=")</f>
        <v>#VALUE!</v>
      </c>
      <c r="GK52" t="e">
        <f>AND(ConsolidatedEventList!H69,"AAAAAD9u/sA=")</f>
        <v>#VALUE!</v>
      </c>
      <c r="GL52">
        <f>IF(ConsolidatedEventList!70:70,"AAAAAD9u/sE=",0)</f>
        <v>0</v>
      </c>
      <c r="GM52" t="e">
        <f>AND(ConsolidatedEventList!A70,"AAAAAD9u/sI=")</f>
        <v>#VALUE!</v>
      </c>
      <c r="GN52" t="e">
        <f>AND(ConsolidatedEventList!B70,"AAAAAD9u/sM=")</f>
        <v>#VALUE!</v>
      </c>
      <c r="GO52" t="e">
        <f>AND(ConsolidatedEventList!C70,"AAAAAD9u/sQ=")</f>
        <v>#VALUE!</v>
      </c>
      <c r="GP52" t="e">
        <f>AND(ConsolidatedEventList!D70,"AAAAAD9u/sU=")</f>
        <v>#VALUE!</v>
      </c>
      <c r="GQ52" t="e">
        <f>AND(ConsolidatedEventList!E70,"AAAAAD9u/sY=")</f>
        <v>#VALUE!</v>
      </c>
      <c r="GR52" t="e">
        <f>AND(ConsolidatedEventList!F70,"AAAAAD9u/sc=")</f>
        <v>#VALUE!</v>
      </c>
      <c r="GS52" t="e">
        <f>AND(ConsolidatedEventList!G70,"AAAAAD9u/sg=")</f>
        <v>#VALUE!</v>
      </c>
      <c r="GT52" t="e">
        <f>AND(ConsolidatedEventList!H70,"AAAAAD9u/sk=")</f>
        <v>#VALUE!</v>
      </c>
      <c r="GU52">
        <f>IF(ConsolidatedEventList!71:71,"AAAAAD9u/so=",0)</f>
        <v>0</v>
      </c>
      <c r="GV52" t="e">
        <f>AND(ConsolidatedEventList!A71,"AAAAAD9u/ss=")</f>
        <v>#VALUE!</v>
      </c>
      <c r="GW52" t="e">
        <f>AND(ConsolidatedEventList!B71,"AAAAAD9u/sw=")</f>
        <v>#VALUE!</v>
      </c>
      <c r="GX52" t="e">
        <f>AND(ConsolidatedEventList!C71,"AAAAAD9u/s0=")</f>
        <v>#VALUE!</v>
      </c>
      <c r="GY52" t="e">
        <f>AND(ConsolidatedEventList!D71,"AAAAAD9u/s4=")</f>
        <v>#VALUE!</v>
      </c>
      <c r="GZ52" t="e">
        <f>AND(ConsolidatedEventList!E71,"AAAAAD9u/s8=")</f>
        <v>#VALUE!</v>
      </c>
      <c r="HA52" t="e">
        <f>AND(ConsolidatedEventList!F71,"AAAAAD9u/tA=")</f>
        <v>#VALUE!</v>
      </c>
      <c r="HB52" t="e">
        <f>AND(ConsolidatedEventList!G71,"AAAAAD9u/tE=")</f>
        <v>#VALUE!</v>
      </c>
      <c r="HC52" t="e">
        <f>AND(ConsolidatedEventList!H71,"AAAAAD9u/tI=")</f>
        <v>#VALUE!</v>
      </c>
      <c r="HD52">
        <f>IF(ConsolidatedEventList!72:72,"AAAAAD9u/tM=",0)</f>
        <v>0</v>
      </c>
      <c r="HE52" t="e">
        <f>AND(ConsolidatedEventList!A72,"AAAAAD9u/tQ=")</f>
        <v>#VALUE!</v>
      </c>
      <c r="HF52" t="e">
        <f>AND(ConsolidatedEventList!B72,"AAAAAD9u/tU=")</f>
        <v>#VALUE!</v>
      </c>
      <c r="HG52" t="e">
        <f>AND(ConsolidatedEventList!C72,"AAAAAD9u/tY=")</f>
        <v>#VALUE!</v>
      </c>
      <c r="HH52" t="e">
        <f>AND(ConsolidatedEventList!D72,"AAAAAD9u/tc=")</f>
        <v>#VALUE!</v>
      </c>
      <c r="HI52" t="e">
        <f>AND(ConsolidatedEventList!E72,"AAAAAD9u/tg=")</f>
        <v>#VALUE!</v>
      </c>
      <c r="HJ52" t="e">
        <f>AND(ConsolidatedEventList!F72,"AAAAAD9u/tk=")</f>
        <v>#VALUE!</v>
      </c>
      <c r="HK52" t="e">
        <f>AND(ConsolidatedEventList!G72,"AAAAAD9u/to=")</f>
        <v>#VALUE!</v>
      </c>
      <c r="HL52" t="e">
        <f>AND(ConsolidatedEventList!H72,"AAAAAD9u/ts=")</f>
        <v>#VALUE!</v>
      </c>
      <c r="HM52">
        <f>IF(ConsolidatedEventList!75:75,"AAAAAD9u/tw=",0)</f>
        <v>0</v>
      </c>
      <c r="HN52" t="e">
        <f>AND(ConsolidatedEventList!A75,"AAAAAD9u/t0=")</f>
        <v>#VALUE!</v>
      </c>
      <c r="HO52" t="e">
        <f>AND(ConsolidatedEventList!B75,"AAAAAD9u/t4=")</f>
        <v>#VALUE!</v>
      </c>
      <c r="HP52" t="e">
        <f>AND(ConsolidatedEventList!C75,"AAAAAD9u/t8=")</f>
        <v>#VALUE!</v>
      </c>
      <c r="HQ52" t="e">
        <f>AND(ConsolidatedEventList!D75,"AAAAAD9u/uA=")</f>
        <v>#VALUE!</v>
      </c>
      <c r="HR52" t="e">
        <f>AND(ConsolidatedEventList!E75,"AAAAAD9u/uE=")</f>
        <v>#VALUE!</v>
      </c>
      <c r="HS52" t="e">
        <f>AND(ConsolidatedEventList!F75,"AAAAAD9u/uI=")</f>
        <v>#VALUE!</v>
      </c>
      <c r="HT52" t="e">
        <f>AND(ConsolidatedEventList!G75,"AAAAAD9u/uM=")</f>
        <v>#VALUE!</v>
      </c>
      <c r="HU52" t="e">
        <f>AND(ConsolidatedEventList!H75,"AAAAAD9u/uQ=")</f>
        <v>#VALUE!</v>
      </c>
      <c r="HV52">
        <f>IF(ConsolidatedEventList!76:76,"AAAAAD9u/uU=",0)</f>
        <v>0</v>
      </c>
      <c r="HW52" t="e">
        <f>AND(ConsolidatedEventList!A76,"AAAAAD9u/uY=")</f>
        <v>#VALUE!</v>
      </c>
      <c r="HX52" t="e">
        <f>AND(ConsolidatedEventList!B76,"AAAAAD9u/uc=")</f>
        <v>#VALUE!</v>
      </c>
      <c r="HY52" t="e">
        <f>AND(ConsolidatedEventList!C76,"AAAAAD9u/ug=")</f>
        <v>#VALUE!</v>
      </c>
      <c r="HZ52" t="e">
        <f>AND(ConsolidatedEventList!D76,"AAAAAD9u/uk=")</f>
        <v>#VALUE!</v>
      </c>
      <c r="IA52" t="e">
        <f>AND(ConsolidatedEventList!E76,"AAAAAD9u/uo=")</f>
        <v>#VALUE!</v>
      </c>
      <c r="IB52" t="e">
        <f>AND(ConsolidatedEventList!F76,"AAAAAD9u/us=")</f>
        <v>#VALUE!</v>
      </c>
      <c r="IC52" t="e">
        <f>AND(ConsolidatedEventList!G76,"AAAAAD9u/uw=")</f>
        <v>#VALUE!</v>
      </c>
      <c r="ID52" t="e">
        <f>AND(ConsolidatedEventList!H76,"AAAAAD9u/u0=")</f>
        <v>#VALUE!</v>
      </c>
      <c r="IE52">
        <f>IF(ConsolidatedEventList!77:77,"AAAAAD9u/u4=",0)</f>
        <v>0</v>
      </c>
      <c r="IF52" t="e">
        <f>AND(ConsolidatedEventList!A77,"AAAAAD9u/u8=")</f>
        <v>#VALUE!</v>
      </c>
      <c r="IG52" t="e">
        <f>AND(ConsolidatedEventList!B77,"AAAAAD9u/vA=")</f>
        <v>#VALUE!</v>
      </c>
      <c r="IH52" t="e">
        <f>AND(ConsolidatedEventList!C77,"AAAAAD9u/vE=")</f>
        <v>#VALUE!</v>
      </c>
      <c r="II52" t="e">
        <f>AND(ConsolidatedEventList!D77,"AAAAAD9u/vI=")</f>
        <v>#VALUE!</v>
      </c>
      <c r="IJ52" t="e">
        <f>AND(ConsolidatedEventList!E77,"AAAAAD9u/vM=")</f>
        <v>#VALUE!</v>
      </c>
      <c r="IK52" t="e">
        <f>AND(ConsolidatedEventList!F77,"AAAAAD9u/vQ=")</f>
        <v>#VALUE!</v>
      </c>
      <c r="IL52" t="e">
        <f>AND(ConsolidatedEventList!G77,"AAAAAD9u/vU=")</f>
        <v>#VALUE!</v>
      </c>
      <c r="IM52" t="e">
        <f>AND(ConsolidatedEventList!H77,"AAAAAD9u/vY=")</f>
        <v>#VALUE!</v>
      </c>
      <c r="IN52">
        <f>IF(ConsolidatedEventList!78:78,"AAAAAD9u/vc=",0)</f>
        <v>0</v>
      </c>
      <c r="IO52" t="e">
        <f>AND(ConsolidatedEventList!A78,"AAAAAD9u/vg=")</f>
        <v>#VALUE!</v>
      </c>
      <c r="IP52" t="e">
        <f>AND(ConsolidatedEventList!B78,"AAAAAD9u/vk=")</f>
        <v>#VALUE!</v>
      </c>
      <c r="IQ52" t="e">
        <f>AND(ConsolidatedEventList!C78,"AAAAAD9u/vo=")</f>
        <v>#VALUE!</v>
      </c>
      <c r="IR52" t="e">
        <f>AND(ConsolidatedEventList!D78,"AAAAAD9u/vs=")</f>
        <v>#VALUE!</v>
      </c>
      <c r="IS52" t="e">
        <f>AND(ConsolidatedEventList!E78,"AAAAAD9u/vw=")</f>
        <v>#VALUE!</v>
      </c>
      <c r="IT52" t="e">
        <f>AND(ConsolidatedEventList!F78,"AAAAAD9u/v0=")</f>
        <v>#VALUE!</v>
      </c>
      <c r="IU52" t="e">
        <f>AND(ConsolidatedEventList!G78,"AAAAAD9u/v4=")</f>
        <v>#VALUE!</v>
      </c>
      <c r="IV52" t="e">
        <f>AND(ConsolidatedEventList!H78,"AAAAAD9u/v8=")</f>
        <v>#VALUE!</v>
      </c>
    </row>
    <row r="53" spans="1:256" x14ac:dyDescent="0.25">
      <c r="A53">
        <f>IF(ConsolidatedEventList!79:79,"AAAAAHv41gA=",0)</f>
        <v>0</v>
      </c>
      <c r="B53" t="e">
        <f>AND(ConsolidatedEventList!A79,"AAAAAHv41gE=")</f>
        <v>#VALUE!</v>
      </c>
      <c r="C53" t="e">
        <f>AND(ConsolidatedEventList!B79,"AAAAAHv41gI=")</f>
        <v>#VALUE!</v>
      </c>
      <c r="D53" t="e">
        <f>AND(ConsolidatedEventList!C79,"AAAAAHv41gM=")</f>
        <v>#VALUE!</v>
      </c>
      <c r="E53" t="e">
        <f>AND(ConsolidatedEventList!D79,"AAAAAHv41gQ=")</f>
        <v>#VALUE!</v>
      </c>
      <c r="F53" t="e">
        <f>AND(ConsolidatedEventList!E79,"AAAAAHv41gU=")</f>
        <v>#VALUE!</v>
      </c>
      <c r="G53" t="e">
        <f>AND(ConsolidatedEventList!F79,"AAAAAHv41gY=")</f>
        <v>#VALUE!</v>
      </c>
      <c r="H53" t="e">
        <f>AND(ConsolidatedEventList!G79,"AAAAAHv41gc=")</f>
        <v>#VALUE!</v>
      </c>
      <c r="I53" t="e">
        <f>AND(ConsolidatedEventList!H79,"AAAAAHv41gg=")</f>
        <v>#VALUE!</v>
      </c>
      <c r="J53">
        <f>IF(ConsolidatedEventList!80:80,"AAAAAHv41gk=",0)</f>
        <v>0</v>
      </c>
      <c r="K53" t="e">
        <f>AND(ConsolidatedEventList!A80,"AAAAAHv41go=")</f>
        <v>#VALUE!</v>
      </c>
      <c r="L53" t="e">
        <f>AND(ConsolidatedEventList!B80,"AAAAAHv41gs=")</f>
        <v>#VALUE!</v>
      </c>
      <c r="M53" t="e">
        <f>AND(ConsolidatedEventList!C80,"AAAAAHv41gw=")</f>
        <v>#VALUE!</v>
      </c>
      <c r="N53" t="e">
        <f>AND(ConsolidatedEventList!D80,"AAAAAHv41g0=")</f>
        <v>#VALUE!</v>
      </c>
      <c r="O53" t="e">
        <f>AND(ConsolidatedEventList!E80,"AAAAAHv41g4=")</f>
        <v>#VALUE!</v>
      </c>
      <c r="P53" t="e">
        <f>AND(ConsolidatedEventList!F80,"AAAAAHv41g8=")</f>
        <v>#VALUE!</v>
      </c>
      <c r="Q53" t="e">
        <f>AND(ConsolidatedEventList!G80,"AAAAAHv41hA=")</f>
        <v>#VALUE!</v>
      </c>
      <c r="R53" t="e">
        <f>AND(ConsolidatedEventList!H80,"AAAAAHv41hE=")</f>
        <v>#VALUE!</v>
      </c>
      <c r="S53">
        <f>IF(ConsolidatedEventList!81:81,"AAAAAHv41hI=",0)</f>
        <v>0</v>
      </c>
      <c r="T53" t="e">
        <f>AND(ConsolidatedEventList!A81,"AAAAAHv41hM=")</f>
        <v>#VALUE!</v>
      </c>
      <c r="U53" t="e">
        <f>AND(ConsolidatedEventList!B81,"AAAAAHv41hQ=")</f>
        <v>#VALUE!</v>
      </c>
      <c r="V53" t="e">
        <f>AND(ConsolidatedEventList!C81,"AAAAAHv41hU=")</f>
        <v>#VALUE!</v>
      </c>
      <c r="W53" t="e">
        <f>AND(ConsolidatedEventList!D81,"AAAAAHv41hY=")</f>
        <v>#VALUE!</v>
      </c>
      <c r="X53" t="e">
        <f>AND(ConsolidatedEventList!E81,"AAAAAHv41hc=")</f>
        <v>#VALUE!</v>
      </c>
      <c r="Y53" t="e">
        <f>AND(ConsolidatedEventList!F81,"AAAAAHv41hg=")</f>
        <v>#VALUE!</v>
      </c>
      <c r="Z53" t="e">
        <f>AND(ConsolidatedEventList!G81,"AAAAAHv41hk=")</f>
        <v>#VALUE!</v>
      </c>
      <c r="AA53" t="e">
        <f>AND(ConsolidatedEventList!H81,"AAAAAHv41ho=")</f>
        <v>#VALUE!</v>
      </c>
      <c r="AB53">
        <f>IF(ConsolidatedEventList!82:82,"AAAAAHv41hs=",0)</f>
        <v>0</v>
      </c>
      <c r="AC53" t="e">
        <f>AND(ConsolidatedEventList!A82,"AAAAAHv41hw=")</f>
        <v>#VALUE!</v>
      </c>
      <c r="AD53" t="e">
        <f>AND(ConsolidatedEventList!B82,"AAAAAHv41h0=")</f>
        <v>#VALUE!</v>
      </c>
      <c r="AE53" t="e">
        <f>AND(ConsolidatedEventList!C82,"AAAAAHv41h4=")</f>
        <v>#VALUE!</v>
      </c>
      <c r="AF53" t="e">
        <f>AND(ConsolidatedEventList!D82,"AAAAAHv41h8=")</f>
        <v>#VALUE!</v>
      </c>
      <c r="AG53" t="e">
        <f>AND(ConsolidatedEventList!E82,"AAAAAHv41iA=")</f>
        <v>#VALUE!</v>
      </c>
      <c r="AH53" t="e">
        <f>AND(ConsolidatedEventList!F82,"AAAAAHv41iE=")</f>
        <v>#VALUE!</v>
      </c>
      <c r="AI53" t="e">
        <f>AND(ConsolidatedEventList!G82,"AAAAAHv41iI=")</f>
        <v>#VALUE!</v>
      </c>
      <c r="AJ53" t="e">
        <f>AND(ConsolidatedEventList!H82,"AAAAAHv41iM=")</f>
        <v>#VALUE!</v>
      </c>
      <c r="AK53" t="e">
        <f>IF(ConsolidatedEventList!#REF!,"AAAAAHv41iQ=",0)</f>
        <v>#REF!</v>
      </c>
      <c r="AL53" t="e">
        <f>AND(ConsolidatedEventList!#REF!,"AAAAAHv41iU=")</f>
        <v>#REF!</v>
      </c>
      <c r="AM53" t="e">
        <f>AND(ConsolidatedEventList!#REF!,"AAAAAHv41iY=")</f>
        <v>#REF!</v>
      </c>
      <c r="AN53" t="e">
        <f>AND(ConsolidatedEventList!#REF!,"AAAAAHv41ic=")</f>
        <v>#REF!</v>
      </c>
      <c r="AO53" t="e">
        <f>AND(ConsolidatedEventList!#REF!,"AAAAAHv41ig=")</f>
        <v>#REF!</v>
      </c>
      <c r="AP53" t="e">
        <f>AND(ConsolidatedEventList!#REF!,"AAAAAHv41ik=")</f>
        <v>#REF!</v>
      </c>
      <c r="AQ53" t="e">
        <f>AND(ConsolidatedEventList!#REF!,"AAAAAHv41io=")</f>
        <v>#REF!</v>
      </c>
      <c r="AR53" t="e">
        <f>AND(ConsolidatedEventList!#REF!,"AAAAAHv41is=")</f>
        <v>#REF!</v>
      </c>
      <c r="AS53" t="e">
        <f>AND(ConsolidatedEventList!#REF!,"AAAAAHv41iw=")</f>
        <v>#REF!</v>
      </c>
      <c r="AT53" t="e">
        <f>IF(ConsolidatedEventList!#REF!,"AAAAAHv41i0=",0)</f>
        <v>#REF!</v>
      </c>
      <c r="AU53" t="e">
        <f>AND(ConsolidatedEventList!#REF!,"AAAAAHv41i4=")</f>
        <v>#REF!</v>
      </c>
      <c r="AV53" t="e">
        <f>AND(ConsolidatedEventList!#REF!,"AAAAAHv41i8=")</f>
        <v>#REF!</v>
      </c>
      <c r="AW53" t="e">
        <f>AND(ConsolidatedEventList!#REF!,"AAAAAHv41jA=")</f>
        <v>#REF!</v>
      </c>
      <c r="AX53" t="e">
        <f>AND(ConsolidatedEventList!#REF!,"AAAAAHv41jE=")</f>
        <v>#REF!</v>
      </c>
      <c r="AY53" t="e">
        <f>AND(ConsolidatedEventList!#REF!,"AAAAAHv41jI=")</f>
        <v>#REF!</v>
      </c>
      <c r="AZ53" t="e">
        <f>AND(ConsolidatedEventList!#REF!,"AAAAAHv41jM=")</f>
        <v>#REF!</v>
      </c>
      <c r="BA53" t="e">
        <f>AND(ConsolidatedEventList!#REF!,"AAAAAHv41jQ=")</f>
        <v>#REF!</v>
      </c>
      <c r="BB53" t="e">
        <f>AND(ConsolidatedEventList!#REF!,"AAAAAHv41jU=")</f>
        <v>#REF!</v>
      </c>
      <c r="BC53">
        <f>IF(ConsolidatedEventList!85:85,"AAAAAHv41jY=",0)</f>
        <v>0</v>
      </c>
      <c r="BD53" t="e">
        <f>AND(ConsolidatedEventList!A85,"AAAAAHv41jc=")</f>
        <v>#VALUE!</v>
      </c>
      <c r="BE53" t="e">
        <f>AND(ConsolidatedEventList!B85,"AAAAAHv41jg=")</f>
        <v>#VALUE!</v>
      </c>
      <c r="BF53" t="e">
        <f>AND(ConsolidatedEventList!C85,"AAAAAHv41jk=")</f>
        <v>#VALUE!</v>
      </c>
      <c r="BG53" t="e">
        <f>AND(ConsolidatedEventList!D85,"AAAAAHv41jo=")</f>
        <v>#VALUE!</v>
      </c>
      <c r="BH53" t="e">
        <f>AND(ConsolidatedEventList!E85,"AAAAAHv41js=")</f>
        <v>#VALUE!</v>
      </c>
      <c r="BI53" t="e">
        <f>AND(ConsolidatedEventList!F85,"AAAAAHv41jw=")</f>
        <v>#VALUE!</v>
      </c>
      <c r="BJ53" t="e">
        <f>AND(ConsolidatedEventList!G85,"AAAAAHv41j0=")</f>
        <v>#VALUE!</v>
      </c>
      <c r="BK53" t="e">
        <f>AND(ConsolidatedEventList!H85,"AAAAAHv41j4=")</f>
        <v>#VALUE!</v>
      </c>
      <c r="BL53">
        <f>IF(ConsolidatedEventList!86:86,"AAAAAHv41j8=",0)</f>
        <v>0</v>
      </c>
      <c r="BM53" t="e">
        <f>AND(ConsolidatedEventList!A86,"AAAAAHv41kA=")</f>
        <v>#VALUE!</v>
      </c>
      <c r="BN53" t="e">
        <f>AND(ConsolidatedEventList!B86,"AAAAAHv41kE=")</f>
        <v>#VALUE!</v>
      </c>
      <c r="BO53" t="e">
        <f>AND(ConsolidatedEventList!C86,"AAAAAHv41kI=")</f>
        <v>#VALUE!</v>
      </c>
      <c r="BP53" t="e">
        <f>AND(ConsolidatedEventList!D86,"AAAAAHv41kM=")</f>
        <v>#VALUE!</v>
      </c>
      <c r="BQ53" t="e">
        <f>AND(ConsolidatedEventList!E86,"AAAAAHv41kQ=")</f>
        <v>#VALUE!</v>
      </c>
      <c r="BR53" t="e">
        <f>AND(ConsolidatedEventList!F86,"AAAAAHv41kU=")</f>
        <v>#VALUE!</v>
      </c>
      <c r="BS53" t="e">
        <f>AND(ConsolidatedEventList!G86,"AAAAAHv41kY=")</f>
        <v>#VALUE!</v>
      </c>
      <c r="BT53" t="e">
        <f>AND(ConsolidatedEventList!H86,"AAAAAHv41kc=")</f>
        <v>#VALUE!</v>
      </c>
      <c r="BU53">
        <f>IF(ConsolidatedEventList!87:87,"AAAAAHv41kg=",0)</f>
        <v>0</v>
      </c>
      <c r="BV53" t="e">
        <f>AND(ConsolidatedEventList!A87,"AAAAAHv41kk=")</f>
        <v>#VALUE!</v>
      </c>
      <c r="BW53" t="e">
        <f>AND(ConsolidatedEventList!B87,"AAAAAHv41ko=")</f>
        <v>#VALUE!</v>
      </c>
      <c r="BX53" t="e">
        <f>AND(ConsolidatedEventList!C87,"AAAAAHv41ks=")</f>
        <v>#VALUE!</v>
      </c>
      <c r="BY53" t="e">
        <f>AND(ConsolidatedEventList!D87,"AAAAAHv41kw=")</f>
        <v>#VALUE!</v>
      </c>
      <c r="BZ53" t="e">
        <f>AND(ConsolidatedEventList!E87,"AAAAAHv41k0=")</f>
        <v>#VALUE!</v>
      </c>
      <c r="CA53" t="e">
        <f>AND(ConsolidatedEventList!F87,"AAAAAHv41k4=")</f>
        <v>#VALUE!</v>
      </c>
      <c r="CB53" t="e">
        <f>AND(ConsolidatedEventList!G87,"AAAAAHv41k8=")</f>
        <v>#VALUE!</v>
      </c>
      <c r="CC53" t="e">
        <f>AND(ConsolidatedEventList!H87,"AAAAAHv41lA=")</f>
        <v>#VALUE!</v>
      </c>
      <c r="CD53">
        <f>IF(ConsolidatedEventList!88:88,"AAAAAHv41lE=",0)</f>
        <v>0</v>
      </c>
      <c r="CE53" t="e">
        <f>AND(ConsolidatedEventList!A88,"AAAAAHv41lI=")</f>
        <v>#VALUE!</v>
      </c>
      <c r="CF53" t="e">
        <f>AND(ConsolidatedEventList!B88,"AAAAAHv41lM=")</f>
        <v>#VALUE!</v>
      </c>
      <c r="CG53" t="e">
        <f>AND(ConsolidatedEventList!C88,"AAAAAHv41lQ=")</f>
        <v>#VALUE!</v>
      </c>
      <c r="CH53" t="e">
        <f>AND(ConsolidatedEventList!D88,"AAAAAHv41lU=")</f>
        <v>#VALUE!</v>
      </c>
      <c r="CI53" t="e">
        <f>AND(ConsolidatedEventList!E88,"AAAAAHv41lY=")</f>
        <v>#VALUE!</v>
      </c>
      <c r="CJ53" t="e">
        <f>AND(ConsolidatedEventList!F88,"AAAAAHv41lc=")</f>
        <v>#VALUE!</v>
      </c>
      <c r="CK53" t="e">
        <f>AND(ConsolidatedEventList!G88,"AAAAAHv41lg=")</f>
        <v>#VALUE!</v>
      </c>
      <c r="CL53" t="e">
        <f>AND(ConsolidatedEventList!H88,"AAAAAHv41lk=")</f>
        <v>#VALUE!</v>
      </c>
      <c r="CM53">
        <f>IF(ConsolidatedEventList!89:89,"AAAAAHv41lo=",0)</f>
        <v>0</v>
      </c>
      <c r="CN53" t="e">
        <f>AND(ConsolidatedEventList!A89,"AAAAAHv41ls=")</f>
        <v>#VALUE!</v>
      </c>
      <c r="CO53" t="e">
        <f>AND(ConsolidatedEventList!B89,"AAAAAHv41lw=")</f>
        <v>#VALUE!</v>
      </c>
      <c r="CP53" t="e">
        <f>AND(ConsolidatedEventList!C89,"AAAAAHv41l0=")</f>
        <v>#VALUE!</v>
      </c>
      <c r="CQ53" t="e">
        <f>AND(ConsolidatedEventList!D89,"AAAAAHv41l4=")</f>
        <v>#VALUE!</v>
      </c>
      <c r="CR53" t="e">
        <f>AND(ConsolidatedEventList!E89,"AAAAAHv41l8=")</f>
        <v>#VALUE!</v>
      </c>
      <c r="CS53" t="e">
        <f>AND(ConsolidatedEventList!F89,"AAAAAHv41mA=")</f>
        <v>#VALUE!</v>
      </c>
      <c r="CT53" t="e">
        <f>AND(ConsolidatedEventList!G89,"AAAAAHv41mE=")</f>
        <v>#VALUE!</v>
      </c>
      <c r="CU53" t="e">
        <f>AND(ConsolidatedEventList!H89,"AAAAAHv41mI=")</f>
        <v>#VALUE!</v>
      </c>
      <c r="CV53">
        <f>IF(ConsolidatedEventList!90:90,"AAAAAHv41mM=",0)</f>
        <v>0</v>
      </c>
      <c r="CW53" t="e">
        <f>AND(ConsolidatedEventList!A90,"AAAAAHv41mQ=")</f>
        <v>#VALUE!</v>
      </c>
      <c r="CX53" t="e">
        <f>AND(ConsolidatedEventList!B90,"AAAAAHv41mU=")</f>
        <v>#VALUE!</v>
      </c>
      <c r="CY53" t="e">
        <f>AND(ConsolidatedEventList!C90,"AAAAAHv41mY=")</f>
        <v>#VALUE!</v>
      </c>
      <c r="CZ53" t="e">
        <f>AND(ConsolidatedEventList!D90,"AAAAAHv41mc=")</f>
        <v>#VALUE!</v>
      </c>
      <c r="DA53" t="e">
        <f>AND(ConsolidatedEventList!E90,"AAAAAHv41mg=")</f>
        <v>#VALUE!</v>
      </c>
      <c r="DB53" t="e">
        <f>AND(ConsolidatedEventList!F90,"AAAAAHv41mk=")</f>
        <v>#VALUE!</v>
      </c>
      <c r="DC53" t="e">
        <f>AND(ConsolidatedEventList!G90,"AAAAAHv41mo=")</f>
        <v>#VALUE!</v>
      </c>
      <c r="DD53" t="e">
        <f>AND(ConsolidatedEventList!H90,"AAAAAHv41ms=")</f>
        <v>#VALUE!</v>
      </c>
      <c r="DE53">
        <f>IF(ConsolidatedEventList!91:91,"AAAAAHv41mw=",0)</f>
        <v>0</v>
      </c>
      <c r="DF53" t="e">
        <f>AND(ConsolidatedEventList!A91,"AAAAAHv41m0=")</f>
        <v>#VALUE!</v>
      </c>
      <c r="DG53" t="e">
        <f>AND(ConsolidatedEventList!B91,"AAAAAHv41m4=")</f>
        <v>#VALUE!</v>
      </c>
      <c r="DH53" t="e">
        <f>AND(ConsolidatedEventList!C91,"AAAAAHv41m8=")</f>
        <v>#VALUE!</v>
      </c>
      <c r="DI53" t="e">
        <f>AND(ConsolidatedEventList!D91,"AAAAAHv41nA=")</f>
        <v>#VALUE!</v>
      </c>
      <c r="DJ53" t="e">
        <f>AND(ConsolidatedEventList!E91,"AAAAAHv41nE=")</f>
        <v>#VALUE!</v>
      </c>
      <c r="DK53" t="e">
        <f>AND(ConsolidatedEventList!F91,"AAAAAHv41nI=")</f>
        <v>#VALUE!</v>
      </c>
      <c r="DL53" t="e">
        <f>AND(ConsolidatedEventList!G91,"AAAAAHv41nM=")</f>
        <v>#VALUE!</v>
      </c>
      <c r="DM53" t="e">
        <f>AND(ConsolidatedEventList!H91,"AAAAAHv41nQ=")</f>
        <v>#VALUE!</v>
      </c>
      <c r="DN53">
        <f>IF(ConsolidatedEventList!92:92,"AAAAAHv41nU=",0)</f>
        <v>0</v>
      </c>
      <c r="DO53" t="e">
        <f>AND(ConsolidatedEventList!A92,"AAAAAHv41nY=")</f>
        <v>#VALUE!</v>
      </c>
      <c r="DP53" t="e">
        <f>AND(ConsolidatedEventList!B92,"AAAAAHv41nc=")</f>
        <v>#VALUE!</v>
      </c>
      <c r="DQ53" t="e">
        <f>AND(ConsolidatedEventList!C92,"AAAAAHv41ng=")</f>
        <v>#VALUE!</v>
      </c>
      <c r="DR53" t="e">
        <f>AND(ConsolidatedEventList!D92,"AAAAAHv41nk=")</f>
        <v>#VALUE!</v>
      </c>
      <c r="DS53" t="e">
        <f>AND(ConsolidatedEventList!E92,"AAAAAHv41no=")</f>
        <v>#VALUE!</v>
      </c>
      <c r="DT53" t="e">
        <f>AND(ConsolidatedEventList!F92,"AAAAAHv41ns=")</f>
        <v>#VALUE!</v>
      </c>
      <c r="DU53" t="e">
        <f>AND(ConsolidatedEventList!G92,"AAAAAHv41nw=")</f>
        <v>#VALUE!</v>
      </c>
      <c r="DV53" t="e">
        <f>AND(ConsolidatedEventList!H92,"AAAAAHv41n0=")</f>
        <v>#VALUE!</v>
      </c>
      <c r="DW53">
        <f>IF(ConsolidatedEventList!93:93,"AAAAAHv41n4=",0)</f>
        <v>0</v>
      </c>
      <c r="DX53" t="e">
        <f>AND(ConsolidatedEventList!A93,"AAAAAHv41n8=")</f>
        <v>#VALUE!</v>
      </c>
      <c r="DY53" t="e">
        <f>AND(ConsolidatedEventList!B93,"AAAAAHv41oA=")</f>
        <v>#VALUE!</v>
      </c>
      <c r="DZ53" t="e">
        <f>AND(ConsolidatedEventList!C93,"AAAAAHv41oE=")</f>
        <v>#VALUE!</v>
      </c>
      <c r="EA53" t="e">
        <f>AND(ConsolidatedEventList!D93,"AAAAAHv41oI=")</f>
        <v>#VALUE!</v>
      </c>
      <c r="EB53" t="e">
        <f>AND(ConsolidatedEventList!E93,"AAAAAHv41oM=")</f>
        <v>#VALUE!</v>
      </c>
      <c r="EC53" t="e">
        <f>AND(ConsolidatedEventList!F93,"AAAAAHv41oQ=")</f>
        <v>#VALUE!</v>
      </c>
      <c r="ED53" t="e">
        <f>AND(ConsolidatedEventList!G93,"AAAAAHv41oU=")</f>
        <v>#VALUE!</v>
      </c>
      <c r="EE53" t="e">
        <f>AND(ConsolidatedEventList!H93,"AAAAAHv41oY=")</f>
        <v>#VALUE!</v>
      </c>
      <c r="EF53">
        <f>IF(ConsolidatedEventList!94:94,"AAAAAHv41oc=",0)</f>
        <v>0</v>
      </c>
      <c r="EG53" t="e">
        <f>AND(ConsolidatedEventList!A94,"AAAAAHv41og=")</f>
        <v>#VALUE!</v>
      </c>
      <c r="EH53" t="e">
        <f>AND(ConsolidatedEventList!B94,"AAAAAHv41ok=")</f>
        <v>#VALUE!</v>
      </c>
      <c r="EI53" t="e">
        <f>AND(ConsolidatedEventList!C94,"AAAAAHv41oo=")</f>
        <v>#VALUE!</v>
      </c>
      <c r="EJ53" t="e">
        <f>AND(ConsolidatedEventList!D94,"AAAAAHv41os=")</f>
        <v>#VALUE!</v>
      </c>
      <c r="EK53" t="e">
        <f>AND(ConsolidatedEventList!E94,"AAAAAHv41ow=")</f>
        <v>#VALUE!</v>
      </c>
      <c r="EL53" t="e">
        <f>AND(ConsolidatedEventList!F94,"AAAAAHv41o0=")</f>
        <v>#VALUE!</v>
      </c>
      <c r="EM53" t="e">
        <f>AND(ConsolidatedEventList!G94,"AAAAAHv41o4=")</f>
        <v>#VALUE!</v>
      </c>
      <c r="EN53" t="e">
        <f>AND(ConsolidatedEventList!H94,"AAAAAHv41o8=")</f>
        <v>#VALUE!</v>
      </c>
      <c r="EO53">
        <f>IF(ConsolidatedEventList!95:95,"AAAAAHv41pA=",0)</f>
        <v>0</v>
      </c>
      <c r="EP53" t="e">
        <f>AND(ConsolidatedEventList!A95,"AAAAAHv41pE=")</f>
        <v>#VALUE!</v>
      </c>
      <c r="EQ53" t="e">
        <f>AND(ConsolidatedEventList!B95,"AAAAAHv41pI=")</f>
        <v>#VALUE!</v>
      </c>
      <c r="ER53" t="e">
        <f>AND(ConsolidatedEventList!C95,"AAAAAHv41pM=")</f>
        <v>#VALUE!</v>
      </c>
      <c r="ES53" t="e">
        <f>AND(ConsolidatedEventList!D95,"AAAAAHv41pQ=")</f>
        <v>#VALUE!</v>
      </c>
      <c r="ET53" t="e">
        <f>AND(ConsolidatedEventList!E95,"AAAAAHv41pU=")</f>
        <v>#VALUE!</v>
      </c>
      <c r="EU53" t="e">
        <f>AND(ConsolidatedEventList!F95,"AAAAAHv41pY=")</f>
        <v>#VALUE!</v>
      </c>
      <c r="EV53" t="e">
        <f>AND(ConsolidatedEventList!G95,"AAAAAHv41pc=")</f>
        <v>#VALUE!</v>
      </c>
      <c r="EW53" t="e">
        <f>AND(ConsolidatedEventList!H95,"AAAAAHv41pg=")</f>
        <v>#VALUE!</v>
      </c>
      <c r="EX53">
        <f>IF(ConsolidatedEventList!96:96,"AAAAAHv41pk=",0)</f>
        <v>0</v>
      </c>
      <c r="EY53" t="e">
        <f>AND(ConsolidatedEventList!A96,"AAAAAHv41po=")</f>
        <v>#VALUE!</v>
      </c>
      <c r="EZ53" t="e">
        <f>AND(ConsolidatedEventList!B96,"AAAAAHv41ps=")</f>
        <v>#VALUE!</v>
      </c>
      <c r="FA53" t="e">
        <f>AND(ConsolidatedEventList!C96,"AAAAAHv41pw=")</f>
        <v>#VALUE!</v>
      </c>
      <c r="FB53" t="e">
        <f>AND(ConsolidatedEventList!D96,"AAAAAHv41p0=")</f>
        <v>#VALUE!</v>
      </c>
      <c r="FC53" t="e">
        <f>AND(ConsolidatedEventList!E96,"AAAAAHv41p4=")</f>
        <v>#VALUE!</v>
      </c>
      <c r="FD53" t="e">
        <f>AND(ConsolidatedEventList!F96,"AAAAAHv41p8=")</f>
        <v>#VALUE!</v>
      </c>
      <c r="FE53" t="e">
        <f>AND(ConsolidatedEventList!G96,"AAAAAHv41qA=")</f>
        <v>#VALUE!</v>
      </c>
      <c r="FF53" t="e">
        <f>AND(ConsolidatedEventList!H96,"AAAAAHv41qE=")</f>
        <v>#VALUE!</v>
      </c>
      <c r="FG53">
        <f>IF(ConsolidatedEventList!97:97,"AAAAAHv41qI=",0)</f>
        <v>0</v>
      </c>
      <c r="FH53" t="e">
        <f>AND(ConsolidatedEventList!A97,"AAAAAHv41qM=")</f>
        <v>#VALUE!</v>
      </c>
      <c r="FI53" t="e">
        <f>AND(ConsolidatedEventList!B97,"AAAAAHv41qQ=")</f>
        <v>#VALUE!</v>
      </c>
      <c r="FJ53" t="e">
        <f>AND(ConsolidatedEventList!C97,"AAAAAHv41qU=")</f>
        <v>#VALUE!</v>
      </c>
      <c r="FK53" t="e">
        <f>AND(ConsolidatedEventList!D97,"AAAAAHv41qY=")</f>
        <v>#VALUE!</v>
      </c>
      <c r="FL53" t="e">
        <f>AND(ConsolidatedEventList!E97,"AAAAAHv41qc=")</f>
        <v>#VALUE!</v>
      </c>
      <c r="FM53" t="e">
        <f>AND(ConsolidatedEventList!F97,"AAAAAHv41qg=")</f>
        <v>#VALUE!</v>
      </c>
      <c r="FN53" t="e">
        <f>AND(ConsolidatedEventList!G97,"AAAAAHv41qk=")</f>
        <v>#VALUE!</v>
      </c>
      <c r="FO53" t="e">
        <f>AND(ConsolidatedEventList!H97,"AAAAAHv41qo=")</f>
        <v>#VALUE!</v>
      </c>
      <c r="FP53">
        <f>IF(ConsolidatedEventList!98:98,"AAAAAHv41qs=",0)</f>
        <v>0</v>
      </c>
      <c r="FQ53" t="e">
        <f>AND(ConsolidatedEventList!A98,"AAAAAHv41qw=")</f>
        <v>#VALUE!</v>
      </c>
      <c r="FR53" t="e">
        <f>AND(ConsolidatedEventList!B98,"AAAAAHv41q0=")</f>
        <v>#VALUE!</v>
      </c>
      <c r="FS53" t="e">
        <f>AND(ConsolidatedEventList!C98,"AAAAAHv41q4=")</f>
        <v>#VALUE!</v>
      </c>
      <c r="FT53" t="e">
        <f>AND(ConsolidatedEventList!D98,"AAAAAHv41q8=")</f>
        <v>#VALUE!</v>
      </c>
      <c r="FU53" t="e">
        <f>AND(ConsolidatedEventList!E98,"AAAAAHv41rA=")</f>
        <v>#VALUE!</v>
      </c>
      <c r="FV53" t="e">
        <f>AND(ConsolidatedEventList!F98,"AAAAAHv41rE=")</f>
        <v>#VALUE!</v>
      </c>
      <c r="FW53" t="e">
        <f>AND(ConsolidatedEventList!G98,"AAAAAHv41rI=")</f>
        <v>#VALUE!</v>
      </c>
      <c r="FX53" t="e">
        <f>AND(ConsolidatedEventList!H98,"AAAAAHv41rM=")</f>
        <v>#VALUE!</v>
      </c>
      <c r="FY53">
        <f>IF(ConsolidatedEventList!99:99,"AAAAAHv41rQ=",0)</f>
        <v>0</v>
      </c>
      <c r="FZ53" t="e">
        <f>AND(ConsolidatedEventList!A99,"AAAAAHv41rU=")</f>
        <v>#VALUE!</v>
      </c>
      <c r="GA53" t="e">
        <f>AND(ConsolidatedEventList!B99,"AAAAAHv41rY=")</f>
        <v>#VALUE!</v>
      </c>
      <c r="GB53" t="e">
        <f>AND(ConsolidatedEventList!C99,"AAAAAHv41rc=")</f>
        <v>#VALUE!</v>
      </c>
      <c r="GC53" t="e">
        <f>AND(ConsolidatedEventList!D99,"AAAAAHv41rg=")</f>
        <v>#VALUE!</v>
      </c>
      <c r="GD53" t="e">
        <f>AND(ConsolidatedEventList!E99,"AAAAAHv41rk=")</f>
        <v>#VALUE!</v>
      </c>
      <c r="GE53" t="e">
        <f>AND(ConsolidatedEventList!F99,"AAAAAHv41ro=")</f>
        <v>#VALUE!</v>
      </c>
      <c r="GF53" t="e">
        <f>AND(ConsolidatedEventList!G99,"AAAAAHv41rs=")</f>
        <v>#VALUE!</v>
      </c>
      <c r="GG53" t="e">
        <f>AND(ConsolidatedEventList!H99,"AAAAAHv41rw=")</f>
        <v>#VALUE!</v>
      </c>
      <c r="GH53">
        <f>IF(ConsolidatedEventList!100:100,"AAAAAHv41r0=",0)</f>
        <v>0</v>
      </c>
      <c r="GI53" t="e">
        <f>AND(ConsolidatedEventList!A100,"AAAAAHv41r4=")</f>
        <v>#VALUE!</v>
      </c>
      <c r="GJ53" t="e">
        <f>AND(ConsolidatedEventList!B100,"AAAAAHv41r8=")</f>
        <v>#VALUE!</v>
      </c>
      <c r="GK53" t="e">
        <f>AND(ConsolidatedEventList!C100,"AAAAAHv41sA=")</f>
        <v>#VALUE!</v>
      </c>
      <c r="GL53" t="e">
        <f>AND(ConsolidatedEventList!D100,"AAAAAHv41sE=")</f>
        <v>#VALUE!</v>
      </c>
      <c r="GM53" t="e">
        <f>AND(ConsolidatedEventList!E100,"AAAAAHv41sI=")</f>
        <v>#VALUE!</v>
      </c>
      <c r="GN53" t="e">
        <f>AND(ConsolidatedEventList!F100,"AAAAAHv41sM=")</f>
        <v>#VALUE!</v>
      </c>
      <c r="GO53" t="e">
        <f>AND(ConsolidatedEventList!G100,"AAAAAHv41sQ=")</f>
        <v>#VALUE!</v>
      </c>
      <c r="GP53" t="e">
        <f>AND(ConsolidatedEventList!H100,"AAAAAHv41sU=")</f>
        <v>#VALUE!</v>
      </c>
      <c r="GQ53">
        <f>IF(ConsolidatedEventList!101:101,"AAAAAHv41sY=",0)</f>
        <v>0</v>
      </c>
      <c r="GR53" t="e">
        <f>AND(ConsolidatedEventList!A101,"AAAAAHv41sc=")</f>
        <v>#VALUE!</v>
      </c>
      <c r="GS53" t="e">
        <f>AND(ConsolidatedEventList!B101,"AAAAAHv41sg=")</f>
        <v>#VALUE!</v>
      </c>
      <c r="GT53" t="e">
        <f>AND(ConsolidatedEventList!C101,"AAAAAHv41sk=")</f>
        <v>#VALUE!</v>
      </c>
      <c r="GU53" t="e">
        <f>AND(ConsolidatedEventList!D101,"AAAAAHv41so=")</f>
        <v>#VALUE!</v>
      </c>
      <c r="GV53" t="e">
        <f>AND(ConsolidatedEventList!E101,"AAAAAHv41ss=")</f>
        <v>#VALUE!</v>
      </c>
      <c r="GW53" t="e">
        <f>AND(ConsolidatedEventList!F101,"AAAAAHv41sw=")</f>
        <v>#VALUE!</v>
      </c>
      <c r="GX53" t="e">
        <f>AND(ConsolidatedEventList!G101,"AAAAAHv41s0=")</f>
        <v>#VALUE!</v>
      </c>
      <c r="GY53" t="e">
        <f>AND(ConsolidatedEventList!H101,"AAAAAHv41s4=")</f>
        <v>#VALUE!</v>
      </c>
      <c r="GZ53">
        <f>IF(ConsolidatedEventList!102:102,"AAAAAHv41s8=",0)</f>
        <v>0</v>
      </c>
      <c r="HA53" t="e">
        <f>AND(ConsolidatedEventList!A102,"AAAAAHv41tA=")</f>
        <v>#VALUE!</v>
      </c>
      <c r="HB53" t="e">
        <f>AND(ConsolidatedEventList!B102,"AAAAAHv41tE=")</f>
        <v>#VALUE!</v>
      </c>
      <c r="HC53" t="e">
        <f>AND(ConsolidatedEventList!C102,"AAAAAHv41tI=")</f>
        <v>#VALUE!</v>
      </c>
      <c r="HD53" t="e">
        <f>AND(ConsolidatedEventList!D102,"AAAAAHv41tM=")</f>
        <v>#VALUE!</v>
      </c>
      <c r="HE53" t="e">
        <f>AND(ConsolidatedEventList!E102,"AAAAAHv41tQ=")</f>
        <v>#VALUE!</v>
      </c>
      <c r="HF53" t="e">
        <f>AND(ConsolidatedEventList!F102,"AAAAAHv41tU=")</f>
        <v>#VALUE!</v>
      </c>
      <c r="HG53" t="e">
        <f>AND(ConsolidatedEventList!G102,"AAAAAHv41tY=")</f>
        <v>#VALUE!</v>
      </c>
      <c r="HH53" t="e">
        <f>AND(ConsolidatedEventList!H102,"AAAAAHv41tc=")</f>
        <v>#VALUE!</v>
      </c>
      <c r="HI53">
        <f>IF(ConsolidatedEventList!103:103,"AAAAAHv41tg=",0)</f>
        <v>0</v>
      </c>
      <c r="HJ53" t="e">
        <f>AND(ConsolidatedEventList!A103,"AAAAAHv41tk=")</f>
        <v>#VALUE!</v>
      </c>
      <c r="HK53" t="e">
        <f>AND(ConsolidatedEventList!B103,"AAAAAHv41to=")</f>
        <v>#VALUE!</v>
      </c>
      <c r="HL53" t="e">
        <f>AND(ConsolidatedEventList!C103,"AAAAAHv41ts=")</f>
        <v>#VALUE!</v>
      </c>
      <c r="HM53" t="e">
        <f>AND(ConsolidatedEventList!D103,"AAAAAHv41tw=")</f>
        <v>#VALUE!</v>
      </c>
      <c r="HN53" t="e">
        <f>AND(ConsolidatedEventList!E103,"AAAAAHv41t0=")</f>
        <v>#VALUE!</v>
      </c>
      <c r="HO53" t="e">
        <f>AND(ConsolidatedEventList!F103,"AAAAAHv41t4=")</f>
        <v>#VALUE!</v>
      </c>
      <c r="HP53" t="e">
        <f>AND(ConsolidatedEventList!G103,"AAAAAHv41t8=")</f>
        <v>#VALUE!</v>
      </c>
      <c r="HQ53" t="e">
        <f>AND(ConsolidatedEventList!H103,"AAAAAHv41uA=")</f>
        <v>#VALUE!</v>
      </c>
      <c r="HR53">
        <f>IF(ConsolidatedEventList!104:104,"AAAAAHv41uE=",0)</f>
        <v>0</v>
      </c>
      <c r="HS53" t="e">
        <f>AND(ConsolidatedEventList!A104,"AAAAAHv41uI=")</f>
        <v>#VALUE!</v>
      </c>
      <c r="HT53" t="e">
        <f>AND(ConsolidatedEventList!B104,"AAAAAHv41uM=")</f>
        <v>#VALUE!</v>
      </c>
      <c r="HU53" t="e">
        <f>AND(ConsolidatedEventList!C104,"AAAAAHv41uQ=")</f>
        <v>#VALUE!</v>
      </c>
      <c r="HV53" t="e">
        <f>AND(ConsolidatedEventList!D104,"AAAAAHv41uU=")</f>
        <v>#VALUE!</v>
      </c>
      <c r="HW53" t="e">
        <f>AND(ConsolidatedEventList!E104,"AAAAAHv41uY=")</f>
        <v>#VALUE!</v>
      </c>
      <c r="HX53" t="e">
        <f>AND(ConsolidatedEventList!F104,"AAAAAHv41uc=")</f>
        <v>#VALUE!</v>
      </c>
      <c r="HY53" t="e">
        <f>AND(ConsolidatedEventList!G104,"AAAAAHv41ug=")</f>
        <v>#VALUE!</v>
      </c>
      <c r="HZ53" t="e">
        <f>AND(ConsolidatedEventList!H104,"AAAAAHv41uk=")</f>
        <v>#VALUE!</v>
      </c>
      <c r="IA53" t="e">
        <f>IF(ConsolidatedEventList!#REF!,"AAAAAHv41uo=",0)</f>
        <v>#REF!</v>
      </c>
      <c r="IB53" t="e">
        <f>AND(ConsolidatedEventList!#REF!,"AAAAAHv41us=")</f>
        <v>#REF!</v>
      </c>
      <c r="IC53" t="e">
        <f>AND(ConsolidatedEventList!#REF!,"AAAAAHv41uw=")</f>
        <v>#REF!</v>
      </c>
      <c r="ID53" t="e">
        <f>AND(ConsolidatedEventList!#REF!,"AAAAAHv41u0=")</f>
        <v>#REF!</v>
      </c>
      <c r="IE53" t="e">
        <f>AND(ConsolidatedEventList!#REF!,"AAAAAHv41u4=")</f>
        <v>#REF!</v>
      </c>
      <c r="IF53" t="e">
        <f>AND(ConsolidatedEventList!#REF!,"AAAAAHv41u8=")</f>
        <v>#REF!</v>
      </c>
      <c r="IG53" t="e">
        <f>AND(ConsolidatedEventList!#REF!,"AAAAAHv41vA=")</f>
        <v>#REF!</v>
      </c>
      <c r="IH53" t="e">
        <f>AND(ConsolidatedEventList!#REF!,"AAAAAHv41vE=")</f>
        <v>#REF!</v>
      </c>
      <c r="II53" t="e">
        <f>AND(ConsolidatedEventList!#REF!,"AAAAAHv41vI=")</f>
        <v>#REF!</v>
      </c>
      <c r="IJ53" t="e">
        <f>IF(ConsolidatedEventList!#REF!,"AAAAAHv41vM=",0)</f>
        <v>#REF!</v>
      </c>
      <c r="IK53" t="e">
        <f>AND(ConsolidatedEventList!#REF!,"AAAAAHv41vQ=")</f>
        <v>#REF!</v>
      </c>
      <c r="IL53" t="e">
        <f>AND(ConsolidatedEventList!#REF!,"AAAAAHv41vU=")</f>
        <v>#REF!</v>
      </c>
      <c r="IM53" t="e">
        <f>AND(ConsolidatedEventList!#REF!,"AAAAAHv41vY=")</f>
        <v>#REF!</v>
      </c>
      <c r="IN53" t="e">
        <f>AND(ConsolidatedEventList!#REF!,"AAAAAHv41vc=")</f>
        <v>#REF!</v>
      </c>
      <c r="IO53" t="e">
        <f>AND(ConsolidatedEventList!#REF!,"AAAAAHv41vg=")</f>
        <v>#REF!</v>
      </c>
      <c r="IP53" t="e">
        <f>AND(ConsolidatedEventList!#REF!,"AAAAAHv41vk=")</f>
        <v>#REF!</v>
      </c>
      <c r="IQ53" t="e">
        <f>AND(ConsolidatedEventList!#REF!,"AAAAAHv41vo=")</f>
        <v>#REF!</v>
      </c>
      <c r="IR53" t="e">
        <f>AND(ConsolidatedEventList!#REF!,"AAAAAHv41vs=")</f>
        <v>#REF!</v>
      </c>
      <c r="IS53">
        <f>IF(ConsolidatedEventList!105:105,"AAAAAHv41vw=",0)</f>
        <v>0</v>
      </c>
      <c r="IT53" t="e">
        <f>AND(ConsolidatedEventList!A105,"AAAAAHv41v0=")</f>
        <v>#VALUE!</v>
      </c>
      <c r="IU53" t="e">
        <f>AND(ConsolidatedEventList!B105,"AAAAAHv41v4=")</f>
        <v>#VALUE!</v>
      </c>
      <c r="IV53" t="e">
        <f>AND(ConsolidatedEventList!C105,"AAAAAHv41v8=")</f>
        <v>#VALUE!</v>
      </c>
    </row>
    <row r="54" spans="1:256" x14ac:dyDescent="0.25">
      <c r="A54" t="e">
        <f>AND(ConsolidatedEventList!D105,"AAAAAG8v8QA=")</f>
        <v>#VALUE!</v>
      </c>
      <c r="B54" t="e">
        <f>AND(ConsolidatedEventList!E105,"AAAAAG8v8QE=")</f>
        <v>#VALUE!</v>
      </c>
      <c r="C54" t="e">
        <f>AND(ConsolidatedEventList!F105,"AAAAAG8v8QI=")</f>
        <v>#VALUE!</v>
      </c>
      <c r="D54" t="e">
        <f>AND(ConsolidatedEventList!G105,"AAAAAG8v8QM=")</f>
        <v>#VALUE!</v>
      </c>
      <c r="E54" t="e">
        <f>AND(ConsolidatedEventList!H105,"AAAAAG8v8QQ=")</f>
        <v>#VALUE!</v>
      </c>
      <c r="F54">
        <f>IF(ConsolidatedEventList!106:106,"AAAAAG8v8QU=",0)</f>
        <v>0</v>
      </c>
      <c r="G54" t="e">
        <f>AND(ConsolidatedEventList!A106,"AAAAAG8v8QY=")</f>
        <v>#VALUE!</v>
      </c>
      <c r="H54" t="e">
        <f>AND(ConsolidatedEventList!B106,"AAAAAG8v8Qc=")</f>
        <v>#VALUE!</v>
      </c>
      <c r="I54" t="e">
        <f>AND(ConsolidatedEventList!C106,"AAAAAG8v8Qg=")</f>
        <v>#VALUE!</v>
      </c>
      <c r="J54" t="e">
        <f>AND(ConsolidatedEventList!D106,"AAAAAG8v8Qk=")</f>
        <v>#VALUE!</v>
      </c>
      <c r="K54" t="e">
        <f>AND(ConsolidatedEventList!E106,"AAAAAG8v8Qo=")</f>
        <v>#VALUE!</v>
      </c>
      <c r="L54" t="e">
        <f>AND(ConsolidatedEventList!F106,"AAAAAG8v8Qs=")</f>
        <v>#VALUE!</v>
      </c>
      <c r="M54" t="e">
        <f>AND(ConsolidatedEventList!G106,"AAAAAG8v8Qw=")</f>
        <v>#VALUE!</v>
      </c>
      <c r="N54" t="e">
        <f>AND(ConsolidatedEventList!H106,"AAAAAG8v8Q0=")</f>
        <v>#VALUE!</v>
      </c>
      <c r="O54">
        <f>IF(ConsolidatedEventList!107:107,"AAAAAG8v8Q4=",0)</f>
        <v>0</v>
      </c>
      <c r="P54" t="e">
        <f>AND(ConsolidatedEventList!A107,"AAAAAG8v8Q8=")</f>
        <v>#VALUE!</v>
      </c>
      <c r="Q54" t="e">
        <f>AND(ConsolidatedEventList!B107,"AAAAAG8v8RA=")</f>
        <v>#VALUE!</v>
      </c>
      <c r="R54" t="e">
        <f>AND(ConsolidatedEventList!C107,"AAAAAG8v8RE=")</f>
        <v>#VALUE!</v>
      </c>
      <c r="S54" t="e">
        <f>AND(ConsolidatedEventList!D107,"AAAAAG8v8RI=")</f>
        <v>#VALUE!</v>
      </c>
      <c r="T54" t="e">
        <f>AND(ConsolidatedEventList!E107,"AAAAAG8v8RM=")</f>
        <v>#VALUE!</v>
      </c>
      <c r="U54" t="e">
        <f>AND(ConsolidatedEventList!F107,"AAAAAG8v8RQ=")</f>
        <v>#VALUE!</v>
      </c>
      <c r="V54" t="e">
        <f>AND(ConsolidatedEventList!G107,"AAAAAG8v8RU=")</f>
        <v>#VALUE!</v>
      </c>
      <c r="W54" t="e">
        <f>AND(ConsolidatedEventList!H107,"AAAAAG8v8RY=")</f>
        <v>#VALUE!</v>
      </c>
      <c r="X54">
        <f>IF(ConsolidatedEventList!108:108,"AAAAAG8v8Rc=",0)</f>
        <v>0</v>
      </c>
      <c r="Y54" t="e">
        <f>AND(ConsolidatedEventList!A108,"AAAAAG8v8Rg=")</f>
        <v>#VALUE!</v>
      </c>
      <c r="Z54" t="e">
        <f>AND(ConsolidatedEventList!B108,"AAAAAG8v8Rk=")</f>
        <v>#VALUE!</v>
      </c>
      <c r="AA54" t="e">
        <f>AND(ConsolidatedEventList!C108,"AAAAAG8v8Ro=")</f>
        <v>#VALUE!</v>
      </c>
      <c r="AB54" t="e">
        <f>AND(ConsolidatedEventList!D108,"AAAAAG8v8Rs=")</f>
        <v>#VALUE!</v>
      </c>
      <c r="AC54" t="e">
        <f>AND(ConsolidatedEventList!E108,"AAAAAG8v8Rw=")</f>
        <v>#VALUE!</v>
      </c>
      <c r="AD54" t="e">
        <f>AND(ConsolidatedEventList!F108,"AAAAAG8v8R0=")</f>
        <v>#VALUE!</v>
      </c>
      <c r="AE54" t="e">
        <f>AND(ConsolidatedEventList!G108,"AAAAAG8v8R4=")</f>
        <v>#VALUE!</v>
      </c>
      <c r="AF54" t="e">
        <f>AND(ConsolidatedEventList!H108,"AAAAAG8v8R8=")</f>
        <v>#VALUE!</v>
      </c>
      <c r="AG54">
        <f>IF(ConsolidatedEventList!109:109,"AAAAAG8v8SA=",0)</f>
        <v>0</v>
      </c>
      <c r="AH54" t="e">
        <f>AND(ConsolidatedEventList!A109,"AAAAAG8v8SE=")</f>
        <v>#VALUE!</v>
      </c>
      <c r="AI54" t="e">
        <f>AND(ConsolidatedEventList!B109,"AAAAAG8v8SI=")</f>
        <v>#VALUE!</v>
      </c>
      <c r="AJ54" t="e">
        <f>AND(ConsolidatedEventList!C109,"AAAAAG8v8SM=")</f>
        <v>#VALUE!</v>
      </c>
      <c r="AK54" t="e">
        <f>AND(ConsolidatedEventList!D109,"AAAAAG8v8SQ=")</f>
        <v>#VALUE!</v>
      </c>
      <c r="AL54" t="e">
        <f>AND(ConsolidatedEventList!E109,"AAAAAG8v8SU=")</f>
        <v>#VALUE!</v>
      </c>
      <c r="AM54" t="e">
        <f>AND(ConsolidatedEventList!F109,"AAAAAG8v8SY=")</f>
        <v>#VALUE!</v>
      </c>
      <c r="AN54" t="e">
        <f>AND(ConsolidatedEventList!G109,"AAAAAG8v8Sc=")</f>
        <v>#VALUE!</v>
      </c>
      <c r="AO54" t="e">
        <f>AND(ConsolidatedEventList!H109,"AAAAAG8v8Sg=")</f>
        <v>#VALUE!</v>
      </c>
      <c r="AP54">
        <f>IF(ConsolidatedEventList!110:110,"AAAAAG8v8Sk=",0)</f>
        <v>0</v>
      </c>
      <c r="AQ54" t="e">
        <f>AND(ConsolidatedEventList!A110,"AAAAAG8v8So=")</f>
        <v>#VALUE!</v>
      </c>
      <c r="AR54" t="e">
        <f>AND(ConsolidatedEventList!B110,"AAAAAG8v8Ss=")</f>
        <v>#VALUE!</v>
      </c>
      <c r="AS54" t="e">
        <f>AND(ConsolidatedEventList!C110,"AAAAAG8v8Sw=")</f>
        <v>#VALUE!</v>
      </c>
      <c r="AT54" t="e">
        <f>AND(ConsolidatedEventList!D110,"AAAAAG8v8S0=")</f>
        <v>#VALUE!</v>
      </c>
      <c r="AU54" t="e">
        <f>AND(ConsolidatedEventList!E110,"AAAAAG8v8S4=")</f>
        <v>#VALUE!</v>
      </c>
      <c r="AV54" t="e">
        <f>AND(ConsolidatedEventList!F110,"AAAAAG8v8S8=")</f>
        <v>#VALUE!</v>
      </c>
      <c r="AW54" t="e">
        <f>AND(ConsolidatedEventList!G110,"AAAAAG8v8TA=")</f>
        <v>#VALUE!</v>
      </c>
      <c r="AX54" t="e">
        <f>AND(ConsolidatedEventList!H110,"AAAAAG8v8TE=")</f>
        <v>#VALUE!</v>
      </c>
      <c r="AY54">
        <f>IF(ConsolidatedEventList!111:111,"AAAAAG8v8TI=",0)</f>
        <v>0</v>
      </c>
      <c r="AZ54" t="e">
        <f>AND(ConsolidatedEventList!A111,"AAAAAG8v8TM=")</f>
        <v>#VALUE!</v>
      </c>
      <c r="BA54" t="e">
        <f>AND(ConsolidatedEventList!B111,"AAAAAG8v8TQ=")</f>
        <v>#VALUE!</v>
      </c>
      <c r="BB54" t="e">
        <f>AND(ConsolidatedEventList!C111,"AAAAAG8v8TU=")</f>
        <v>#VALUE!</v>
      </c>
      <c r="BC54" t="e">
        <f>AND(ConsolidatedEventList!D111,"AAAAAG8v8TY=")</f>
        <v>#VALUE!</v>
      </c>
      <c r="BD54" t="e">
        <f>AND(ConsolidatedEventList!E111,"AAAAAG8v8Tc=")</f>
        <v>#VALUE!</v>
      </c>
      <c r="BE54" t="e">
        <f>AND(ConsolidatedEventList!F111,"AAAAAG8v8Tg=")</f>
        <v>#VALUE!</v>
      </c>
      <c r="BF54" t="e">
        <f>AND(ConsolidatedEventList!G111,"AAAAAG8v8Tk=")</f>
        <v>#VALUE!</v>
      </c>
      <c r="BG54" t="e">
        <f>AND(ConsolidatedEventList!H111,"AAAAAG8v8To=")</f>
        <v>#VALUE!</v>
      </c>
      <c r="BH54">
        <f>IF(ConsolidatedEventList!112:112,"AAAAAG8v8Ts=",0)</f>
        <v>0</v>
      </c>
      <c r="BI54" t="e">
        <f>AND(ConsolidatedEventList!A112,"AAAAAG8v8Tw=")</f>
        <v>#VALUE!</v>
      </c>
      <c r="BJ54" t="e">
        <f>AND(ConsolidatedEventList!B112,"AAAAAG8v8T0=")</f>
        <v>#VALUE!</v>
      </c>
      <c r="BK54" t="e">
        <f>AND(ConsolidatedEventList!C112,"AAAAAG8v8T4=")</f>
        <v>#VALUE!</v>
      </c>
      <c r="BL54" t="e">
        <f>AND(ConsolidatedEventList!D112,"AAAAAG8v8T8=")</f>
        <v>#VALUE!</v>
      </c>
      <c r="BM54" t="e">
        <f>AND(ConsolidatedEventList!E112,"AAAAAG8v8UA=")</f>
        <v>#VALUE!</v>
      </c>
      <c r="BN54" t="e">
        <f>AND(ConsolidatedEventList!F112,"AAAAAG8v8UE=")</f>
        <v>#VALUE!</v>
      </c>
      <c r="BO54" t="e">
        <f>AND(ConsolidatedEventList!G112,"AAAAAG8v8UI=")</f>
        <v>#VALUE!</v>
      </c>
      <c r="BP54" t="e">
        <f>AND(ConsolidatedEventList!H112,"AAAAAG8v8UM=")</f>
        <v>#VALUE!</v>
      </c>
      <c r="BQ54" t="e">
        <f>IF(ConsolidatedEventList!#REF!,"AAAAAG8v8UQ=",0)</f>
        <v>#REF!</v>
      </c>
      <c r="BR54" t="e">
        <f>AND(ConsolidatedEventList!#REF!,"AAAAAG8v8UU=")</f>
        <v>#REF!</v>
      </c>
      <c r="BS54" t="e">
        <f>AND(ConsolidatedEventList!#REF!,"AAAAAG8v8UY=")</f>
        <v>#REF!</v>
      </c>
      <c r="BT54" t="e">
        <f>AND(ConsolidatedEventList!#REF!,"AAAAAG8v8Uc=")</f>
        <v>#REF!</v>
      </c>
      <c r="BU54" t="e">
        <f>AND(ConsolidatedEventList!#REF!,"AAAAAG8v8Ug=")</f>
        <v>#REF!</v>
      </c>
      <c r="BV54" t="e">
        <f>AND(ConsolidatedEventList!#REF!,"AAAAAG8v8Uk=")</f>
        <v>#REF!</v>
      </c>
      <c r="BW54" t="e">
        <f>AND(ConsolidatedEventList!#REF!,"AAAAAG8v8Uo=")</f>
        <v>#REF!</v>
      </c>
      <c r="BX54" t="e">
        <f>AND(ConsolidatedEventList!#REF!,"AAAAAG8v8Us=")</f>
        <v>#REF!</v>
      </c>
      <c r="BY54" t="e">
        <f>AND(ConsolidatedEventList!#REF!,"AAAAAG8v8Uw=")</f>
        <v>#REF!</v>
      </c>
      <c r="BZ54" t="e">
        <f>IF(ConsolidatedEventList!#REF!,"AAAAAG8v8U0=",0)</f>
        <v>#REF!</v>
      </c>
      <c r="CA54" t="e">
        <f>AND(ConsolidatedEventList!#REF!,"AAAAAG8v8U4=")</f>
        <v>#REF!</v>
      </c>
      <c r="CB54" t="e">
        <f>AND(ConsolidatedEventList!#REF!,"AAAAAG8v8U8=")</f>
        <v>#REF!</v>
      </c>
      <c r="CC54" t="e">
        <f>AND(ConsolidatedEventList!#REF!,"AAAAAG8v8VA=")</f>
        <v>#REF!</v>
      </c>
      <c r="CD54" t="e">
        <f>AND(ConsolidatedEventList!#REF!,"AAAAAG8v8VE=")</f>
        <v>#REF!</v>
      </c>
      <c r="CE54" t="e">
        <f>AND(ConsolidatedEventList!#REF!,"AAAAAG8v8VI=")</f>
        <v>#REF!</v>
      </c>
      <c r="CF54" t="e">
        <f>AND(ConsolidatedEventList!#REF!,"AAAAAG8v8VM=")</f>
        <v>#REF!</v>
      </c>
      <c r="CG54" t="e">
        <f>AND(ConsolidatedEventList!#REF!,"AAAAAG8v8VQ=")</f>
        <v>#REF!</v>
      </c>
      <c r="CH54" t="e">
        <f>AND(ConsolidatedEventList!#REF!,"AAAAAG8v8VU=")</f>
        <v>#REF!</v>
      </c>
      <c r="CI54">
        <f>IF(ConsolidatedEventList!113:113,"AAAAAG8v8VY=",0)</f>
        <v>0</v>
      </c>
      <c r="CJ54" t="e">
        <f>AND(ConsolidatedEventList!A113,"AAAAAG8v8Vc=")</f>
        <v>#VALUE!</v>
      </c>
      <c r="CK54" t="e">
        <f>AND(ConsolidatedEventList!B113,"AAAAAG8v8Vg=")</f>
        <v>#VALUE!</v>
      </c>
      <c r="CL54" t="e">
        <f>AND(ConsolidatedEventList!C113,"AAAAAG8v8Vk=")</f>
        <v>#VALUE!</v>
      </c>
      <c r="CM54" t="e">
        <f>AND(ConsolidatedEventList!D113,"AAAAAG8v8Vo=")</f>
        <v>#VALUE!</v>
      </c>
      <c r="CN54" t="e">
        <f>AND(ConsolidatedEventList!E113,"AAAAAG8v8Vs=")</f>
        <v>#VALUE!</v>
      </c>
      <c r="CO54" t="e">
        <f>AND(ConsolidatedEventList!F113,"AAAAAG8v8Vw=")</f>
        <v>#VALUE!</v>
      </c>
      <c r="CP54" t="e">
        <f>AND(ConsolidatedEventList!G113,"AAAAAG8v8V0=")</f>
        <v>#VALUE!</v>
      </c>
      <c r="CQ54" t="e">
        <f>AND(ConsolidatedEventList!H113,"AAAAAG8v8V4=")</f>
        <v>#VALUE!</v>
      </c>
      <c r="CR54">
        <f>IF(ConsolidatedEventList!114:114,"AAAAAG8v8V8=",0)</f>
        <v>0</v>
      </c>
      <c r="CS54" t="e">
        <f>AND(ConsolidatedEventList!A114,"AAAAAG8v8WA=")</f>
        <v>#VALUE!</v>
      </c>
      <c r="CT54" t="e">
        <f>AND(ConsolidatedEventList!B114,"AAAAAG8v8WE=")</f>
        <v>#VALUE!</v>
      </c>
      <c r="CU54" t="e">
        <f>AND(ConsolidatedEventList!C114,"AAAAAG8v8WI=")</f>
        <v>#VALUE!</v>
      </c>
      <c r="CV54" t="e">
        <f>AND(ConsolidatedEventList!D114,"AAAAAG8v8WM=")</f>
        <v>#VALUE!</v>
      </c>
      <c r="CW54" t="e">
        <f>AND(ConsolidatedEventList!E114,"AAAAAG8v8WQ=")</f>
        <v>#VALUE!</v>
      </c>
      <c r="CX54" t="e">
        <f>AND(ConsolidatedEventList!F114,"AAAAAG8v8WU=")</f>
        <v>#VALUE!</v>
      </c>
      <c r="CY54" t="e">
        <f>AND(ConsolidatedEventList!G114,"AAAAAG8v8WY=")</f>
        <v>#VALUE!</v>
      </c>
      <c r="CZ54" t="e">
        <f>AND(ConsolidatedEventList!H114,"AAAAAG8v8Wc=")</f>
        <v>#VALUE!</v>
      </c>
      <c r="DA54">
        <f>IF(ConsolidatedEventList!115:115,"AAAAAG8v8Wg=",0)</f>
        <v>0</v>
      </c>
      <c r="DB54" t="e">
        <f>AND(ConsolidatedEventList!A115,"AAAAAG8v8Wk=")</f>
        <v>#VALUE!</v>
      </c>
      <c r="DC54" t="e">
        <f>AND(ConsolidatedEventList!B115,"AAAAAG8v8Wo=")</f>
        <v>#VALUE!</v>
      </c>
      <c r="DD54" t="e">
        <f>AND(ConsolidatedEventList!C115,"AAAAAG8v8Ws=")</f>
        <v>#VALUE!</v>
      </c>
      <c r="DE54" t="e">
        <f>AND(ConsolidatedEventList!D115,"AAAAAG8v8Ww=")</f>
        <v>#VALUE!</v>
      </c>
      <c r="DF54" t="e">
        <f>AND(ConsolidatedEventList!E115,"AAAAAG8v8W0=")</f>
        <v>#VALUE!</v>
      </c>
      <c r="DG54" t="e">
        <f>AND(ConsolidatedEventList!F115,"AAAAAG8v8W4=")</f>
        <v>#VALUE!</v>
      </c>
      <c r="DH54" t="e">
        <f>AND(ConsolidatedEventList!G115,"AAAAAG8v8W8=")</f>
        <v>#VALUE!</v>
      </c>
      <c r="DI54" t="e">
        <f>AND(ConsolidatedEventList!H115,"AAAAAG8v8XA=")</f>
        <v>#VALUE!</v>
      </c>
      <c r="DJ54">
        <f>IF(ConsolidatedEventList!116:116,"AAAAAG8v8XE=",0)</f>
        <v>0</v>
      </c>
      <c r="DK54" t="e">
        <f>AND(ConsolidatedEventList!A116,"AAAAAG8v8XI=")</f>
        <v>#VALUE!</v>
      </c>
      <c r="DL54" t="e">
        <f>AND(ConsolidatedEventList!B116,"AAAAAG8v8XM=")</f>
        <v>#VALUE!</v>
      </c>
      <c r="DM54" t="e">
        <f>AND(ConsolidatedEventList!C116,"AAAAAG8v8XQ=")</f>
        <v>#VALUE!</v>
      </c>
      <c r="DN54" t="e">
        <f>AND(ConsolidatedEventList!D116,"AAAAAG8v8XU=")</f>
        <v>#VALUE!</v>
      </c>
      <c r="DO54" t="e">
        <f>AND(ConsolidatedEventList!E116,"AAAAAG8v8XY=")</f>
        <v>#VALUE!</v>
      </c>
      <c r="DP54" t="e">
        <f>AND(ConsolidatedEventList!F116,"AAAAAG8v8Xc=")</f>
        <v>#VALUE!</v>
      </c>
      <c r="DQ54" t="e">
        <f>AND(ConsolidatedEventList!G116,"AAAAAG8v8Xg=")</f>
        <v>#VALUE!</v>
      </c>
      <c r="DR54" t="e">
        <f>AND(ConsolidatedEventList!H116,"AAAAAG8v8Xk=")</f>
        <v>#VALUE!</v>
      </c>
      <c r="DS54">
        <f>IF(ConsolidatedEventList!117:117,"AAAAAG8v8Xo=",0)</f>
        <v>0</v>
      </c>
      <c r="DT54" t="e">
        <f>AND(ConsolidatedEventList!A117,"AAAAAG8v8Xs=")</f>
        <v>#VALUE!</v>
      </c>
      <c r="DU54" t="e">
        <f>AND(ConsolidatedEventList!B117,"AAAAAG8v8Xw=")</f>
        <v>#VALUE!</v>
      </c>
      <c r="DV54" t="e">
        <f>AND(ConsolidatedEventList!C117,"AAAAAG8v8X0=")</f>
        <v>#VALUE!</v>
      </c>
      <c r="DW54" t="e">
        <f>AND(ConsolidatedEventList!D117,"AAAAAG8v8X4=")</f>
        <v>#VALUE!</v>
      </c>
      <c r="DX54" t="e">
        <f>AND(ConsolidatedEventList!E117,"AAAAAG8v8X8=")</f>
        <v>#VALUE!</v>
      </c>
      <c r="DY54" t="e">
        <f>AND(ConsolidatedEventList!F117,"AAAAAG8v8YA=")</f>
        <v>#VALUE!</v>
      </c>
      <c r="DZ54" t="e">
        <f>AND(ConsolidatedEventList!G117,"AAAAAG8v8YE=")</f>
        <v>#VALUE!</v>
      </c>
      <c r="EA54" t="e">
        <f>AND(ConsolidatedEventList!H117,"AAAAAG8v8YI=")</f>
        <v>#VALUE!</v>
      </c>
      <c r="EB54">
        <f>IF(ConsolidatedEventList!118:118,"AAAAAG8v8YM=",0)</f>
        <v>0</v>
      </c>
      <c r="EC54" t="e">
        <f>AND(ConsolidatedEventList!A118,"AAAAAG8v8YQ=")</f>
        <v>#VALUE!</v>
      </c>
      <c r="ED54" t="e">
        <f>AND(ConsolidatedEventList!B118,"AAAAAG8v8YU=")</f>
        <v>#VALUE!</v>
      </c>
      <c r="EE54" t="e">
        <f>AND(ConsolidatedEventList!C118,"AAAAAG8v8YY=")</f>
        <v>#VALUE!</v>
      </c>
      <c r="EF54" t="e">
        <f>AND(ConsolidatedEventList!D118,"AAAAAG8v8Yc=")</f>
        <v>#VALUE!</v>
      </c>
      <c r="EG54" t="e">
        <f>AND(ConsolidatedEventList!E118,"AAAAAG8v8Yg=")</f>
        <v>#VALUE!</v>
      </c>
      <c r="EH54" t="e">
        <f>AND(ConsolidatedEventList!F118,"AAAAAG8v8Yk=")</f>
        <v>#VALUE!</v>
      </c>
      <c r="EI54" t="e">
        <f>AND(ConsolidatedEventList!G118,"AAAAAG8v8Yo=")</f>
        <v>#VALUE!</v>
      </c>
      <c r="EJ54" t="e">
        <f>AND(ConsolidatedEventList!H118,"AAAAAG8v8Ys=")</f>
        <v>#VALUE!</v>
      </c>
      <c r="EK54">
        <f>IF(ConsolidatedEventList!119:119,"AAAAAG8v8Yw=",0)</f>
        <v>0</v>
      </c>
      <c r="EL54" t="e">
        <f>AND(ConsolidatedEventList!A119,"AAAAAG8v8Y0=")</f>
        <v>#VALUE!</v>
      </c>
      <c r="EM54" t="e">
        <f>AND(ConsolidatedEventList!B119,"AAAAAG8v8Y4=")</f>
        <v>#VALUE!</v>
      </c>
      <c r="EN54" t="e">
        <f>AND(ConsolidatedEventList!C119,"AAAAAG8v8Y8=")</f>
        <v>#VALUE!</v>
      </c>
      <c r="EO54" t="e">
        <f>AND(ConsolidatedEventList!D119,"AAAAAG8v8ZA=")</f>
        <v>#VALUE!</v>
      </c>
      <c r="EP54" t="e">
        <f>AND(ConsolidatedEventList!E119,"AAAAAG8v8ZE=")</f>
        <v>#VALUE!</v>
      </c>
      <c r="EQ54" t="e">
        <f>AND(ConsolidatedEventList!F119,"AAAAAG8v8ZI=")</f>
        <v>#VALUE!</v>
      </c>
      <c r="ER54" t="e">
        <f>AND(ConsolidatedEventList!G119,"AAAAAG8v8ZM=")</f>
        <v>#VALUE!</v>
      </c>
      <c r="ES54" t="e">
        <f>AND(ConsolidatedEventList!H119,"AAAAAG8v8ZQ=")</f>
        <v>#VALUE!</v>
      </c>
      <c r="ET54">
        <f>IF(ConsolidatedEventList!120:120,"AAAAAG8v8ZU=",0)</f>
        <v>0</v>
      </c>
      <c r="EU54" t="e">
        <f>AND(ConsolidatedEventList!A120,"AAAAAG8v8ZY=")</f>
        <v>#VALUE!</v>
      </c>
      <c r="EV54" t="e">
        <f>AND(ConsolidatedEventList!B120,"AAAAAG8v8Zc=")</f>
        <v>#VALUE!</v>
      </c>
      <c r="EW54" t="e">
        <f>AND(ConsolidatedEventList!C120,"AAAAAG8v8Zg=")</f>
        <v>#VALUE!</v>
      </c>
      <c r="EX54" t="e">
        <f>AND(ConsolidatedEventList!D120,"AAAAAG8v8Zk=")</f>
        <v>#VALUE!</v>
      </c>
      <c r="EY54" t="e">
        <f>AND(ConsolidatedEventList!E120,"AAAAAG8v8Zo=")</f>
        <v>#VALUE!</v>
      </c>
      <c r="EZ54" t="e">
        <f>AND(ConsolidatedEventList!F120,"AAAAAG8v8Zs=")</f>
        <v>#VALUE!</v>
      </c>
      <c r="FA54" t="e">
        <f>AND(ConsolidatedEventList!G120,"AAAAAG8v8Zw=")</f>
        <v>#VALUE!</v>
      </c>
      <c r="FB54" t="e">
        <f>AND(ConsolidatedEventList!H120,"AAAAAG8v8Z0=")</f>
        <v>#VALUE!</v>
      </c>
      <c r="FC54">
        <f>IF(ConsolidatedEventList!121:121,"AAAAAG8v8Z4=",0)</f>
        <v>0</v>
      </c>
      <c r="FD54" t="e">
        <f>AND(ConsolidatedEventList!A121,"AAAAAG8v8Z8=")</f>
        <v>#VALUE!</v>
      </c>
      <c r="FE54" t="e">
        <f>AND(ConsolidatedEventList!B121,"AAAAAG8v8aA=")</f>
        <v>#VALUE!</v>
      </c>
      <c r="FF54" t="e">
        <f>AND(ConsolidatedEventList!C121,"AAAAAG8v8aE=")</f>
        <v>#VALUE!</v>
      </c>
      <c r="FG54" t="e">
        <f>AND(ConsolidatedEventList!D121,"AAAAAG8v8aI=")</f>
        <v>#VALUE!</v>
      </c>
      <c r="FH54" t="e">
        <f>AND(ConsolidatedEventList!E121,"AAAAAG8v8aM=")</f>
        <v>#VALUE!</v>
      </c>
      <c r="FI54" t="e">
        <f>AND(ConsolidatedEventList!F121,"AAAAAG8v8aQ=")</f>
        <v>#VALUE!</v>
      </c>
      <c r="FJ54" t="e">
        <f>AND(ConsolidatedEventList!G121,"AAAAAG8v8aU=")</f>
        <v>#VALUE!</v>
      </c>
      <c r="FK54" t="e">
        <f>AND(ConsolidatedEventList!H121,"AAAAAG8v8aY=")</f>
        <v>#VALUE!</v>
      </c>
      <c r="FL54">
        <f>IF(ConsolidatedEventList!122:122,"AAAAAG8v8ac=",0)</f>
        <v>0</v>
      </c>
      <c r="FM54" t="e">
        <f>AND(ConsolidatedEventList!A122,"AAAAAG8v8ag=")</f>
        <v>#VALUE!</v>
      </c>
      <c r="FN54" t="e">
        <f>AND(ConsolidatedEventList!B122,"AAAAAG8v8ak=")</f>
        <v>#VALUE!</v>
      </c>
      <c r="FO54" t="e">
        <f>AND(ConsolidatedEventList!C122,"AAAAAG8v8ao=")</f>
        <v>#VALUE!</v>
      </c>
      <c r="FP54" t="e">
        <f>AND(ConsolidatedEventList!D122,"AAAAAG8v8as=")</f>
        <v>#VALUE!</v>
      </c>
      <c r="FQ54" t="e">
        <f>AND(ConsolidatedEventList!E122,"AAAAAG8v8aw=")</f>
        <v>#VALUE!</v>
      </c>
      <c r="FR54" t="e">
        <f>AND(ConsolidatedEventList!F122,"AAAAAG8v8a0=")</f>
        <v>#VALUE!</v>
      </c>
      <c r="FS54" t="e">
        <f>AND(ConsolidatedEventList!G122,"AAAAAG8v8a4=")</f>
        <v>#VALUE!</v>
      </c>
      <c r="FT54" t="e">
        <f>AND(ConsolidatedEventList!H122,"AAAAAG8v8a8=")</f>
        <v>#VALUE!</v>
      </c>
      <c r="FU54">
        <f>IF(ConsolidatedEventList!123:123,"AAAAAG8v8bA=",0)</f>
        <v>0</v>
      </c>
      <c r="FV54" t="e">
        <f>AND(ConsolidatedEventList!A123,"AAAAAG8v8bE=")</f>
        <v>#VALUE!</v>
      </c>
      <c r="FW54" t="e">
        <f>AND(ConsolidatedEventList!B123,"AAAAAG8v8bI=")</f>
        <v>#VALUE!</v>
      </c>
      <c r="FX54" t="e">
        <f>AND(ConsolidatedEventList!C123,"AAAAAG8v8bM=")</f>
        <v>#VALUE!</v>
      </c>
      <c r="FY54" t="e">
        <f>AND(ConsolidatedEventList!D123,"AAAAAG8v8bQ=")</f>
        <v>#VALUE!</v>
      </c>
      <c r="FZ54" t="e">
        <f>AND(ConsolidatedEventList!E123,"AAAAAG8v8bU=")</f>
        <v>#VALUE!</v>
      </c>
      <c r="GA54" t="e">
        <f>AND(ConsolidatedEventList!F123,"AAAAAG8v8bY=")</f>
        <v>#VALUE!</v>
      </c>
      <c r="GB54" t="e">
        <f>AND(ConsolidatedEventList!G123,"AAAAAG8v8bc=")</f>
        <v>#VALUE!</v>
      </c>
      <c r="GC54" t="e">
        <f>AND(ConsolidatedEventList!H123,"AAAAAG8v8bg=")</f>
        <v>#VALUE!</v>
      </c>
      <c r="GD54">
        <f>IF(ConsolidatedEventList!124:124,"AAAAAG8v8bk=",0)</f>
        <v>0</v>
      </c>
      <c r="GE54" t="e">
        <f>AND(ConsolidatedEventList!A124,"AAAAAG8v8bo=")</f>
        <v>#VALUE!</v>
      </c>
      <c r="GF54" t="e">
        <f>AND(ConsolidatedEventList!B124,"AAAAAG8v8bs=")</f>
        <v>#VALUE!</v>
      </c>
      <c r="GG54" t="e">
        <f>AND(ConsolidatedEventList!C124,"AAAAAG8v8bw=")</f>
        <v>#VALUE!</v>
      </c>
      <c r="GH54" t="e">
        <f>AND(ConsolidatedEventList!D124,"AAAAAG8v8b0=")</f>
        <v>#VALUE!</v>
      </c>
      <c r="GI54" t="e">
        <f>AND(ConsolidatedEventList!E124,"AAAAAG8v8b4=")</f>
        <v>#VALUE!</v>
      </c>
      <c r="GJ54" t="e">
        <f>AND(ConsolidatedEventList!F124,"AAAAAG8v8b8=")</f>
        <v>#VALUE!</v>
      </c>
      <c r="GK54" t="e">
        <f>AND(ConsolidatedEventList!G124,"AAAAAG8v8cA=")</f>
        <v>#VALUE!</v>
      </c>
      <c r="GL54" t="e">
        <f>AND(ConsolidatedEventList!H124,"AAAAAG8v8cE=")</f>
        <v>#VALUE!</v>
      </c>
      <c r="GM54">
        <f>IF(ConsolidatedEventList!125:125,"AAAAAG8v8cI=",0)</f>
        <v>0</v>
      </c>
      <c r="GN54" t="e">
        <f>AND(ConsolidatedEventList!A125,"AAAAAG8v8cM=")</f>
        <v>#VALUE!</v>
      </c>
      <c r="GO54" t="e">
        <f>AND(ConsolidatedEventList!B125,"AAAAAG8v8cQ=")</f>
        <v>#VALUE!</v>
      </c>
      <c r="GP54" t="e">
        <f>AND(ConsolidatedEventList!C125,"AAAAAG8v8cU=")</f>
        <v>#VALUE!</v>
      </c>
      <c r="GQ54" t="e">
        <f>AND(ConsolidatedEventList!D125,"AAAAAG8v8cY=")</f>
        <v>#VALUE!</v>
      </c>
      <c r="GR54" t="e">
        <f>AND(ConsolidatedEventList!E125,"AAAAAG8v8cc=")</f>
        <v>#VALUE!</v>
      </c>
      <c r="GS54" t="e">
        <f>AND(ConsolidatedEventList!F125,"AAAAAG8v8cg=")</f>
        <v>#VALUE!</v>
      </c>
      <c r="GT54" t="e">
        <f>AND(ConsolidatedEventList!G125,"AAAAAG8v8ck=")</f>
        <v>#VALUE!</v>
      </c>
      <c r="GU54" t="e">
        <f>AND(ConsolidatedEventList!H125,"AAAAAG8v8co=")</f>
        <v>#VALUE!</v>
      </c>
      <c r="GV54">
        <f>IF(ConsolidatedEventList!126:126,"AAAAAG8v8cs=",0)</f>
        <v>0</v>
      </c>
      <c r="GW54" t="e">
        <f>AND(ConsolidatedEventList!A126,"AAAAAG8v8cw=")</f>
        <v>#VALUE!</v>
      </c>
      <c r="GX54" t="e">
        <f>AND(ConsolidatedEventList!B126,"AAAAAG8v8c0=")</f>
        <v>#VALUE!</v>
      </c>
      <c r="GY54" t="e">
        <f>AND(ConsolidatedEventList!C126,"AAAAAG8v8c4=")</f>
        <v>#VALUE!</v>
      </c>
      <c r="GZ54" t="e">
        <f>AND(ConsolidatedEventList!D126,"AAAAAG8v8c8=")</f>
        <v>#VALUE!</v>
      </c>
      <c r="HA54" t="e">
        <f>AND(ConsolidatedEventList!E126,"AAAAAG8v8dA=")</f>
        <v>#VALUE!</v>
      </c>
      <c r="HB54" t="e">
        <f>AND(ConsolidatedEventList!F126,"AAAAAG8v8dE=")</f>
        <v>#VALUE!</v>
      </c>
      <c r="HC54" t="e">
        <f>AND(ConsolidatedEventList!G126,"AAAAAG8v8dI=")</f>
        <v>#VALUE!</v>
      </c>
      <c r="HD54" t="e">
        <f>AND(ConsolidatedEventList!H126,"AAAAAG8v8dM=")</f>
        <v>#VALUE!</v>
      </c>
      <c r="HE54">
        <f>IF(ConsolidatedEventList!127:127,"AAAAAG8v8dQ=",0)</f>
        <v>0</v>
      </c>
      <c r="HF54" t="e">
        <f>AND(ConsolidatedEventList!A127,"AAAAAG8v8dU=")</f>
        <v>#VALUE!</v>
      </c>
      <c r="HG54" t="e">
        <f>AND(ConsolidatedEventList!B127,"AAAAAG8v8dY=")</f>
        <v>#VALUE!</v>
      </c>
      <c r="HH54" t="e">
        <f>AND(ConsolidatedEventList!C127,"AAAAAG8v8dc=")</f>
        <v>#VALUE!</v>
      </c>
      <c r="HI54" t="e">
        <f>AND(ConsolidatedEventList!D127,"AAAAAG8v8dg=")</f>
        <v>#VALUE!</v>
      </c>
      <c r="HJ54" t="e">
        <f>AND(ConsolidatedEventList!E127,"AAAAAG8v8dk=")</f>
        <v>#VALUE!</v>
      </c>
      <c r="HK54" t="e">
        <f>AND(ConsolidatedEventList!F127,"AAAAAG8v8do=")</f>
        <v>#VALUE!</v>
      </c>
      <c r="HL54" t="e">
        <f>AND(ConsolidatedEventList!G127,"AAAAAG8v8ds=")</f>
        <v>#VALUE!</v>
      </c>
      <c r="HM54" t="e">
        <f>AND(ConsolidatedEventList!H127,"AAAAAG8v8dw=")</f>
        <v>#VALUE!</v>
      </c>
      <c r="HN54">
        <f>IF(ConsolidatedEventList!128:128,"AAAAAG8v8d0=",0)</f>
        <v>0</v>
      </c>
      <c r="HO54" t="e">
        <f>AND(ConsolidatedEventList!A128,"AAAAAG8v8d4=")</f>
        <v>#VALUE!</v>
      </c>
      <c r="HP54" t="e">
        <f>AND(ConsolidatedEventList!B128,"AAAAAG8v8d8=")</f>
        <v>#VALUE!</v>
      </c>
      <c r="HQ54" t="e">
        <f>AND(ConsolidatedEventList!C128,"AAAAAG8v8eA=")</f>
        <v>#VALUE!</v>
      </c>
      <c r="HR54" t="e">
        <f>AND(ConsolidatedEventList!D128,"AAAAAG8v8eE=")</f>
        <v>#VALUE!</v>
      </c>
      <c r="HS54" t="e">
        <f>AND(ConsolidatedEventList!E128,"AAAAAG8v8eI=")</f>
        <v>#VALUE!</v>
      </c>
      <c r="HT54" t="e">
        <f>AND(ConsolidatedEventList!F128,"AAAAAG8v8eM=")</f>
        <v>#VALUE!</v>
      </c>
      <c r="HU54" t="e">
        <f>AND(ConsolidatedEventList!G128,"AAAAAG8v8eQ=")</f>
        <v>#VALUE!</v>
      </c>
      <c r="HV54" t="e">
        <f>AND(ConsolidatedEventList!H128,"AAAAAG8v8eU=")</f>
        <v>#VALUE!</v>
      </c>
      <c r="HW54">
        <f>IF(ConsolidatedEventList!129:129,"AAAAAG8v8eY=",0)</f>
        <v>0</v>
      </c>
      <c r="HX54" t="e">
        <f>AND(ConsolidatedEventList!A129,"AAAAAG8v8ec=")</f>
        <v>#VALUE!</v>
      </c>
      <c r="HY54" t="e">
        <f>AND(ConsolidatedEventList!B129,"AAAAAG8v8eg=")</f>
        <v>#VALUE!</v>
      </c>
      <c r="HZ54" t="e">
        <f>AND(ConsolidatedEventList!C129,"AAAAAG8v8ek=")</f>
        <v>#VALUE!</v>
      </c>
      <c r="IA54" t="e">
        <f>AND(ConsolidatedEventList!D129,"AAAAAG8v8eo=")</f>
        <v>#VALUE!</v>
      </c>
      <c r="IB54" t="e">
        <f>AND(ConsolidatedEventList!E129,"AAAAAG8v8es=")</f>
        <v>#VALUE!</v>
      </c>
      <c r="IC54" t="e">
        <f>AND(ConsolidatedEventList!F129,"AAAAAG8v8ew=")</f>
        <v>#VALUE!</v>
      </c>
      <c r="ID54" t="e">
        <f>AND(ConsolidatedEventList!G129,"AAAAAG8v8e0=")</f>
        <v>#VALUE!</v>
      </c>
      <c r="IE54" t="e">
        <f>AND(ConsolidatedEventList!H129,"AAAAAG8v8e4=")</f>
        <v>#VALUE!</v>
      </c>
      <c r="IF54">
        <f>IF(ConsolidatedEventList!130:130,"AAAAAG8v8e8=",0)</f>
        <v>0</v>
      </c>
      <c r="IG54" t="e">
        <f>AND(ConsolidatedEventList!A130,"AAAAAG8v8fA=")</f>
        <v>#VALUE!</v>
      </c>
      <c r="IH54" t="e">
        <f>AND(ConsolidatedEventList!B130,"AAAAAG8v8fE=")</f>
        <v>#VALUE!</v>
      </c>
      <c r="II54" t="e">
        <f>AND(ConsolidatedEventList!C130,"AAAAAG8v8fI=")</f>
        <v>#VALUE!</v>
      </c>
      <c r="IJ54" t="e">
        <f>AND(ConsolidatedEventList!D130,"AAAAAG8v8fM=")</f>
        <v>#VALUE!</v>
      </c>
      <c r="IK54" t="e">
        <f>AND(ConsolidatedEventList!E130,"AAAAAG8v8fQ=")</f>
        <v>#VALUE!</v>
      </c>
      <c r="IL54" t="e">
        <f>AND(ConsolidatedEventList!F130,"AAAAAG8v8fU=")</f>
        <v>#VALUE!</v>
      </c>
      <c r="IM54" t="e">
        <f>AND(ConsolidatedEventList!G130,"AAAAAG8v8fY=")</f>
        <v>#VALUE!</v>
      </c>
      <c r="IN54" t="e">
        <f>AND(ConsolidatedEventList!H130,"AAAAAG8v8fc=")</f>
        <v>#VALUE!</v>
      </c>
      <c r="IO54">
        <f>IF(ConsolidatedEventList!131:131,"AAAAAG8v8fg=",0)</f>
        <v>0</v>
      </c>
      <c r="IP54" t="e">
        <f>AND(ConsolidatedEventList!A131,"AAAAAG8v8fk=")</f>
        <v>#VALUE!</v>
      </c>
      <c r="IQ54" t="e">
        <f>AND(ConsolidatedEventList!B131,"AAAAAG8v8fo=")</f>
        <v>#VALUE!</v>
      </c>
      <c r="IR54" t="e">
        <f>AND(ConsolidatedEventList!C131,"AAAAAG8v8fs=")</f>
        <v>#VALUE!</v>
      </c>
      <c r="IS54" t="e">
        <f>AND(ConsolidatedEventList!D131,"AAAAAG8v8fw=")</f>
        <v>#VALUE!</v>
      </c>
      <c r="IT54" t="e">
        <f>AND(ConsolidatedEventList!E131,"AAAAAG8v8f0=")</f>
        <v>#VALUE!</v>
      </c>
      <c r="IU54" t="e">
        <f>AND(ConsolidatedEventList!F131,"AAAAAG8v8f4=")</f>
        <v>#VALUE!</v>
      </c>
      <c r="IV54" t="e">
        <f>AND(ConsolidatedEventList!G131,"AAAAAG8v8f8=")</f>
        <v>#VALUE!</v>
      </c>
    </row>
    <row r="55" spans="1:256" x14ac:dyDescent="0.25">
      <c r="A55" t="e">
        <f>AND(ConsolidatedEventList!H131,"AAAAAH//7gA=")</f>
        <v>#VALUE!</v>
      </c>
      <c r="B55" t="str">
        <f>IF(ConsolidatedEventList!132:132,"AAAAAH//7gE=",0)</f>
        <v>AAAAAH//7gE=</v>
      </c>
      <c r="C55" t="e">
        <f>AND(ConsolidatedEventList!A132,"AAAAAH//7gI=")</f>
        <v>#VALUE!</v>
      </c>
      <c r="D55" t="e">
        <f>AND(ConsolidatedEventList!B132,"AAAAAH//7gM=")</f>
        <v>#VALUE!</v>
      </c>
      <c r="E55" t="e">
        <f>AND(ConsolidatedEventList!C132,"AAAAAH//7gQ=")</f>
        <v>#VALUE!</v>
      </c>
      <c r="F55" t="e">
        <f>AND(ConsolidatedEventList!D132,"AAAAAH//7gU=")</f>
        <v>#VALUE!</v>
      </c>
      <c r="G55" t="e">
        <f>AND(ConsolidatedEventList!E132,"AAAAAH//7gY=")</f>
        <v>#VALUE!</v>
      </c>
      <c r="H55" t="e">
        <f>AND(ConsolidatedEventList!F132,"AAAAAH//7gc=")</f>
        <v>#VALUE!</v>
      </c>
      <c r="I55" t="e">
        <f>AND(ConsolidatedEventList!G132,"AAAAAH//7gg=")</f>
        <v>#VALUE!</v>
      </c>
      <c r="J55" t="e">
        <f>AND(ConsolidatedEventList!H132,"AAAAAH//7gk=")</f>
        <v>#VALUE!</v>
      </c>
      <c r="K55">
        <f>IF(ConsolidatedEventList!133:133,"AAAAAH//7go=",0)</f>
        <v>0</v>
      </c>
      <c r="L55" t="e">
        <f>AND(ConsolidatedEventList!A133,"AAAAAH//7gs=")</f>
        <v>#VALUE!</v>
      </c>
      <c r="M55" t="e">
        <f>AND(ConsolidatedEventList!B133,"AAAAAH//7gw=")</f>
        <v>#VALUE!</v>
      </c>
      <c r="N55" t="e">
        <f>AND(ConsolidatedEventList!C133,"AAAAAH//7g0=")</f>
        <v>#VALUE!</v>
      </c>
      <c r="O55" t="e">
        <f>AND(ConsolidatedEventList!D133,"AAAAAH//7g4=")</f>
        <v>#VALUE!</v>
      </c>
      <c r="P55" t="e">
        <f>AND(ConsolidatedEventList!E133,"AAAAAH//7g8=")</f>
        <v>#VALUE!</v>
      </c>
      <c r="Q55" t="e">
        <f>AND(ConsolidatedEventList!F133,"AAAAAH//7hA=")</f>
        <v>#VALUE!</v>
      </c>
      <c r="R55" t="e">
        <f>AND(ConsolidatedEventList!G133,"AAAAAH//7hE=")</f>
        <v>#VALUE!</v>
      </c>
      <c r="S55" t="e">
        <f>AND(ConsolidatedEventList!H133,"AAAAAH//7hI=")</f>
        <v>#VALUE!</v>
      </c>
      <c r="T55">
        <f>IF(ConsolidatedEventList!134:134,"AAAAAH//7hM=",0)</f>
        <v>0</v>
      </c>
      <c r="U55" t="e">
        <f>AND(ConsolidatedEventList!A134,"AAAAAH//7hQ=")</f>
        <v>#VALUE!</v>
      </c>
      <c r="V55" t="e">
        <f>AND(ConsolidatedEventList!B134,"AAAAAH//7hU=")</f>
        <v>#VALUE!</v>
      </c>
      <c r="W55" t="e">
        <f>AND(ConsolidatedEventList!C134,"AAAAAH//7hY=")</f>
        <v>#VALUE!</v>
      </c>
      <c r="X55" t="e">
        <f>AND(ConsolidatedEventList!D134,"AAAAAH//7hc=")</f>
        <v>#VALUE!</v>
      </c>
      <c r="Y55" t="e">
        <f>AND(ConsolidatedEventList!E134,"AAAAAH//7hg=")</f>
        <v>#VALUE!</v>
      </c>
      <c r="Z55" t="e">
        <f>AND(ConsolidatedEventList!F134,"AAAAAH//7hk=")</f>
        <v>#VALUE!</v>
      </c>
      <c r="AA55" t="e">
        <f>AND(ConsolidatedEventList!G134,"AAAAAH//7ho=")</f>
        <v>#VALUE!</v>
      </c>
      <c r="AB55" t="e">
        <f>AND(ConsolidatedEventList!H134,"AAAAAH//7hs=")</f>
        <v>#VALUE!</v>
      </c>
      <c r="AC55">
        <f>IF(ConsolidatedEventList!135:135,"AAAAAH//7hw=",0)</f>
        <v>0</v>
      </c>
      <c r="AD55" t="e">
        <f>AND(ConsolidatedEventList!A135,"AAAAAH//7h0=")</f>
        <v>#VALUE!</v>
      </c>
      <c r="AE55" t="e">
        <f>AND(ConsolidatedEventList!B135,"AAAAAH//7h4=")</f>
        <v>#VALUE!</v>
      </c>
      <c r="AF55" t="e">
        <f>AND(ConsolidatedEventList!C135,"AAAAAH//7h8=")</f>
        <v>#VALUE!</v>
      </c>
      <c r="AG55" t="e">
        <f>AND(ConsolidatedEventList!D135,"AAAAAH//7iA=")</f>
        <v>#VALUE!</v>
      </c>
      <c r="AH55" t="e">
        <f>AND(ConsolidatedEventList!E135,"AAAAAH//7iE=")</f>
        <v>#VALUE!</v>
      </c>
      <c r="AI55" t="e">
        <f>AND(ConsolidatedEventList!F135,"AAAAAH//7iI=")</f>
        <v>#VALUE!</v>
      </c>
      <c r="AJ55" t="e">
        <f>AND(ConsolidatedEventList!G135,"AAAAAH//7iM=")</f>
        <v>#VALUE!</v>
      </c>
      <c r="AK55" t="e">
        <f>AND(ConsolidatedEventList!H135,"AAAAAH//7iQ=")</f>
        <v>#VALUE!</v>
      </c>
      <c r="AL55">
        <f>IF(ConsolidatedEventList!136:136,"AAAAAH//7iU=",0)</f>
        <v>0</v>
      </c>
      <c r="AM55" t="e">
        <f>AND(ConsolidatedEventList!A136,"AAAAAH//7iY=")</f>
        <v>#VALUE!</v>
      </c>
      <c r="AN55" t="e">
        <f>AND(ConsolidatedEventList!B136,"AAAAAH//7ic=")</f>
        <v>#VALUE!</v>
      </c>
      <c r="AO55" t="e">
        <f>AND(ConsolidatedEventList!C136,"AAAAAH//7ig=")</f>
        <v>#VALUE!</v>
      </c>
      <c r="AP55" t="e">
        <f>AND(ConsolidatedEventList!D136,"AAAAAH//7ik=")</f>
        <v>#VALUE!</v>
      </c>
      <c r="AQ55" t="e">
        <f>AND(ConsolidatedEventList!E136,"AAAAAH//7io=")</f>
        <v>#VALUE!</v>
      </c>
      <c r="AR55" t="e">
        <f>AND(ConsolidatedEventList!F136,"AAAAAH//7is=")</f>
        <v>#VALUE!</v>
      </c>
      <c r="AS55" t="e">
        <f>AND(ConsolidatedEventList!G136,"AAAAAH//7iw=")</f>
        <v>#VALUE!</v>
      </c>
      <c r="AT55" t="e">
        <f>AND(ConsolidatedEventList!H136,"AAAAAH//7i0=")</f>
        <v>#VALUE!</v>
      </c>
      <c r="AU55">
        <f>IF(ConsolidatedEventList!137:137,"AAAAAH//7i4=",0)</f>
        <v>0</v>
      </c>
      <c r="AV55" t="e">
        <f>AND(ConsolidatedEventList!A137,"AAAAAH//7i8=")</f>
        <v>#VALUE!</v>
      </c>
      <c r="AW55" t="e">
        <f>AND(ConsolidatedEventList!B137,"AAAAAH//7jA=")</f>
        <v>#VALUE!</v>
      </c>
      <c r="AX55" t="e">
        <f>AND(ConsolidatedEventList!C137,"AAAAAH//7jE=")</f>
        <v>#VALUE!</v>
      </c>
      <c r="AY55" t="e">
        <f>AND(ConsolidatedEventList!D137,"AAAAAH//7jI=")</f>
        <v>#VALUE!</v>
      </c>
      <c r="AZ55" t="e">
        <f>AND(ConsolidatedEventList!E137,"AAAAAH//7jM=")</f>
        <v>#VALUE!</v>
      </c>
      <c r="BA55" t="e">
        <f>AND(ConsolidatedEventList!F137,"AAAAAH//7jQ=")</f>
        <v>#VALUE!</v>
      </c>
      <c r="BB55" t="e">
        <f>AND(ConsolidatedEventList!G137,"AAAAAH//7jU=")</f>
        <v>#VALUE!</v>
      </c>
      <c r="BC55" t="e">
        <f>AND(ConsolidatedEventList!H137,"AAAAAH//7jY=")</f>
        <v>#VALUE!</v>
      </c>
      <c r="BD55" t="e">
        <f>IF(ConsolidatedEventList!#REF!,"AAAAAH//7jc=",0)</f>
        <v>#REF!</v>
      </c>
      <c r="BE55" t="e">
        <f>AND(ConsolidatedEventList!#REF!,"AAAAAH//7jg=")</f>
        <v>#REF!</v>
      </c>
      <c r="BF55" t="e">
        <f>AND(ConsolidatedEventList!#REF!,"AAAAAH//7jk=")</f>
        <v>#REF!</v>
      </c>
      <c r="BG55" t="e">
        <f>AND(ConsolidatedEventList!#REF!,"AAAAAH//7jo=")</f>
        <v>#REF!</v>
      </c>
      <c r="BH55" t="e">
        <f>AND(ConsolidatedEventList!#REF!,"AAAAAH//7js=")</f>
        <v>#REF!</v>
      </c>
      <c r="BI55" t="e">
        <f>AND(ConsolidatedEventList!#REF!,"AAAAAH//7jw=")</f>
        <v>#REF!</v>
      </c>
      <c r="BJ55" t="e">
        <f>AND(ConsolidatedEventList!#REF!,"AAAAAH//7j0=")</f>
        <v>#REF!</v>
      </c>
      <c r="BK55" t="e">
        <f>AND(ConsolidatedEventList!#REF!,"AAAAAH//7j4=")</f>
        <v>#REF!</v>
      </c>
      <c r="BL55" t="e">
        <f>AND(ConsolidatedEventList!#REF!,"AAAAAH//7j8=")</f>
        <v>#REF!</v>
      </c>
      <c r="BM55" t="e">
        <f>IF(ConsolidatedEventList!#REF!,"AAAAAH//7kA=",0)</f>
        <v>#REF!</v>
      </c>
      <c r="BN55" t="e">
        <f>AND(ConsolidatedEventList!#REF!,"AAAAAH//7kE=")</f>
        <v>#REF!</v>
      </c>
      <c r="BO55" t="e">
        <f>AND(ConsolidatedEventList!#REF!,"AAAAAH//7kI=")</f>
        <v>#REF!</v>
      </c>
      <c r="BP55" t="e">
        <f>AND(ConsolidatedEventList!#REF!,"AAAAAH//7kM=")</f>
        <v>#REF!</v>
      </c>
      <c r="BQ55" t="e">
        <f>AND(ConsolidatedEventList!#REF!,"AAAAAH//7kQ=")</f>
        <v>#REF!</v>
      </c>
      <c r="BR55" t="e">
        <f>AND(ConsolidatedEventList!#REF!,"AAAAAH//7kU=")</f>
        <v>#REF!</v>
      </c>
      <c r="BS55" t="e">
        <f>AND(ConsolidatedEventList!#REF!,"AAAAAH//7kY=")</f>
        <v>#REF!</v>
      </c>
      <c r="BT55" t="e">
        <f>AND(ConsolidatedEventList!#REF!,"AAAAAH//7kc=")</f>
        <v>#REF!</v>
      </c>
      <c r="BU55" t="e">
        <f>AND(ConsolidatedEventList!#REF!,"AAAAAH//7kg=")</f>
        <v>#REF!</v>
      </c>
      <c r="BV55">
        <f>IF(ConsolidatedEventList!138:138,"AAAAAH//7kk=",0)</f>
        <v>0</v>
      </c>
      <c r="BW55" t="e">
        <f>AND(ConsolidatedEventList!A138,"AAAAAH//7ko=")</f>
        <v>#VALUE!</v>
      </c>
      <c r="BX55" t="e">
        <f>AND(ConsolidatedEventList!B138,"AAAAAH//7ks=")</f>
        <v>#VALUE!</v>
      </c>
      <c r="BY55" t="e">
        <f>AND(ConsolidatedEventList!C138,"AAAAAH//7kw=")</f>
        <v>#VALUE!</v>
      </c>
      <c r="BZ55" t="e">
        <f>AND(ConsolidatedEventList!D138,"AAAAAH//7k0=")</f>
        <v>#VALUE!</v>
      </c>
      <c r="CA55" t="e">
        <f>AND(ConsolidatedEventList!E138,"AAAAAH//7k4=")</f>
        <v>#VALUE!</v>
      </c>
      <c r="CB55" t="e">
        <f>AND(ConsolidatedEventList!F138,"AAAAAH//7k8=")</f>
        <v>#VALUE!</v>
      </c>
      <c r="CC55" t="e">
        <f>AND(ConsolidatedEventList!G138,"AAAAAH//7lA=")</f>
        <v>#VALUE!</v>
      </c>
      <c r="CD55" t="e">
        <f>AND(ConsolidatedEventList!H138,"AAAAAH//7lE=")</f>
        <v>#VALUE!</v>
      </c>
      <c r="CE55">
        <f>IF(ConsolidatedEventList!139:139,"AAAAAH//7lI=",0)</f>
        <v>0</v>
      </c>
      <c r="CF55" t="e">
        <f>AND(ConsolidatedEventList!A139,"AAAAAH//7lM=")</f>
        <v>#VALUE!</v>
      </c>
      <c r="CG55" t="e">
        <f>AND(ConsolidatedEventList!B139,"AAAAAH//7lQ=")</f>
        <v>#VALUE!</v>
      </c>
      <c r="CH55" t="e">
        <f>AND(ConsolidatedEventList!C139,"AAAAAH//7lU=")</f>
        <v>#VALUE!</v>
      </c>
      <c r="CI55" t="e">
        <f>AND(ConsolidatedEventList!D139,"AAAAAH//7lY=")</f>
        <v>#VALUE!</v>
      </c>
      <c r="CJ55" t="e">
        <f>AND(ConsolidatedEventList!E139,"AAAAAH//7lc=")</f>
        <v>#VALUE!</v>
      </c>
      <c r="CK55" t="e">
        <f>AND(ConsolidatedEventList!F139,"AAAAAH//7lg=")</f>
        <v>#VALUE!</v>
      </c>
      <c r="CL55" t="e">
        <f>AND(ConsolidatedEventList!G139,"AAAAAH//7lk=")</f>
        <v>#VALUE!</v>
      </c>
      <c r="CM55" t="e">
        <f>AND(ConsolidatedEventList!H139,"AAAAAH//7lo=")</f>
        <v>#VALUE!</v>
      </c>
      <c r="CN55">
        <f>IF(ConsolidatedEventList!140:140,"AAAAAH//7ls=",0)</f>
        <v>0</v>
      </c>
      <c r="CO55" t="e">
        <f>AND(ConsolidatedEventList!A140,"AAAAAH//7lw=")</f>
        <v>#VALUE!</v>
      </c>
      <c r="CP55" t="e">
        <f>AND(ConsolidatedEventList!B140,"AAAAAH//7l0=")</f>
        <v>#VALUE!</v>
      </c>
      <c r="CQ55" t="e">
        <f>AND(ConsolidatedEventList!C140,"AAAAAH//7l4=")</f>
        <v>#VALUE!</v>
      </c>
      <c r="CR55" t="e">
        <f>AND(ConsolidatedEventList!D140,"AAAAAH//7l8=")</f>
        <v>#VALUE!</v>
      </c>
      <c r="CS55" t="e">
        <f>AND(ConsolidatedEventList!E140,"AAAAAH//7mA=")</f>
        <v>#VALUE!</v>
      </c>
      <c r="CT55" t="e">
        <f>AND(ConsolidatedEventList!F140,"AAAAAH//7mE=")</f>
        <v>#VALUE!</v>
      </c>
      <c r="CU55" t="e">
        <f>AND(ConsolidatedEventList!G140,"AAAAAH//7mI=")</f>
        <v>#VALUE!</v>
      </c>
      <c r="CV55" t="e">
        <f>AND(ConsolidatedEventList!H140,"AAAAAH//7mM=")</f>
        <v>#VALUE!</v>
      </c>
      <c r="CW55">
        <f>IF(ConsolidatedEventList!141:141,"AAAAAH//7mQ=",0)</f>
        <v>0</v>
      </c>
      <c r="CX55" t="e">
        <f>AND(ConsolidatedEventList!A141,"AAAAAH//7mU=")</f>
        <v>#VALUE!</v>
      </c>
      <c r="CY55" t="e">
        <f>AND(ConsolidatedEventList!B141,"AAAAAH//7mY=")</f>
        <v>#VALUE!</v>
      </c>
      <c r="CZ55" t="e">
        <f>AND(ConsolidatedEventList!C141,"AAAAAH//7mc=")</f>
        <v>#VALUE!</v>
      </c>
      <c r="DA55" t="e">
        <f>AND(ConsolidatedEventList!D141,"AAAAAH//7mg=")</f>
        <v>#VALUE!</v>
      </c>
      <c r="DB55" t="e">
        <f>AND(ConsolidatedEventList!E141,"AAAAAH//7mk=")</f>
        <v>#VALUE!</v>
      </c>
      <c r="DC55" t="e">
        <f>AND(ConsolidatedEventList!F141,"AAAAAH//7mo=")</f>
        <v>#VALUE!</v>
      </c>
      <c r="DD55" t="e">
        <f>AND(ConsolidatedEventList!G141,"AAAAAH//7ms=")</f>
        <v>#VALUE!</v>
      </c>
      <c r="DE55" t="e">
        <f>AND(ConsolidatedEventList!H141,"AAAAAH//7mw=")</f>
        <v>#VALUE!</v>
      </c>
      <c r="DF55">
        <f>IF(ConsolidatedEventList!142:142,"AAAAAH//7m0=",0)</f>
        <v>0</v>
      </c>
      <c r="DG55" t="e">
        <f>AND(ConsolidatedEventList!A142,"AAAAAH//7m4=")</f>
        <v>#VALUE!</v>
      </c>
      <c r="DH55" t="e">
        <f>AND(ConsolidatedEventList!B142,"AAAAAH//7m8=")</f>
        <v>#VALUE!</v>
      </c>
      <c r="DI55" t="e">
        <f>AND(ConsolidatedEventList!C142,"AAAAAH//7nA=")</f>
        <v>#VALUE!</v>
      </c>
      <c r="DJ55" t="e">
        <f>AND(ConsolidatedEventList!D142,"AAAAAH//7nE=")</f>
        <v>#VALUE!</v>
      </c>
      <c r="DK55" t="e">
        <f>AND(ConsolidatedEventList!E142,"AAAAAH//7nI=")</f>
        <v>#VALUE!</v>
      </c>
      <c r="DL55" t="e">
        <f>AND(ConsolidatedEventList!F142,"AAAAAH//7nM=")</f>
        <v>#VALUE!</v>
      </c>
      <c r="DM55" t="e">
        <f>AND(ConsolidatedEventList!G142,"AAAAAH//7nQ=")</f>
        <v>#VALUE!</v>
      </c>
      <c r="DN55" t="e">
        <f>AND(ConsolidatedEventList!H142,"AAAAAH//7nU=")</f>
        <v>#VALUE!</v>
      </c>
      <c r="DO55">
        <f>IF(ConsolidatedEventList!143:143,"AAAAAH//7nY=",0)</f>
        <v>0</v>
      </c>
      <c r="DP55" t="e">
        <f>AND(ConsolidatedEventList!A143,"AAAAAH//7nc=")</f>
        <v>#VALUE!</v>
      </c>
      <c r="DQ55" t="e">
        <f>AND(ConsolidatedEventList!B143,"AAAAAH//7ng=")</f>
        <v>#VALUE!</v>
      </c>
      <c r="DR55" t="e">
        <f>AND(ConsolidatedEventList!C143,"AAAAAH//7nk=")</f>
        <v>#VALUE!</v>
      </c>
      <c r="DS55" t="e">
        <f>AND(ConsolidatedEventList!D143,"AAAAAH//7no=")</f>
        <v>#VALUE!</v>
      </c>
      <c r="DT55" t="e">
        <f>AND(ConsolidatedEventList!E143,"AAAAAH//7ns=")</f>
        <v>#VALUE!</v>
      </c>
      <c r="DU55" t="e">
        <f>AND(ConsolidatedEventList!F143,"AAAAAH//7nw=")</f>
        <v>#VALUE!</v>
      </c>
      <c r="DV55" t="e">
        <f>AND(ConsolidatedEventList!G143,"AAAAAH//7n0=")</f>
        <v>#VALUE!</v>
      </c>
      <c r="DW55" t="e">
        <f>AND(ConsolidatedEventList!H143,"AAAAAH//7n4=")</f>
        <v>#VALUE!</v>
      </c>
      <c r="DX55">
        <f>IF(ConsolidatedEventList!144:144,"AAAAAH//7n8=",0)</f>
        <v>0</v>
      </c>
      <c r="DY55" t="e">
        <f>AND(ConsolidatedEventList!A144,"AAAAAH//7oA=")</f>
        <v>#VALUE!</v>
      </c>
      <c r="DZ55" t="e">
        <f>AND(ConsolidatedEventList!B144,"AAAAAH//7oE=")</f>
        <v>#VALUE!</v>
      </c>
      <c r="EA55" t="e">
        <f>AND(ConsolidatedEventList!C144,"AAAAAH//7oI=")</f>
        <v>#VALUE!</v>
      </c>
      <c r="EB55" t="e">
        <f>AND(ConsolidatedEventList!D144,"AAAAAH//7oM=")</f>
        <v>#VALUE!</v>
      </c>
      <c r="EC55" t="e">
        <f>AND(ConsolidatedEventList!E144,"AAAAAH//7oQ=")</f>
        <v>#VALUE!</v>
      </c>
      <c r="ED55" t="e">
        <f>AND(ConsolidatedEventList!F144,"AAAAAH//7oU=")</f>
        <v>#VALUE!</v>
      </c>
      <c r="EE55" t="e">
        <f>AND(ConsolidatedEventList!G144,"AAAAAH//7oY=")</f>
        <v>#VALUE!</v>
      </c>
      <c r="EF55" t="e">
        <f>AND(ConsolidatedEventList!H144,"AAAAAH//7oc=")</f>
        <v>#VALUE!</v>
      </c>
      <c r="EG55">
        <f>IF(ConsolidatedEventList!145:145,"AAAAAH//7og=",0)</f>
        <v>0</v>
      </c>
      <c r="EH55" t="e">
        <f>AND(ConsolidatedEventList!A145,"AAAAAH//7ok=")</f>
        <v>#VALUE!</v>
      </c>
      <c r="EI55" t="e">
        <f>AND(ConsolidatedEventList!B145,"AAAAAH//7oo=")</f>
        <v>#VALUE!</v>
      </c>
      <c r="EJ55" t="e">
        <f>AND(ConsolidatedEventList!C145,"AAAAAH//7os=")</f>
        <v>#VALUE!</v>
      </c>
      <c r="EK55" t="e">
        <f>AND(ConsolidatedEventList!D145,"AAAAAH//7ow=")</f>
        <v>#VALUE!</v>
      </c>
      <c r="EL55" t="e">
        <f>AND(ConsolidatedEventList!E145,"AAAAAH//7o0=")</f>
        <v>#VALUE!</v>
      </c>
      <c r="EM55" t="e">
        <f>AND(ConsolidatedEventList!F145,"AAAAAH//7o4=")</f>
        <v>#VALUE!</v>
      </c>
      <c r="EN55" t="e">
        <f>AND(ConsolidatedEventList!G145,"AAAAAH//7o8=")</f>
        <v>#VALUE!</v>
      </c>
      <c r="EO55" t="e">
        <f>AND(ConsolidatedEventList!H145,"AAAAAH//7pA=")</f>
        <v>#VALUE!</v>
      </c>
      <c r="EP55">
        <f>IF(ConsolidatedEventList!146:146,"AAAAAH//7pE=",0)</f>
        <v>0</v>
      </c>
      <c r="EQ55" t="e">
        <f>AND(ConsolidatedEventList!A146,"AAAAAH//7pI=")</f>
        <v>#VALUE!</v>
      </c>
      <c r="ER55" t="e">
        <f>AND(ConsolidatedEventList!B146,"AAAAAH//7pM=")</f>
        <v>#VALUE!</v>
      </c>
      <c r="ES55" t="e">
        <f>AND(ConsolidatedEventList!C146,"AAAAAH//7pQ=")</f>
        <v>#VALUE!</v>
      </c>
      <c r="ET55" t="e">
        <f>AND(ConsolidatedEventList!D146,"AAAAAH//7pU=")</f>
        <v>#VALUE!</v>
      </c>
      <c r="EU55" t="e">
        <f>AND(ConsolidatedEventList!E146,"AAAAAH//7pY=")</f>
        <v>#VALUE!</v>
      </c>
      <c r="EV55" t="e">
        <f>AND(ConsolidatedEventList!F146,"AAAAAH//7pc=")</f>
        <v>#VALUE!</v>
      </c>
      <c r="EW55" t="e">
        <f>AND(ConsolidatedEventList!G146,"AAAAAH//7pg=")</f>
        <v>#VALUE!</v>
      </c>
      <c r="EX55" t="e">
        <f>AND(ConsolidatedEventList!H146,"AAAAAH//7pk=")</f>
        <v>#VALUE!</v>
      </c>
      <c r="EY55">
        <f>IF(ConsolidatedEventList!147:147,"AAAAAH//7po=",0)</f>
        <v>0</v>
      </c>
      <c r="EZ55" t="e">
        <f>AND(ConsolidatedEventList!A147,"AAAAAH//7ps=")</f>
        <v>#VALUE!</v>
      </c>
      <c r="FA55" t="e">
        <f>AND(ConsolidatedEventList!B147,"AAAAAH//7pw=")</f>
        <v>#VALUE!</v>
      </c>
      <c r="FB55" t="e">
        <f>AND(ConsolidatedEventList!C147,"AAAAAH//7p0=")</f>
        <v>#VALUE!</v>
      </c>
      <c r="FC55" t="e">
        <f>AND(ConsolidatedEventList!D147,"AAAAAH//7p4=")</f>
        <v>#VALUE!</v>
      </c>
      <c r="FD55" t="e">
        <f>AND(ConsolidatedEventList!E147,"AAAAAH//7p8=")</f>
        <v>#VALUE!</v>
      </c>
      <c r="FE55" t="e">
        <f>AND(ConsolidatedEventList!F147,"AAAAAH//7qA=")</f>
        <v>#VALUE!</v>
      </c>
      <c r="FF55" t="e">
        <f>AND(ConsolidatedEventList!G147,"AAAAAH//7qE=")</f>
        <v>#VALUE!</v>
      </c>
      <c r="FG55" t="e">
        <f>AND(ConsolidatedEventList!H147,"AAAAAH//7qI=")</f>
        <v>#VALUE!</v>
      </c>
      <c r="FH55">
        <f>IF(ConsolidatedEventList!148:148,"AAAAAH//7qM=",0)</f>
        <v>0</v>
      </c>
      <c r="FI55" t="e">
        <f>AND(ConsolidatedEventList!A148,"AAAAAH//7qQ=")</f>
        <v>#VALUE!</v>
      </c>
      <c r="FJ55" t="e">
        <f>AND(ConsolidatedEventList!B148,"AAAAAH//7qU=")</f>
        <v>#VALUE!</v>
      </c>
      <c r="FK55" t="e">
        <f>AND(ConsolidatedEventList!C148,"AAAAAH//7qY=")</f>
        <v>#VALUE!</v>
      </c>
      <c r="FL55" t="e">
        <f>AND(ConsolidatedEventList!D148,"AAAAAH//7qc=")</f>
        <v>#VALUE!</v>
      </c>
      <c r="FM55" t="e">
        <f>AND(ConsolidatedEventList!E148,"AAAAAH//7qg=")</f>
        <v>#VALUE!</v>
      </c>
      <c r="FN55" t="e">
        <f>AND(ConsolidatedEventList!F148,"AAAAAH//7qk=")</f>
        <v>#VALUE!</v>
      </c>
      <c r="FO55" t="e">
        <f>AND(ConsolidatedEventList!G148,"AAAAAH//7qo=")</f>
        <v>#VALUE!</v>
      </c>
      <c r="FP55" t="e">
        <f>AND(ConsolidatedEventList!H148,"AAAAAH//7qs=")</f>
        <v>#VALUE!</v>
      </c>
      <c r="FQ55">
        <f>IF(ConsolidatedEventList!149:149,"AAAAAH//7qw=",0)</f>
        <v>0</v>
      </c>
      <c r="FR55" t="e">
        <f>AND(ConsolidatedEventList!A149,"AAAAAH//7q0=")</f>
        <v>#VALUE!</v>
      </c>
      <c r="FS55" t="e">
        <f>AND(ConsolidatedEventList!B149,"AAAAAH//7q4=")</f>
        <v>#VALUE!</v>
      </c>
      <c r="FT55" t="e">
        <f>AND(ConsolidatedEventList!C149,"AAAAAH//7q8=")</f>
        <v>#VALUE!</v>
      </c>
      <c r="FU55" t="e">
        <f>AND(ConsolidatedEventList!D149,"AAAAAH//7rA=")</f>
        <v>#VALUE!</v>
      </c>
      <c r="FV55" t="e">
        <f>AND(ConsolidatedEventList!E149,"AAAAAH//7rE=")</f>
        <v>#VALUE!</v>
      </c>
      <c r="FW55" t="e">
        <f>AND(ConsolidatedEventList!F149,"AAAAAH//7rI=")</f>
        <v>#VALUE!</v>
      </c>
      <c r="FX55" t="e">
        <f>AND(ConsolidatedEventList!G149,"AAAAAH//7rM=")</f>
        <v>#VALUE!</v>
      </c>
      <c r="FY55" t="e">
        <f>AND(ConsolidatedEventList!H149,"AAAAAH//7rQ=")</f>
        <v>#VALUE!</v>
      </c>
      <c r="FZ55">
        <f>IF(ConsolidatedEventList!150:150,"AAAAAH//7rU=",0)</f>
        <v>0</v>
      </c>
      <c r="GA55" t="e">
        <f>AND(ConsolidatedEventList!A150,"AAAAAH//7rY=")</f>
        <v>#VALUE!</v>
      </c>
      <c r="GB55" t="e">
        <f>AND(ConsolidatedEventList!B150,"AAAAAH//7rc=")</f>
        <v>#VALUE!</v>
      </c>
      <c r="GC55" t="e">
        <f>AND(ConsolidatedEventList!C150,"AAAAAH//7rg=")</f>
        <v>#VALUE!</v>
      </c>
      <c r="GD55" t="e">
        <f>AND(ConsolidatedEventList!D150,"AAAAAH//7rk=")</f>
        <v>#VALUE!</v>
      </c>
      <c r="GE55" t="e">
        <f>AND(ConsolidatedEventList!E150,"AAAAAH//7ro=")</f>
        <v>#VALUE!</v>
      </c>
      <c r="GF55" t="e">
        <f>AND(ConsolidatedEventList!F150,"AAAAAH//7rs=")</f>
        <v>#VALUE!</v>
      </c>
      <c r="GG55" t="e">
        <f>AND(ConsolidatedEventList!G150,"AAAAAH//7rw=")</f>
        <v>#VALUE!</v>
      </c>
      <c r="GH55" t="e">
        <f>AND(ConsolidatedEventList!H150,"AAAAAH//7r0=")</f>
        <v>#VALUE!</v>
      </c>
      <c r="GI55">
        <f>IF(ConsolidatedEventList!151:151,"AAAAAH//7r4=",0)</f>
        <v>0</v>
      </c>
      <c r="GJ55" t="e">
        <f>AND(ConsolidatedEventList!A151,"AAAAAH//7r8=")</f>
        <v>#VALUE!</v>
      </c>
      <c r="GK55" t="e">
        <f>AND(ConsolidatedEventList!B151,"AAAAAH//7sA=")</f>
        <v>#VALUE!</v>
      </c>
      <c r="GL55" t="e">
        <f>AND(ConsolidatedEventList!C151,"AAAAAH//7sE=")</f>
        <v>#VALUE!</v>
      </c>
      <c r="GM55" t="e">
        <f>AND(ConsolidatedEventList!D151,"AAAAAH//7sI=")</f>
        <v>#VALUE!</v>
      </c>
      <c r="GN55" t="e">
        <f>AND(ConsolidatedEventList!E151,"AAAAAH//7sM=")</f>
        <v>#VALUE!</v>
      </c>
      <c r="GO55" t="e">
        <f>AND(ConsolidatedEventList!F151,"AAAAAH//7sQ=")</f>
        <v>#VALUE!</v>
      </c>
      <c r="GP55" t="e">
        <f>AND(ConsolidatedEventList!G151,"AAAAAH//7sU=")</f>
        <v>#VALUE!</v>
      </c>
      <c r="GQ55" t="e">
        <f>AND(ConsolidatedEventList!H151,"AAAAAH//7sY=")</f>
        <v>#VALUE!</v>
      </c>
      <c r="GR55">
        <f>IF(ConsolidatedEventList!152:152,"AAAAAH//7sc=",0)</f>
        <v>0</v>
      </c>
      <c r="GS55" t="e">
        <f>AND(ConsolidatedEventList!A152,"AAAAAH//7sg=")</f>
        <v>#VALUE!</v>
      </c>
      <c r="GT55" t="e">
        <f>AND(ConsolidatedEventList!B152,"AAAAAH//7sk=")</f>
        <v>#VALUE!</v>
      </c>
      <c r="GU55" t="e">
        <f>AND(ConsolidatedEventList!C152,"AAAAAH//7so=")</f>
        <v>#VALUE!</v>
      </c>
      <c r="GV55" t="e">
        <f>AND(ConsolidatedEventList!D152,"AAAAAH//7ss=")</f>
        <v>#VALUE!</v>
      </c>
      <c r="GW55" t="e">
        <f>AND(ConsolidatedEventList!E152,"AAAAAH//7sw=")</f>
        <v>#VALUE!</v>
      </c>
      <c r="GX55" t="e">
        <f>AND(ConsolidatedEventList!F152,"AAAAAH//7s0=")</f>
        <v>#VALUE!</v>
      </c>
      <c r="GY55" t="e">
        <f>AND(ConsolidatedEventList!G152,"AAAAAH//7s4=")</f>
        <v>#VALUE!</v>
      </c>
      <c r="GZ55" t="e">
        <f>AND(ConsolidatedEventList!H152,"AAAAAH//7s8=")</f>
        <v>#VALUE!</v>
      </c>
      <c r="HA55">
        <f>IF(ConsolidatedEventList!153:153,"AAAAAH//7tA=",0)</f>
        <v>0</v>
      </c>
      <c r="HB55" t="e">
        <f>AND(ConsolidatedEventList!A153,"AAAAAH//7tE=")</f>
        <v>#VALUE!</v>
      </c>
      <c r="HC55" t="e">
        <f>AND(ConsolidatedEventList!B153,"AAAAAH//7tI=")</f>
        <v>#VALUE!</v>
      </c>
      <c r="HD55" t="e">
        <f>AND(ConsolidatedEventList!C153,"AAAAAH//7tM=")</f>
        <v>#VALUE!</v>
      </c>
      <c r="HE55" t="e">
        <f>AND(ConsolidatedEventList!D153,"AAAAAH//7tQ=")</f>
        <v>#VALUE!</v>
      </c>
      <c r="HF55" t="e">
        <f>AND(ConsolidatedEventList!E153,"AAAAAH//7tU=")</f>
        <v>#VALUE!</v>
      </c>
      <c r="HG55" t="e">
        <f>AND(ConsolidatedEventList!F153,"AAAAAH//7tY=")</f>
        <v>#VALUE!</v>
      </c>
      <c r="HH55" t="e">
        <f>AND(ConsolidatedEventList!G153,"AAAAAH//7tc=")</f>
        <v>#VALUE!</v>
      </c>
      <c r="HI55" t="e">
        <f>AND(ConsolidatedEventList!H153,"AAAAAH//7tg=")</f>
        <v>#VALUE!</v>
      </c>
      <c r="HJ55">
        <f>IF(ConsolidatedEventList!154:154,"AAAAAH//7tk=",0)</f>
        <v>0</v>
      </c>
      <c r="HK55" t="e">
        <f>AND(ConsolidatedEventList!A154,"AAAAAH//7to=")</f>
        <v>#VALUE!</v>
      </c>
      <c r="HL55" t="e">
        <f>AND(ConsolidatedEventList!B154,"AAAAAH//7ts=")</f>
        <v>#VALUE!</v>
      </c>
      <c r="HM55" t="e">
        <f>AND(ConsolidatedEventList!C154,"AAAAAH//7tw=")</f>
        <v>#VALUE!</v>
      </c>
      <c r="HN55" t="e">
        <f>AND(ConsolidatedEventList!D154,"AAAAAH//7t0=")</f>
        <v>#VALUE!</v>
      </c>
      <c r="HO55" t="e">
        <f>AND(ConsolidatedEventList!E154,"AAAAAH//7t4=")</f>
        <v>#VALUE!</v>
      </c>
      <c r="HP55" t="e">
        <f>AND(ConsolidatedEventList!F154,"AAAAAH//7t8=")</f>
        <v>#VALUE!</v>
      </c>
      <c r="HQ55" t="e">
        <f>AND(ConsolidatedEventList!G154,"AAAAAH//7uA=")</f>
        <v>#VALUE!</v>
      </c>
      <c r="HR55" t="e">
        <f>AND(ConsolidatedEventList!H154,"AAAAAH//7uE=")</f>
        <v>#VALUE!</v>
      </c>
      <c r="HS55">
        <f>IF(ConsolidatedEventList!155:155,"AAAAAH//7uI=",0)</f>
        <v>0</v>
      </c>
      <c r="HT55" t="e">
        <f>AND(ConsolidatedEventList!A155,"AAAAAH//7uM=")</f>
        <v>#VALUE!</v>
      </c>
      <c r="HU55" t="e">
        <f>AND(ConsolidatedEventList!B155,"AAAAAH//7uQ=")</f>
        <v>#VALUE!</v>
      </c>
      <c r="HV55" t="e">
        <f>AND(ConsolidatedEventList!C155,"AAAAAH//7uU=")</f>
        <v>#VALUE!</v>
      </c>
      <c r="HW55" t="e">
        <f>AND(ConsolidatedEventList!D155,"AAAAAH//7uY=")</f>
        <v>#VALUE!</v>
      </c>
      <c r="HX55" t="e">
        <f>AND(ConsolidatedEventList!E155,"AAAAAH//7uc=")</f>
        <v>#VALUE!</v>
      </c>
      <c r="HY55" t="e">
        <f>AND(ConsolidatedEventList!F155,"AAAAAH//7ug=")</f>
        <v>#VALUE!</v>
      </c>
      <c r="HZ55" t="e">
        <f>AND(ConsolidatedEventList!G155,"AAAAAH//7uk=")</f>
        <v>#VALUE!</v>
      </c>
      <c r="IA55" t="e">
        <f>AND(ConsolidatedEventList!H155,"AAAAAH//7uo=")</f>
        <v>#VALUE!</v>
      </c>
      <c r="IB55">
        <f>IF(ConsolidatedEventList!156:156,"AAAAAH//7us=",0)</f>
        <v>0</v>
      </c>
      <c r="IC55" t="e">
        <f>AND(ConsolidatedEventList!A156,"AAAAAH//7uw=")</f>
        <v>#VALUE!</v>
      </c>
      <c r="ID55" t="e">
        <f>AND(ConsolidatedEventList!B156,"AAAAAH//7u0=")</f>
        <v>#VALUE!</v>
      </c>
      <c r="IE55" t="e">
        <f>AND(ConsolidatedEventList!C156,"AAAAAH//7u4=")</f>
        <v>#VALUE!</v>
      </c>
      <c r="IF55" t="e">
        <f>AND(ConsolidatedEventList!D156,"AAAAAH//7u8=")</f>
        <v>#VALUE!</v>
      </c>
      <c r="IG55" t="e">
        <f>AND(ConsolidatedEventList!E156,"AAAAAH//7vA=")</f>
        <v>#VALUE!</v>
      </c>
      <c r="IH55" t="e">
        <f>AND(ConsolidatedEventList!F156,"AAAAAH//7vE=")</f>
        <v>#VALUE!</v>
      </c>
      <c r="II55" t="e">
        <f>AND(ConsolidatedEventList!G156,"AAAAAH//7vI=")</f>
        <v>#VALUE!</v>
      </c>
      <c r="IJ55" t="e">
        <f>AND(ConsolidatedEventList!H156,"AAAAAH//7vM=")</f>
        <v>#VALUE!</v>
      </c>
      <c r="IK55">
        <f>IF(ConsolidatedEventList!157:157,"AAAAAH//7vQ=",0)</f>
        <v>0</v>
      </c>
      <c r="IL55" t="e">
        <f>AND(ConsolidatedEventList!A157,"AAAAAH//7vU=")</f>
        <v>#VALUE!</v>
      </c>
      <c r="IM55" t="e">
        <f>AND(ConsolidatedEventList!B157,"AAAAAH//7vY=")</f>
        <v>#VALUE!</v>
      </c>
      <c r="IN55" t="e">
        <f>AND(ConsolidatedEventList!C157,"AAAAAH//7vc=")</f>
        <v>#VALUE!</v>
      </c>
      <c r="IO55" t="e">
        <f>AND(ConsolidatedEventList!D157,"AAAAAH//7vg=")</f>
        <v>#VALUE!</v>
      </c>
      <c r="IP55" t="e">
        <f>AND(ConsolidatedEventList!E157,"AAAAAH//7vk=")</f>
        <v>#VALUE!</v>
      </c>
      <c r="IQ55" t="e">
        <f>AND(ConsolidatedEventList!F157,"AAAAAH//7vo=")</f>
        <v>#VALUE!</v>
      </c>
      <c r="IR55" t="e">
        <f>AND(ConsolidatedEventList!G157,"AAAAAH//7vs=")</f>
        <v>#VALUE!</v>
      </c>
      <c r="IS55" t="e">
        <f>AND(ConsolidatedEventList!H157,"AAAAAH//7vw=")</f>
        <v>#VALUE!</v>
      </c>
      <c r="IT55" t="e">
        <f>IF(ConsolidatedEventList!#REF!,"AAAAAH//7v0=",0)</f>
        <v>#REF!</v>
      </c>
      <c r="IU55" t="e">
        <f>AND(ConsolidatedEventList!#REF!,"AAAAAH//7v4=")</f>
        <v>#REF!</v>
      </c>
      <c r="IV55" t="e">
        <f>AND(ConsolidatedEventList!#REF!,"AAAAAH//7v8=")</f>
        <v>#REF!</v>
      </c>
    </row>
    <row r="56" spans="1:256" x14ac:dyDescent="0.25">
      <c r="A56" t="e">
        <f>AND(ConsolidatedEventList!#REF!,"AAAAADx/TQA=")</f>
        <v>#REF!</v>
      </c>
      <c r="B56" t="e">
        <f>AND(ConsolidatedEventList!#REF!,"AAAAADx/TQE=")</f>
        <v>#REF!</v>
      </c>
      <c r="C56" t="e">
        <f>AND(ConsolidatedEventList!#REF!,"AAAAADx/TQI=")</f>
        <v>#REF!</v>
      </c>
      <c r="D56" t="e">
        <f>AND(ConsolidatedEventList!#REF!,"AAAAADx/TQM=")</f>
        <v>#REF!</v>
      </c>
      <c r="E56" t="e">
        <f>AND(ConsolidatedEventList!#REF!,"AAAAADx/TQQ=")</f>
        <v>#REF!</v>
      </c>
      <c r="F56" t="e">
        <f>AND(ConsolidatedEventList!#REF!,"AAAAADx/TQU=")</f>
        <v>#REF!</v>
      </c>
      <c r="G56" t="e">
        <f>IF(ConsolidatedEventList!#REF!,"AAAAADx/TQY=",0)</f>
        <v>#REF!</v>
      </c>
      <c r="H56" t="e">
        <f>AND(ConsolidatedEventList!#REF!,"AAAAADx/TQc=")</f>
        <v>#REF!</v>
      </c>
      <c r="I56" t="e">
        <f>AND(ConsolidatedEventList!#REF!,"AAAAADx/TQg=")</f>
        <v>#REF!</v>
      </c>
      <c r="J56" t="e">
        <f>AND(ConsolidatedEventList!#REF!,"AAAAADx/TQk=")</f>
        <v>#REF!</v>
      </c>
      <c r="K56" t="e">
        <f>AND(ConsolidatedEventList!#REF!,"AAAAADx/TQo=")</f>
        <v>#REF!</v>
      </c>
      <c r="L56" t="e">
        <f>AND(ConsolidatedEventList!#REF!,"AAAAADx/TQs=")</f>
        <v>#REF!</v>
      </c>
      <c r="M56" t="e">
        <f>AND(ConsolidatedEventList!#REF!,"AAAAADx/TQw=")</f>
        <v>#REF!</v>
      </c>
      <c r="N56" t="e">
        <f>AND(ConsolidatedEventList!#REF!,"AAAAADx/TQ0=")</f>
        <v>#REF!</v>
      </c>
      <c r="O56" t="e">
        <f>AND(ConsolidatedEventList!#REF!,"AAAAADx/TQ4=")</f>
        <v>#REF!</v>
      </c>
      <c r="P56">
        <f>IF(ConsolidatedEventList!158:158,"AAAAADx/TQ8=",0)</f>
        <v>0</v>
      </c>
      <c r="Q56" t="e">
        <f>AND(ConsolidatedEventList!A158,"AAAAADx/TRA=")</f>
        <v>#VALUE!</v>
      </c>
      <c r="R56" t="e">
        <f>AND(ConsolidatedEventList!B158,"AAAAADx/TRE=")</f>
        <v>#VALUE!</v>
      </c>
      <c r="S56" t="e">
        <f>AND(ConsolidatedEventList!C158,"AAAAADx/TRI=")</f>
        <v>#VALUE!</v>
      </c>
      <c r="T56" t="e">
        <f>AND(ConsolidatedEventList!D158,"AAAAADx/TRM=")</f>
        <v>#VALUE!</v>
      </c>
      <c r="U56" t="e">
        <f>AND(ConsolidatedEventList!E158,"AAAAADx/TRQ=")</f>
        <v>#VALUE!</v>
      </c>
      <c r="V56" t="e">
        <f>AND(ConsolidatedEventList!F158,"AAAAADx/TRU=")</f>
        <v>#VALUE!</v>
      </c>
      <c r="W56" t="e">
        <f>AND(ConsolidatedEventList!G158,"AAAAADx/TRY=")</f>
        <v>#VALUE!</v>
      </c>
      <c r="X56" t="e">
        <f>AND(ConsolidatedEventList!H158,"AAAAADx/TRc=")</f>
        <v>#VALUE!</v>
      </c>
      <c r="Y56">
        <f>IF(ConsolidatedEventList!159:159,"AAAAADx/TRg=",0)</f>
        <v>0</v>
      </c>
      <c r="Z56" t="e">
        <f>AND(ConsolidatedEventList!A159,"AAAAADx/TRk=")</f>
        <v>#VALUE!</v>
      </c>
      <c r="AA56" t="e">
        <f>AND(ConsolidatedEventList!B159,"AAAAADx/TRo=")</f>
        <v>#VALUE!</v>
      </c>
      <c r="AB56" t="e">
        <f>AND(ConsolidatedEventList!C159,"AAAAADx/TRs=")</f>
        <v>#VALUE!</v>
      </c>
      <c r="AC56" t="e">
        <f>AND(ConsolidatedEventList!D159,"AAAAADx/TRw=")</f>
        <v>#VALUE!</v>
      </c>
      <c r="AD56" t="e">
        <f>AND(ConsolidatedEventList!E159,"AAAAADx/TR0=")</f>
        <v>#VALUE!</v>
      </c>
      <c r="AE56" t="e">
        <f>AND(ConsolidatedEventList!F159,"AAAAADx/TR4=")</f>
        <v>#VALUE!</v>
      </c>
      <c r="AF56" t="e">
        <f>AND(ConsolidatedEventList!G159,"AAAAADx/TR8=")</f>
        <v>#VALUE!</v>
      </c>
      <c r="AG56" t="e">
        <f>AND(ConsolidatedEventList!H159,"AAAAADx/TSA=")</f>
        <v>#VALUE!</v>
      </c>
      <c r="AH56">
        <f>IF(ConsolidatedEventList!160:160,"AAAAADx/TSE=",0)</f>
        <v>0</v>
      </c>
      <c r="AI56" t="e">
        <f>AND(ConsolidatedEventList!A160,"AAAAADx/TSI=")</f>
        <v>#VALUE!</v>
      </c>
      <c r="AJ56" t="e">
        <f>AND(ConsolidatedEventList!B160,"AAAAADx/TSM=")</f>
        <v>#VALUE!</v>
      </c>
      <c r="AK56" t="e">
        <f>AND(ConsolidatedEventList!C160,"AAAAADx/TSQ=")</f>
        <v>#VALUE!</v>
      </c>
      <c r="AL56" t="e">
        <f>AND(ConsolidatedEventList!D160,"AAAAADx/TSU=")</f>
        <v>#VALUE!</v>
      </c>
      <c r="AM56" t="e">
        <f>AND(ConsolidatedEventList!E160,"AAAAADx/TSY=")</f>
        <v>#VALUE!</v>
      </c>
      <c r="AN56" t="e">
        <f>AND(ConsolidatedEventList!F160,"AAAAADx/TSc=")</f>
        <v>#VALUE!</v>
      </c>
      <c r="AO56" t="e">
        <f>AND(ConsolidatedEventList!G160,"AAAAADx/TSg=")</f>
        <v>#VALUE!</v>
      </c>
      <c r="AP56" t="e">
        <f>AND(ConsolidatedEventList!H160,"AAAAADx/TSk=")</f>
        <v>#VALUE!</v>
      </c>
      <c r="AQ56">
        <f>IF(ConsolidatedEventList!161:161,"AAAAADx/TSo=",0)</f>
        <v>0</v>
      </c>
      <c r="AR56" t="e">
        <f>AND(ConsolidatedEventList!A161,"AAAAADx/TSs=")</f>
        <v>#VALUE!</v>
      </c>
      <c r="AS56" t="e">
        <f>AND(ConsolidatedEventList!B161,"AAAAADx/TSw=")</f>
        <v>#VALUE!</v>
      </c>
      <c r="AT56" t="e">
        <f>AND(ConsolidatedEventList!C161,"AAAAADx/TS0=")</f>
        <v>#VALUE!</v>
      </c>
      <c r="AU56" t="e">
        <f>AND(ConsolidatedEventList!D161,"AAAAADx/TS4=")</f>
        <v>#VALUE!</v>
      </c>
      <c r="AV56" t="e">
        <f>AND(ConsolidatedEventList!E161,"AAAAADx/TS8=")</f>
        <v>#VALUE!</v>
      </c>
      <c r="AW56" t="e">
        <f>AND(ConsolidatedEventList!F161,"AAAAADx/TTA=")</f>
        <v>#VALUE!</v>
      </c>
      <c r="AX56" t="e">
        <f>AND(ConsolidatedEventList!G161,"AAAAADx/TTE=")</f>
        <v>#VALUE!</v>
      </c>
      <c r="AY56" t="e">
        <f>AND(ConsolidatedEventList!H161,"AAAAADx/TTI=")</f>
        <v>#VALUE!</v>
      </c>
      <c r="AZ56">
        <f>IF(ConsolidatedEventList!162:162,"AAAAADx/TTM=",0)</f>
        <v>0</v>
      </c>
      <c r="BA56" t="e">
        <f>AND(ConsolidatedEventList!A162,"AAAAADx/TTQ=")</f>
        <v>#VALUE!</v>
      </c>
      <c r="BB56" t="e">
        <f>AND(ConsolidatedEventList!B162,"AAAAADx/TTU=")</f>
        <v>#VALUE!</v>
      </c>
      <c r="BC56" t="e">
        <f>AND(ConsolidatedEventList!C162,"AAAAADx/TTY=")</f>
        <v>#VALUE!</v>
      </c>
      <c r="BD56" t="e">
        <f>AND(ConsolidatedEventList!D162,"AAAAADx/TTc=")</f>
        <v>#VALUE!</v>
      </c>
      <c r="BE56" t="e">
        <f>AND(ConsolidatedEventList!E162,"AAAAADx/TTg=")</f>
        <v>#VALUE!</v>
      </c>
      <c r="BF56" t="e">
        <f>AND(ConsolidatedEventList!F162,"AAAAADx/TTk=")</f>
        <v>#VALUE!</v>
      </c>
      <c r="BG56" t="e">
        <f>AND(ConsolidatedEventList!G162,"AAAAADx/TTo=")</f>
        <v>#VALUE!</v>
      </c>
      <c r="BH56" t="e">
        <f>AND(ConsolidatedEventList!H162,"AAAAADx/TTs=")</f>
        <v>#VALUE!</v>
      </c>
      <c r="BI56">
        <f>IF(ConsolidatedEventList!163:163,"AAAAADx/TTw=",0)</f>
        <v>0</v>
      </c>
      <c r="BJ56" t="e">
        <f>AND(ConsolidatedEventList!A163,"AAAAADx/TT0=")</f>
        <v>#VALUE!</v>
      </c>
      <c r="BK56" t="e">
        <f>AND(ConsolidatedEventList!B163,"AAAAADx/TT4=")</f>
        <v>#VALUE!</v>
      </c>
      <c r="BL56" t="e">
        <f>AND(ConsolidatedEventList!C163,"AAAAADx/TT8=")</f>
        <v>#VALUE!</v>
      </c>
      <c r="BM56" t="e">
        <f>AND(ConsolidatedEventList!D163,"AAAAADx/TUA=")</f>
        <v>#VALUE!</v>
      </c>
      <c r="BN56" t="e">
        <f>AND(ConsolidatedEventList!E163,"AAAAADx/TUE=")</f>
        <v>#VALUE!</v>
      </c>
      <c r="BO56" t="e">
        <f>AND(ConsolidatedEventList!F163,"AAAAADx/TUI=")</f>
        <v>#VALUE!</v>
      </c>
      <c r="BP56" t="e">
        <f>AND(ConsolidatedEventList!G163,"AAAAADx/TUM=")</f>
        <v>#VALUE!</v>
      </c>
      <c r="BQ56" t="e">
        <f>AND(ConsolidatedEventList!H163,"AAAAADx/TUQ=")</f>
        <v>#VALUE!</v>
      </c>
      <c r="BR56">
        <f>IF(ConsolidatedEventList!164:164,"AAAAADx/TUU=",0)</f>
        <v>0</v>
      </c>
      <c r="BS56" t="e">
        <f>AND(ConsolidatedEventList!A164,"AAAAADx/TUY=")</f>
        <v>#VALUE!</v>
      </c>
      <c r="BT56" t="e">
        <f>AND(ConsolidatedEventList!B164,"AAAAADx/TUc=")</f>
        <v>#VALUE!</v>
      </c>
      <c r="BU56" t="e">
        <f>AND(ConsolidatedEventList!C164,"AAAAADx/TUg=")</f>
        <v>#VALUE!</v>
      </c>
      <c r="BV56" t="e">
        <f>AND(ConsolidatedEventList!D164,"AAAAADx/TUk=")</f>
        <v>#VALUE!</v>
      </c>
      <c r="BW56" t="e">
        <f>AND(ConsolidatedEventList!E164,"AAAAADx/TUo=")</f>
        <v>#VALUE!</v>
      </c>
      <c r="BX56" t="e">
        <f>AND(ConsolidatedEventList!F164,"AAAAADx/TUs=")</f>
        <v>#VALUE!</v>
      </c>
      <c r="BY56" t="e">
        <f>AND(ConsolidatedEventList!G164,"AAAAADx/TUw=")</f>
        <v>#VALUE!</v>
      </c>
      <c r="BZ56" t="e">
        <f>AND(ConsolidatedEventList!H164,"AAAAADx/TU0=")</f>
        <v>#VALUE!</v>
      </c>
      <c r="CA56">
        <f>IF(ConsolidatedEventList!165:165,"AAAAADx/TU4=",0)</f>
        <v>0</v>
      </c>
      <c r="CB56" t="e">
        <f>AND(ConsolidatedEventList!A165,"AAAAADx/TU8=")</f>
        <v>#VALUE!</v>
      </c>
      <c r="CC56" t="e">
        <f>AND(ConsolidatedEventList!B165,"AAAAADx/TVA=")</f>
        <v>#VALUE!</v>
      </c>
      <c r="CD56" t="e">
        <f>AND(ConsolidatedEventList!C165,"AAAAADx/TVE=")</f>
        <v>#VALUE!</v>
      </c>
      <c r="CE56" t="e">
        <f>AND(ConsolidatedEventList!D165,"AAAAADx/TVI=")</f>
        <v>#VALUE!</v>
      </c>
      <c r="CF56" t="e">
        <f>AND(ConsolidatedEventList!E165,"AAAAADx/TVM=")</f>
        <v>#VALUE!</v>
      </c>
      <c r="CG56" t="e">
        <f>AND(ConsolidatedEventList!F165,"AAAAADx/TVQ=")</f>
        <v>#VALUE!</v>
      </c>
      <c r="CH56" t="e">
        <f>AND(ConsolidatedEventList!G165,"AAAAADx/TVU=")</f>
        <v>#VALUE!</v>
      </c>
      <c r="CI56" t="e">
        <f>AND(ConsolidatedEventList!H165,"AAAAADx/TVY=")</f>
        <v>#VALUE!</v>
      </c>
      <c r="CJ56" t="e">
        <f>IF(ConsolidatedEventList!#REF!,"AAAAADx/TVc=",0)</f>
        <v>#REF!</v>
      </c>
      <c r="CK56" t="e">
        <f>AND(ConsolidatedEventList!#REF!,"AAAAADx/TVg=")</f>
        <v>#REF!</v>
      </c>
      <c r="CL56" t="e">
        <f>AND(ConsolidatedEventList!#REF!,"AAAAADx/TVk=")</f>
        <v>#REF!</v>
      </c>
      <c r="CM56" t="e">
        <f>AND(ConsolidatedEventList!#REF!,"AAAAADx/TVo=")</f>
        <v>#REF!</v>
      </c>
      <c r="CN56" t="e">
        <f>AND(ConsolidatedEventList!#REF!,"AAAAADx/TVs=")</f>
        <v>#REF!</v>
      </c>
      <c r="CO56" t="e">
        <f>AND(ConsolidatedEventList!#REF!,"AAAAADx/TVw=")</f>
        <v>#REF!</v>
      </c>
      <c r="CP56" t="e">
        <f>AND(ConsolidatedEventList!#REF!,"AAAAADx/TV0=")</f>
        <v>#REF!</v>
      </c>
      <c r="CQ56" t="e">
        <f>AND(ConsolidatedEventList!#REF!,"AAAAADx/TV4=")</f>
        <v>#REF!</v>
      </c>
      <c r="CR56" t="e">
        <f>AND(ConsolidatedEventList!#REF!,"AAAAADx/TV8=")</f>
        <v>#REF!</v>
      </c>
      <c r="CS56" t="e">
        <f>IF(ConsolidatedEventList!#REF!,"AAAAADx/TWA=",0)</f>
        <v>#REF!</v>
      </c>
      <c r="CT56" t="e">
        <f>AND(ConsolidatedEventList!#REF!,"AAAAADx/TWE=")</f>
        <v>#REF!</v>
      </c>
      <c r="CU56" t="e">
        <f>AND(ConsolidatedEventList!#REF!,"AAAAADx/TWI=")</f>
        <v>#REF!</v>
      </c>
      <c r="CV56" t="e">
        <f>AND(ConsolidatedEventList!#REF!,"AAAAADx/TWM=")</f>
        <v>#REF!</v>
      </c>
      <c r="CW56" t="e">
        <f>AND(ConsolidatedEventList!#REF!,"AAAAADx/TWQ=")</f>
        <v>#REF!</v>
      </c>
      <c r="CX56" t="e">
        <f>AND(ConsolidatedEventList!#REF!,"AAAAADx/TWU=")</f>
        <v>#REF!</v>
      </c>
      <c r="CY56" t="e">
        <f>AND(ConsolidatedEventList!#REF!,"AAAAADx/TWY=")</f>
        <v>#REF!</v>
      </c>
      <c r="CZ56" t="e">
        <f>AND(ConsolidatedEventList!#REF!,"AAAAADx/TWc=")</f>
        <v>#REF!</v>
      </c>
      <c r="DA56" t="e">
        <f>AND(ConsolidatedEventList!#REF!,"AAAAADx/TWg=")</f>
        <v>#REF!</v>
      </c>
      <c r="DB56">
        <f>IF(ConsolidatedEventList!166:166,"AAAAADx/TWk=",0)</f>
        <v>0</v>
      </c>
      <c r="DC56" t="e">
        <f>AND(ConsolidatedEventList!A166,"AAAAADx/TWo=")</f>
        <v>#VALUE!</v>
      </c>
      <c r="DD56" t="e">
        <f>AND(ConsolidatedEventList!B166,"AAAAADx/TWs=")</f>
        <v>#VALUE!</v>
      </c>
      <c r="DE56" t="e">
        <f>AND(ConsolidatedEventList!C166,"AAAAADx/TWw=")</f>
        <v>#VALUE!</v>
      </c>
      <c r="DF56" t="e">
        <f>AND(ConsolidatedEventList!D166,"AAAAADx/TW0=")</f>
        <v>#VALUE!</v>
      </c>
      <c r="DG56" t="e">
        <f>AND(ConsolidatedEventList!E166,"AAAAADx/TW4=")</f>
        <v>#VALUE!</v>
      </c>
      <c r="DH56" t="e">
        <f>AND(ConsolidatedEventList!F166,"AAAAADx/TW8=")</f>
        <v>#VALUE!</v>
      </c>
      <c r="DI56" t="e">
        <f>AND(ConsolidatedEventList!G166,"AAAAADx/TXA=")</f>
        <v>#VALUE!</v>
      </c>
      <c r="DJ56" t="e">
        <f>AND(ConsolidatedEventList!H166,"AAAAADx/TXE=")</f>
        <v>#VALUE!</v>
      </c>
      <c r="DK56">
        <f>IF(ConsolidatedEventList!167:167,"AAAAADx/TXI=",0)</f>
        <v>0</v>
      </c>
      <c r="DL56" t="e">
        <f>AND(ConsolidatedEventList!A167,"AAAAADx/TXM=")</f>
        <v>#VALUE!</v>
      </c>
      <c r="DM56" t="e">
        <f>AND(ConsolidatedEventList!B167,"AAAAADx/TXQ=")</f>
        <v>#VALUE!</v>
      </c>
      <c r="DN56" t="e">
        <f>AND(ConsolidatedEventList!C167,"AAAAADx/TXU=")</f>
        <v>#VALUE!</v>
      </c>
      <c r="DO56" t="e">
        <f>AND(ConsolidatedEventList!D167,"AAAAADx/TXY=")</f>
        <v>#VALUE!</v>
      </c>
      <c r="DP56" t="e">
        <f>AND(ConsolidatedEventList!E167,"AAAAADx/TXc=")</f>
        <v>#VALUE!</v>
      </c>
      <c r="DQ56" t="e">
        <f>AND(ConsolidatedEventList!F167,"AAAAADx/TXg=")</f>
        <v>#VALUE!</v>
      </c>
      <c r="DR56" t="e">
        <f>AND(ConsolidatedEventList!G167,"AAAAADx/TXk=")</f>
        <v>#VALUE!</v>
      </c>
      <c r="DS56" t="e">
        <f>AND(ConsolidatedEventList!H167,"AAAAADx/TXo=")</f>
        <v>#VALUE!</v>
      </c>
      <c r="DT56">
        <f>IF(ConsolidatedEventList!168:168,"AAAAADx/TXs=",0)</f>
        <v>0</v>
      </c>
      <c r="DU56" t="e">
        <f>AND(ConsolidatedEventList!A168,"AAAAADx/TXw=")</f>
        <v>#VALUE!</v>
      </c>
      <c r="DV56" t="e">
        <f>AND(ConsolidatedEventList!B168,"AAAAADx/TX0=")</f>
        <v>#VALUE!</v>
      </c>
      <c r="DW56" t="e">
        <f>AND(ConsolidatedEventList!C168,"AAAAADx/TX4=")</f>
        <v>#VALUE!</v>
      </c>
      <c r="DX56" t="e">
        <f>AND(ConsolidatedEventList!D168,"AAAAADx/TX8=")</f>
        <v>#VALUE!</v>
      </c>
      <c r="DY56" t="e">
        <f>AND(ConsolidatedEventList!E168,"AAAAADx/TYA=")</f>
        <v>#VALUE!</v>
      </c>
      <c r="DZ56" t="e">
        <f>AND(ConsolidatedEventList!F168,"AAAAADx/TYE=")</f>
        <v>#VALUE!</v>
      </c>
      <c r="EA56" t="e">
        <f>AND(ConsolidatedEventList!G168,"AAAAADx/TYI=")</f>
        <v>#VALUE!</v>
      </c>
      <c r="EB56" t="e">
        <f>AND(ConsolidatedEventList!H168,"AAAAADx/TYM=")</f>
        <v>#VALUE!</v>
      </c>
      <c r="EC56">
        <f>IF(ConsolidatedEventList!169:169,"AAAAADx/TYQ=",0)</f>
        <v>0</v>
      </c>
      <c r="ED56" t="e">
        <f>AND(ConsolidatedEventList!A169,"AAAAADx/TYU=")</f>
        <v>#VALUE!</v>
      </c>
      <c r="EE56" t="e">
        <f>AND(ConsolidatedEventList!B169,"AAAAADx/TYY=")</f>
        <v>#VALUE!</v>
      </c>
      <c r="EF56" t="e">
        <f>AND(ConsolidatedEventList!C169,"AAAAADx/TYc=")</f>
        <v>#VALUE!</v>
      </c>
      <c r="EG56" t="e">
        <f>AND(ConsolidatedEventList!D169,"AAAAADx/TYg=")</f>
        <v>#VALUE!</v>
      </c>
      <c r="EH56" t="e">
        <f>AND(ConsolidatedEventList!E169,"AAAAADx/TYk=")</f>
        <v>#VALUE!</v>
      </c>
      <c r="EI56" t="e">
        <f>AND(ConsolidatedEventList!F169,"AAAAADx/TYo=")</f>
        <v>#VALUE!</v>
      </c>
      <c r="EJ56" t="e">
        <f>AND(ConsolidatedEventList!G169,"AAAAADx/TYs=")</f>
        <v>#VALUE!</v>
      </c>
      <c r="EK56" t="e">
        <f>AND(ConsolidatedEventList!H169,"AAAAADx/TYw=")</f>
        <v>#VALUE!</v>
      </c>
      <c r="EL56">
        <f>IF(ConsolidatedEventList!170:170,"AAAAADx/TY0=",0)</f>
        <v>0</v>
      </c>
      <c r="EM56" t="e">
        <f>AND(ConsolidatedEventList!A170,"AAAAADx/TY4=")</f>
        <v>#VALUE!</v>
      </c>
      <c r="EN56" t="e">
        <f>AND(ConsolidatedEventList!B170,"AAAAADx/TY8=")</f>
        <v>#VALUE!</v>
      </c>
      <c r="EO56" t="e">
        <f>AND(ConsolidatedEventList!C170,"AAAAADx/TZA=")</f>
        <v>#VALUE!</v>
      </c>
      <c r="EP56" t="e">
        <f>AND(ConsolidatedEventList!D170,"AAAAADx/TZE=")</f>
        <v>#VALUE!</v>
      </c>
      <c r="EQ56" t="e">
        <f>AND(ConsolidatedEventList!E170,"AAAAADx/TZI=")</f>
        <v>#VALUE!</v>
      </c>
      <c r="ER56" t="e">
        <f>AND(ConsolidatedEventList!F170,"AAAAADx/TZM=")</f>
        <v>#VALUE!</v>
      </c>
      <c r="ES56" t="e">
        <f>AND(ConsolidatedEventList!G170,"AAAAADx/TZQ=")</f>
        <v>#VALUE!</v>
      </c>
      <c r="ET56" t="e">
        <f>AND(ConsolidatedEventList!H170,"AAAAADx/TZU=")</f>
        <v>#VALUE!</v>
      </c>
      <c r="EU56" t="e">
        <f>IF(ConsolidatedEventList!#REF!,"AAAAADx/TZY=",0)</f>
        <v>#REF!</v>
      </c>
      <c r="EV56" t="e">
        <f>AND(ConsolidatedEventList!#REF!,"AAAAADx/TZc=")</f>
        <v>#REF!</v>
      </c>
      <c r="EW56" t="e">
        <f>AND(ConsolidatedEventList!#REF!,"AAAAADx/TZg=")</f>
        <v>#REF!</v>
      </c>
      <c r="EX56" t="e">
        <f>AND(ConsolidatedEventList!#REF!,"AAAAADx/TZk=")</f>
        <v>#REF!</v>
      </c>
      <c r="EY56" t="e">
        <f>AND(ConsolidatedEventList!#REF!,"AAAAADx/TZo=")</f>
        <v>#REF!</v>
      </c>
      <c r="EZ56" t="e">
        <f>AND(ConsolidatedEventList!#REF!,"AAAAADx/TZs=")</f>
        <v>#REF!</v>
      </c>
      <c r="FA56" t="e">
        <f>AND(ConsolidatedEventList!#REF!,"AAAAADx/TZw=")</f>
        <v>#REF!</v>
      </c>
      <c r="FB56" t="e">
        <f>AND(ConsolidatedEventList!#REF!,"AAAAADx/TZ0=")</f>
        <v>#REF!</v>
      </c>
      <c r="FC56" t="e">
        <f>AND(ConsolidatedEventList!#REF!,"AAAAADx/TZ4=")</f>
        <v>#REF!</v>
      </c>
      <c r="FD56" t="e">
        <f>IF(ConsolidatedEventList!#REF!,"AAAAADx/TZ8=",0)</f>
        <v>#REF!</v>
      </c>
      <c r="FE56" t="e">
        <f>AND(ConsolidatedEventList!#REF!,"AAAAADx/TaA=")</f>
        <v>#REF!</v>
      </c>
      <c r="FF56" t="e">
        <f>AND(ConsolidatedEventList!#REF!,"AAAAADx/TaE=")</f>
        <v>#REF!</v>
      </c>
      <c r="FG56" t="e">
        <f>AND(ConsolidatedEventList!#REF!,"AAAAADx/TaI=")</f>
        <v>#REF!</v>
      </c>
      <c r="FH56" t="e">
        <f>AND(ConsolidatedEventList!#REF!,"AAAAADx/TaM=")</f>
        <v>#REF!</v>
      </c>
      <c r="FI56" t="e">
        <f>AND(ConsolidatedEventList!#REF!,"AAAAADx/TaQ=")</f>
        <v>#REF!</v>
      </c>
      <c r="FJ56" t="e">
        <f>AND(ConsolidatedEventList!#REF!,"AAAAADx/TaU=")</f>
        <v>#REF!</v>
      </c>
      <c r="FK56" t="e">
        <f>AND(ConsolidatedEventList!#REF!,"AAAAADx/TaY=")</f>
        <v>#REF!</v>
      </c>
      <c r="FL56" t="e">
        <f>AND(ConsolidatedEventList!#REF!,"AAAAADx/Tac=")</f>
        <v>#REF!</v>
      </c>
      <c r="FM56" t="e">
        <f>IF(ConsolidatedEventList!#REF!,"AAAAADx/Tag=",0)</f>
        <v>#REF!</v>
      </c>
      <c r="FN56" t="e">
        <f>AND(ConsolidatedEventList!#REF!,"AAAAADx/Tak=")</f>
        <v>#REF!</v>
      </c>
      <c r="FO56" t="e">
        <f>AND(ConsolidatedEventList!#REF!,"AAAAADx/Tao=")</f>
        <v>#REF!</v>
      </c>
      <c r="FP56" t="e">
        <f>AND(ConsolidatedEventList!#REF!,"AAAAADx/Tas=")</f>
        <v>#REF!</v>
      </c>
      <c r="FQ56" t="e">
        <f>AND(ConsolidatedEventList!#REF!,"AAAAADx/Taw=")</f>
        <v>#REF!</v>
      </c>
      <c r="FR56" t="e">
        <f>AND(ConsolidatedEventList!#REF!,"AAAAADx/Ta0=")</f>
        <v>#REF!</v>
      </c>
      <c r="FS56" t="e">
        <f>AND(ConsolidatedEventList!#REF!,"AAAAADx/Ta4=")</f>
        <v>#REF!</v>
      </c>
      <c r="FT56" t="e">
        <f>AND(ConsolidatedEventList!#REF!,"AAAAADx/Ta8=")</f>
        <v>#REF!</v>
      </c>
      <c r="FU56" t="e">
        <f>AND(ConsolidatedEventList!#REF!,"AAAAADx/TbA=")</f>
        <v>#REF!</v>
      </c>
      <c r="FV56" t="e">
        <f>IF(ConsolidatedEventList!#REF!,"AAAAADx/TbE=",0)</f>
        <v>#REF!</v>
      </c>
      <c r="FW56" t="e">
        <f>AND(ConsolidatedEventList!#REF!,"AAAAADx/TbI=")</f>
        <v>#REF!</v>
      </c>
      <c r="FX56" t="e">
        <f>AND(ConsolidatedEventList!#REF!,"AAAAADx/TbM=")</f>
        <v>#REF!</v>
      </c>
      <c r="FY56" t="e">
        <f>AND(ConsolidatedEventList!#REF!,"AAAAADx/TbQ=")</f>
        <v>#REF!</v>
      </c>
      <c r="FZ56" t="e">
        <f>AND(ConsolidatedEventList!#REF!,"AAAAADx/TbU=")</f>
        <v>#REF!</v>
      </c>
      <c r="GA56" t="e">
        <f>AND(ConsolidatedEventList!#REF!,"AAAAADx/TbY=")</f>
        <v>#REF!</v>
      </c>
      <c r="GB56" t="e">
        <f>AND(ConsolidatedEventList!#REF!,"AAAAADx/Tbc=")</f>
        <v>#REF!</v>
      </c>
      <c r="GC56" t="e">
        <f>AND(ConsolidatedEventList!#REF!,"AAAAADx/Tbg=")</f>
        <v>#REF!</v>
      </c>
      <c r="GD56" t="e">
        <f>AND(ConsolidatedEventList!#REF!,"AAAAADx/Tbk=")</f>
        <v>#REF!</v>
      </c>
      <c r="GE56" t="e">
        <f>IF(ConsolidatedEventList!#REF!,"AAAAADx/Tbo=",0)</f>
        <v>#REF!</v>
      </c>
      <c r="GF56" t="e">
        <f>AND(ConsolidatedEventList!#REF!,"AAAAADx/Tbs=")</f>
        <v>#REF!</v>
      </c>
      <c r="GG56" t="e">
        <f>AND(ConsolidatedEventList!#REF!,"AAAAADx/Tbw=")</f>
        <v>#REF!</v>
      </c>
      <c r="GH56" t="e">
        <f>AND(ConsolidatedEventList!#REF!,"AAAAADx/Tb0=")</f>
        <v>#REF!</v>
      </c>
      <c r="GI56" t="e">
        <f>AND(ConsolidatedEventList!#REF!,"AAAAADx/Tb4=")</f>
        <v>#REF!</v>
      </c>
      <c r="GJ56" t="e">
        <f>AND(ConsolidatedEventList!#REF!,"AAAAADx/Tb8=")</f>
        <v>#REF!</v>
      </c>
      <c r="GK56" t="e">
        <f>AND(ConsolidatedEventList!#REF!,"AAAAADx/TcA=")</f>
        <v>#REF!</v>
      </c>
      <c r="GL56" t="e">
        <f>AND(ConsolidatedEventList!#REF!,"AAAAADx/TcE=")</f>
        <v>#REF!</v>
      </c>
      <c r="GM56" t="e">
        <f>AND(ConsolidatedEventList!#REF!,"AAAAADx/TcI=")</f>
        <v>#REF!</v>
      </c>
      <c r="GN56" t="e">
        <f>IF(ConsolidatedEventList!#REF!,"AAAAADx/TcM=",0)</f>
        <v>#REF!</v>
      </c>
      <c r="GO56" t="e">
        <f>AND(ConsolidatedEventList!#REF!,"AAAAADx/TcQ=")</f>
        <v>#REF!</v>
      </c>
      <c r="GP56" t="e">
        <f>AND(ConsolidatedEventList!#REF!,"AAAAADx/TcU=")</f>
        <v>#REF!</v>
      </c>
      <c r="GQ56" t="e">
        <f>AND(ConsolidatedEventList!#REF!,"AAAAADx/TcY=")</f>
        <v>#REF!</v>
      </c>
      <c r="GR56" t="e">
        <f>AND(ConsolidatedEventList!#REF!,"AAAAADx/Tcc=")</f>
        <v>#REF!</v>
      </c>
      <c r="GS56" t="e">
        <f>AND(ConsolidatedEventList!#REF!,"AAAAADx/Tcg=")</f>
        <v>#REF!</v>
      </c>
      <c r="GT56" t="e">
        <f>AND(ConsolidatedEventList!#REF!,"AAAAADx/Tck=")</f>
        <v>#REF!</v>
      </c>
      <c r="GU56" t="e">
        <f>AND(ConsolidatedEventList!#REF!,"AAAAADx/Tco=")</f>
        <v>#REF!</v>
      </c>
      <c r="GV56" t="e">
        <f>AND(ConsolidatedEventList!#REF!,"AAAAADx/Tcs=")</f>
        <v>#REF!</v>
      </c>
      <c r="GW56" t="e">
        <f>IF(ConsolidatedEventList!#REF!,"AAAAADx/Tcw=",0)</f>
        <v>#REF!</v>
      </c>
      <c r="GX56" t="e">
        <f>AND(ConsolidatedEventList!#REF!,"AAAAADx/Tc0=")</f>
        <v>#REF!</v>
      </c>
      <c r="GY56" t="e">
        <f>AND(ConsolidatedEventList!#REF!,"AAAAADx/Tc4=")</f>
        <v>#REF!</v>
      </c>
      <c r="GZ56" t="e">
        <f>AND(ConsolidatedEventList!#REF!,"AAAAADx/Tc8=")</f>
        <v>#REF!</v>
      </c>
      <c r="HA56" t="e">
        <f>AND(ConsolidatedEventList!#REF!,"AAAAADx/TdA=")</f>
        <v>#REF!</v>
      </c>
      <c r="HB56" t="e">
        <f>AND(ConsolidatedEventList!#REF!,"AAAAADx/TdE=")</f>
        <v>#REF!</v>
      </c>
      <c r="HC56" t="e">
        <f>AND(ConsolidatedEventList!#REF!,"AAAAADx/TdI=")</f>
        <v>#REF!</v>
      </c>
      <c r="HD56" t="e">
        <f>AND(ConsolidatedEventList!#REF!,"AAAAADx/TdM=")</f>
        <v>#REF!</v>
      </c>
      <c r="HE56" t="e">
        <f>AND(ConsolidatedEventList!#REF!,"AAAAADx/TdQ=")</f>
        <v>#REF!</v>
      </c>
      <c r="HF56" t="e">
        <f>IF(ConsolidatedEventList!#REF!,"AAAAADx/TdU=",0)</f>
        <v>#REF!</v>
      </c>
      <c r="HG56" t="e">
        <f>AND(ConsolidatedEventList!#REF!,"AAAAADx/TdY=")</f>
        <v>#REF!</v>
      </c>
      <c r="HH56" t="e">
        <f>AND(ConsolidatedEventList!#REF!,"AAAAADx/Tdc=")</f>
        <v>#REF!</v>
      </c>
      <c r="HI56" t="e">
        <f>AND(ConsolidatedEventList!#REF!,"AAAAADx/Tdg=")</f>
        <v>#REF!</v>
      </c>
      <c r="HJ56" t="e">
        <f>AND(ConsolidatedEventList!#REF!,"AAAAADx/Tdk=")</f>
        <v>#REF!</v>
      </c>
      <c r="HK56" t="e">
        <f>AND(ConsolidatedEventList!#REF!,"AAAAADx/Tdo=")</f>
        <v>#REF!</v>
      </c>
      <c r="HL56" t="e">
        <f>AND(ConsolidatedEventList!#REF!,"AAAAADx/Tds=")</f>
        <v>#REF!</v>
      </c>
      <c r="HM56" t="e">
        <f>AND(ConsolidatedEventList!#REF!,"AAAAADx/Tdw=")</f>
        <v>#REF!</v>
      </c>
      <c r="HN56" t="e">
        <f>AND(ConsolidatedEventList!#REF!,"AAAAADx/Td0=")</f>
        <v>#REF!</v>
      </c>
      <c r="HO56" t="e">
        <f>IF(ConsolidatedEventList!#REF!,"AAAAADx/Td4=",0)</f>
        <v>#REF!</v>
      </c>
      <c r="HP56" t="e">
        <f>AND(ConsolidatedEventList!#REF!,"AAAAADx/Td8=")</f>
        <v>#REF!</v>
      </c>
      <c r="HQ56" t="e">
        <f>AND(ConsolidatedEventList!#REF!,"AAAAADx/TeA=")</f>
        <v>#REF!</v>
      </c>
      <c r="HR56" t="e">
        <f>AND(ConsolidatedEventList!#REF!,"AAAAADx/TeE=")</f>
        <v>#REF!</v>
      </c>
      <c r="HS56" t="e">
        <f>AND(ConsolidatedEventList!#REF!,"AAAAADx/TeI=")</f>
        <v>#REF!</v>
      </c>
      <c r="HT56" t="e">
        <f>AND(ConsolidatedEventList!#REF!,"AAAAADx/TeM=")</f>
        <v>#REF!</v>
      </c>
      <c r="HU56" t="e">
        <f>AND(ConsolidatedEventList!#REF!,"AAAAADx/TeQ=")</f>
        <v>#REF!</v>
      </c>
      <c r="HV56" t="e">
        <f>AND(ConsolidatedEventList!#REF!,"AAAAADx/TeU=")</f>
        <v>#REF!</v>
      </c>
      <c r="HW56" t="e">
        <f>AND(ConsolidatedEventList!#REF!,"AAAAADx/TeY=")</f>
        <v>#REF!</v>
      </c>
      <c r="HX56" t="e">
        <f>IF(ConsolidatedEventList!#REF!,"AAAAADx/Tec=",0)</f>
        <v>#REF!</v>
      </c>
      <c r="HY56" t="e">
        <f>AND(ConsolidatedEventList!#REF!,"AAAAADx/Teg=")</f>
        <v>#REF!</v>
      </c>
      <c r="HZ56" t="e">
        <f>AND(ConsolidatedEventList!#REF!,"AAAAADx/Tek=")</f>
        <v>#REF!</v>
      </c>
      <c r="IA56" t="e">
        <f>AND(ConsolidatedEventList!#REF!,"AAAAADx/Teo=")</f>
        <v>#REF!</v>
      </c>
      <c r="IB56" t="e">
        <f>AND(ConsolidatedEventList!#REF!,"AAAAADx/Tes=")</f>
        <v>#REF!</v>
      </c>
      <c r="IC56" t="e">
        <f>AND(ConsolidatedEventList!#REF!,"AAAAADx/Tew=")</f>
        <v>#REF!</v>
      </c>
      <c r="ID56" t="e">
        <f>AND(ConsolidatedEventList!#REF!,"AAAAADx/Te0=")</f>
        <v>#REF!</v>
      </c>
      <c r="IE56" t="e">
        <f>AND(ConsolidatedEventList!#REF!,"AAAAADx/Te4=")</f>
        <v>#REF!</v>
      </c>
      <c r="IF56" t="e">
        <f>AND(ConsolidatedEventList!#REF!,"AAAAADx/Te8=")</f>
        <v>#REF!</v>
      </c>
      <c r="IG56">
        <f>IF(ConsolidatedEventList!171:171,"AAAAADx/TfA=",0)</f>
        <v>0</v>
      </c>
      <c r="IH56" t="e">
        <f>AND(ConsolidatedEventList!A171,"AAAAADx/TfE=")</f>
        <v>#VALUE!</v>
      </c>
      <c r="II56" t="e">
        <f>AND(ConsolidatedEventList!B171,"AAAAADx/TfI=")</f>
        <v>#VALUE!</v>
      </c>
      <c r="IJ56" t="e">
        <f>AND(ConsolidatedEventList!C171,"AAAAADx/TfM=")</f>
        <v>#VALUE!</v>
      </c>
      <c r="IK56" t="e">
        <f>AND(ConsolidatedEventList!D171,"AAAAADx/TfQ=")</f>
        <v>#VALUE!</v>
      </c>
      <c r="IL56" t="e">
        <f>AND(ConsolidatedEventList!E171,"AAAAADx/TfU=")</f>
        <v>#VALUE!</v>
      </c>
      <c r="IM56" t="e">
        <f>AND(ConsolidatedEventList!F171,"AAAAADx/TfY=")</f>
        <v>#VALUE!</v>
      </c>
      <c r="IN56" t="e">
        <f>AND(ConsolidatedEventList!G171,"AAAAADx/Tfc=")</f>
        <v>#VALUE!</v>
      </c>
      <c r="IO56" t="e">
        <f>AND(ConsolidatedEventList!H171,"AAAAADx/Tfg=")</f>
        <v>#VALUE!</v>
      </c>
      <c r="IP56">
        <f>IF(ConsolidatedEventList!172:172,"AAAAADx/Tfk=",0)</f>
        <v>0</v>
      </c>
      <c r="IQ56" t="e">
        <f>AND(ConsolidatedEventList!A172,"AAAAADx/Tfo=")</f>
        <v>#VALUE!</v>
      </c>
      <c r="IR56" t="e">
        <f>AND(ConsolidatedEventList!B172,"AAAAADx/Tfs=")</f>
        <v>#VALUE!</v>
      </c>
      <c r="IS56" t="e">
        <f>AND(ConsolidatedEventList!C172,"AAAAADx/Tfw=")</f>
        <v>#VALUE!</v>
      </c>
      <c r="IT56" t="e">
        <f>AND(ConsolidatedEventList!D172,"AAAAADx/Tf0=")</f>
        <v>#VALUE!</v>
      </c>
      <c r="IU56" t="e">
        <f>AND(ConsolidatedEventList!E172,"AAAAADx/Tf4=")</f>
        <v>#VALUE!</v>
      </c>
      <c r="IV56" t="e">
        <f>AND(ConsolidatedEventList!F172,"AAAAADx/Tf8=")</f>
        <v>#VALUE!</v>
      </c>
    </row>
    <row r="57" spans="1:256" x14ac:dyDescent="0.25">
      <c r="A57" t="e">
        <f>AND(ConsolidatedEventList!G172,"AAAAACu82wA=")</f>
        <v>#VALUE!</v>
      </c>
      <c r="B57" t="e">
        <f>AND(ConsolidatedEventList!H172,"AAAAACu82wE=")</f>
        <v>#VALUE!</v>
      </c>
      <c r="C57" t="e">
        <f>IF(ConsolidatedEventList!173:173,"AAAAACu82wI=",0)</f>
        <v>#VALUE!</v>
      </c>
      <c r="D57" t="e">
        <f>AND(ConsolidatedEventList!A173,"AAAAACu82wM=")</f>
        <v>#VALUE!</v>
      </c>
      <c r="E57" t="e">
        <f>AND(ConsolidatedEventList!B173,"AAAAACu82wQ=")</f>
        <v>#VALUE!</v>
      </c>
      <c r="F57" t="e">
        <f>AND(ConsolidatedEventList!C173,"AAAAACu82wU=")</f>
        <v>#VALUE!</v>
      </c>
      <c r="G57" t="e">
        <f>AND(ConsolidatedEventList!D173,"AAAAACu82wY=")</f>
        <v>#VALUE!</v>
      </c>
      <c r="H57" t="e">
        <f>AND(ConsolidatedEventList!E173,"AAAAACu82wc=")</f>
        <v>#VALUE!</v>
      </c>
      <c r="I57" t="e">
        <f>AND(ConsolidatedEventList!F173,"AAAAACu82wg=")</f>
        <v>#VALUE!</v>
      </c>
      <c r="J57" t="e">
        <f>AND(ConsolidatedEventList!G173,"AAAAACu82wk=")</f>
        <v>#VALUE!</v>
      </c>
      <c r="K57" t="e">
        <f>AND(ConsolidatedEventList!H173,"AAAAACu82wo=")</f>
        <v>#VALUE!</v>
      </c>
      <c r="L57">
        <f>IF(ConsolidatedEventList!174:174,"AAAAACu82ws=",0)</f>
        <v>0</v>
      </c>
      <c r="M57" t="e">
        <f>AND(ConsolidatedEventList!A174,"AAAAACu82ww=")</f>
        <v>#VALUE!</v>
      </c>
      <c r="N57" t="e">
        <f>AND(ConsolidatedEventList!B174,"AAAAACu82w0=")</f>
        <v>#VALUE!</v>
      </c>
      <c r="O57" t="e">
        <f>AND(ConsolidatedEventList!C174,"AAAAACu82w4=")</f>
        <v>#VALUE!</v>
      </c>
      <c r="P57" t="e">
        <f>AND(ConsolidatedEventList!D174,"AAAAACu82w8=")</f>
        <v>#VALUE!</v>
      </c>
      <c r="Q57" t="e">
        <f>AND(ConsolidatedEventList!E174,"AAAAACu82xA=")</f>
        <v>#VALUE!</v>
      </c>
      <c r="R57" t="e">
        <f>AND(ConsolidatedEventList!F174,"AAAAACu82xE=")</f>
        <v>#VALUE!</v>
      </c>
      <c r="S57" t="e">
        <f>AND(ConsolidatedEventList!G174,"AAAAACu82xI=")</f>
        <v>#VALUE!</v>
      </c>
      <c r="T57" t="e">
        <f>AND(ConsolidatedEventList!H174,"AAAAACu82xM=")</f>
        <v>#VALUE!</v>
      </c>
      <c r="U57">
        <f>IF(ConsolidatedEventList!175:175,"AAAAACu82xQ=",0)</f>
        <v>0</v>
      </c>
      <c r="V57" t="e">
        <f>AND(ConsolidatedEventList!A175,"AAAAACu82xU=")</f>
        <v>#VALUE!</v>
      </c>
      <c r="W57" t="e">
        <f>AND(ConsolidatedEventList!B175,"AAAAACu82xY=")</f>
        <v>#VALUE!</v>
      </c>
      <c r="X57" t="e">
        <f>AND(ConsolidatedEventList!C175,"AAAAACu82xc=")</f>
        <v>#VALUE!</v>
      </c>
      <c r="Y57" t="e">
        <f>AND(ConsolidatedEventList!D175,"AAAAACu82xg=")</f>
        <v>#VALUE!</v>
      </c>
      <c r="Z57" t="e">
        <f>AND(ConsolidatedEventList!E175,"AAAAACu82xk=")</f>
        <v>#VALUE!</v>
      </c>
      <c r="AA57" t="e">
        <f>AND(ConsolidatedEventList!F175,"AAAAACu82xo=")</f>
        <v>#VALUE!</v>
      </c>
      <c r="AB57" t="e">
        <f>AND(ConsolidatedEventList!G175,"AAAAACu82xs=")</f>
        <v>#VALUE!</v>
      </c>
      <c r="AC57" t="e">
        <f>AND(ConsolidatedEventList!H175,"AAAAACu82xw=")</f>
        <v>#VALUE!</v>
      </c>
      <c r="AD57">
        <f>IF(ConsolidatedEventList!176:176,"AAAAACu82x0=",0)</f>
        <v>0</v>
      </c>
      <c r="AE57" t="e">
        <f>AND(ConsolidatedEventList!A176,"AAAAACu82x4=")</f>
        <v>#VALUE!</v>
      </c>
      <c r="AF57" t="e">
        <f>AND(ConsolidatedEventList!B176,"AAAAACu82x8=")</f>
        <v>#VALUE!</v>
      </c>
      <c r="AG57" t="e">
        <f>AND(ConsolidatedEventList!C176,"AAAAACu82yA=")</f>
        <v>#VALUE!</v>
      </c>
      <c r="AH57" t="e">
        <f>AND(ConsolidatedEventList!D176,"AAAAACu82yE=")</f>
        <v>#VALUE!</v>
      </c>
      <c r="AI57" t="e">
        <f>AND(ConsolidatedEventList!E176,"AAAAACu82yI=")</f>
        <v>#VALUE!</v>
      </c>
      <c r="AJ57" t="e">
        <f>AND(ConsolidatedEventList!F176,"AAAAACu82yM=")</f>
        <v>#VALUE!</v>
      </c>
      <c r="AK57" t="e">
        <f>AND(ConsolidatedEventList!G176,"AAAAACu82yQ=")</f>
        <v>#VALUE!</v>
      </c>
      <c r="AL57" t="e">
        <f>AND(ConsolidatedEventList!H176,"AAAAACu82yU=")</f>
        <v>#VALUE!</v>
      </c>
      <c r="AM57">
        <f>IF(ConsolidatedEventList!177:177,"AAAAACu82yY=",0)</f>
        <v>0</v>
      </c>
      <c r="AN57" t="e">
        <f>AND(ConsolidatedEventList!A177,"AAAAACu82yc=")</f>
        <v>#VALUE!</v>
      </c>
      <c r="AO57" t="e">
        <f>AND(ConsolidatedEventList!B177,"AAAAACu82yg=")</f>
        <v>#VALUE!</v>
      </c>
      <c r="AP57" t="e">
        <f>AND(ConsolidatedEventList!C177,"AAAAACu82yk=")</f>
        <v>#VALUE!</v>
      </c>
      <c r="AQ57" t="e">
        <f>AND(ConsolidatedEventList!D177,"AAAAACu82yo=")</f>
        <v>#VALUE!</v>
      </c>
      <c r="AR57" t="e">
        <f>AND(ConsolidatedEventList!E177,"AAAAACu82ys=")</f>
        <v>#VALUE!</v>
      </c>
      <c r="AS57" t="e">
        <f>AND(ConsolidatedEventList!F177,"AAAAACu82yw=")</f>
        <v>#VALUE!</v>
      </c>
      <c r="AT57" t="e">
        <f>AND(ConsolidatedEventList!G177,"AAAAACu82y0=")</f>
        <v>#VALUE!</v>
      </c>
      <c r="AU57" t="e">
        <f>AND(ConsolidatedEventList!H177,"AAAAACu82y4=")</f>
        <v>#VALUE!</v>
      </c>
      <c r="AV57">
        <f>IF(ConsolidatedEventList!178:178,"AAAAACu82y8=",0)</f>
        <v>0</v>
      </c>
      <c r="AW57" t="e">
        <f>AND(ConsolidatedEventList!A178,"AAAAACu82zA=")</f>
        <v>#VALUE!</v>
      </c>
      <c r="AX57" t="e">
        <f>AND(ConsolidatedEventList!B178,"AAAAACu82zE=")</f>
        <v>#VALUE!</v>
      </c>
      <c r="AY57" t="e">
        <f>AND(ConsolidatedEventList!C178,"AAAAACu82zI=")</f>
        <v>#VALUE!</v>
      </c>
      <c r="AZ57" t="e">
        <f>AND(ConsolidatedEventList!D178,"AAAAACu82zM=")</f>
        <v>#VALUE!</v>
      </c>
      <c r="BA57" t="e">
        <f>AND(ConsolidatedEventList!E178,"AAAAACu82zQ=")</f>
        <v>#VALUE!</v>
      </c>
      <c r="BB57" t="e">
        <f>AND(ConsolidatedEventList!F178,"AAAAACu82zU=")</f>
        <v>#VALUE!</v>
      </c>
      <c r="BC57" t="e">
        <f>AND(ConsolidatedEventList!G178,"AAAAACu82zY=")</f>
        <v>#VALUE!</v>
      </c>
      <c r="BD57" t="e">
        <f>AND(ConsolidatedEventList!H178,"AAAAACu82zc=")</f>
        <v>#VALUE!</v>
      </c>
      <c r="BE57">
        <f>IF(ConsolidatedEventList!179:179,"AAAAACu82zg=",0)</f>
        <v>0</v>
      </c>
      <c r="BF57" t="e">
        <f>AND(ConsolidatedEventList!A179,"AAAAACu82zk=")</f>
        <v>#VALUE!</v>
      </c>
      <c r="BG57" t="e">
        <f>AND(ConsolidatedEventList!B179,"AAAAACu82zo=")</f>
        <v>#VALUE!</v>
      </c>
      <c r="BH57" t="e">
        <f>AND(ConsolidatedEventList!C179,"AAAAACu82zs=")</f>
        <v>#VALUE!</v>
      </c>
      <c r="BI57" t="e">
        <f>AND(ConsolidatedEventList!D179,"AAAAACu82zw=")</f>
        <v>#VALUE!</v>
      </c>
      <c r="BJ57" t="e">
        <f>AND(ConsolidatedEventList!E179,"AAAAACu82z0=")</f>
        <v>#VALUE!</v>
      </c>
      <c r="BK57" t="e">
        <f>AND(ConsolidatedEventList!F179,"AAAAACu82z4=")</f>
        <v>#VALUE!</v>
      </c>
      <c r="BL57" t="e">
        <f>AND(ConsolidatedEventList!G179,"AAAAACu82z8=")</f>
        <v>#VALUE!</v>
      </c>
      <c r="BM57" t="e">
        <f>AND(ConsolidatedEventList!H179,"AAAAACu820A=")</f>
        <v>#VALUE!</v>
      </c>
      <c r="BN57">
        <f>IF(ConsolidatedEventList!180:180,"AAAAACu820E=",0)</f>
        <v>0</v>
      </c>
      <c r="BO57" t="e">
        <f>AND(ConsolidatedEventList!A180,"AAAAACu820I=")</f>
        <v>#VALUE!</v>
      </c>
      <c r="BP57" t="e">
        <f>AND(ConsolidatedEventList!B180,"AAAAACu820M=")</f>
        <v>#VALUE!</v>
      </c>
      <c r="BQ57" t="e">
        <f>AND(ConsolidatedEventList!C180,"AAAAACu820Q=")</f>
        <v>#VALUE!</v>
      </c>
      <c r="BR57" t="e">
        <f>AND(ConsolidatedEventList!D180,"AAAAACu820U=")</f>
        <v>#VALUE!</v>
      </c>
      <c r="BS57" t="e">
        <f>AND(ConsolidatedEventList!E180,"AAAAACu820Y=")</f>
        <v>#VALUE!</v>
      </c>
      <c r="BT57" t="e">
        <f>AND(ConsolidatedEventList!F180,"AAAAACu820c=")</f>
        <v>#VALUE!</v>
      </c>
      <c r="BU57" t="e">
        <f>AND(ConsolidatedEventList!G180,"AAAAACu820g=")</f>
        <v>#VALUE!</v>
      </c>
      <c r="BV57" t="e">
        <f>AND(ConsolidatedEventList!H180,"AAAAACu820k=")</f>
        <v>#VALUE!</v>
      </c>
      <c r="BW57">
        <f>IF(ConsolidatedEventList!181:181,"AAAAACu820o=",0)</f>
        <v>0</v>
      </c>
      <c r="BX57" t="e">
        <f>AND(ConsolidatedEventList!A181,"AAAAACu820s=")</f>
        <v>#VALUE!</v>
      </c>
      <c r="BY57" t="e">
        <f>AND(ConsolidatedEventList!B181,"AAAAACu820w=")</f>
        <v>#VALUE!</v>
      </c>
      <c r="BZ57" t="e">
        <f>AND(ConsolidatedEventList!C181,"AAAAACu8200=")</f>
        <v>#VALUE!</v>
      </c>
      <c r="CA57" t="e">
        <f>AND(ConsolidatedEventList!D181,"AAAAACu8204=")</f>
        <v>#VALUE!</v>
      </c>
      <c r="CB57" t="e">
        <f>AND(ConsolidatedEventList!E181,"AAAAACu8208=")</f>
        <v>#VALUE!</v>
      </c>
      <c r="CC57" t="e">
        <f>AND(ConsolidatedEventList!F181,"AAAAACu821A=")</f>
        <v>#VALUE!</v>
      </c>
      <c r="CD57" t="e">
        <f>AND(ConsolidatedEventList!G181,"AAAAACu821E=")</f>
        <v>#VALUE!</v>
      </c>
      <c r="CE57" t="e">
        <f>AND(ConsolidatedEventList!H181,"AAAAACu821I=")</f>
        <v>#VALUE!</v>
      </c>
      <c r="CF57">
        <f>IF(ConsolidatedEventList!182:182,"AAAAACu821M=",0)</f>
        <v>0</v>
      </c>
      <c r="CG57" t="e">
        <f>AND(ConsolidatedEventList!A182,"AAAAACu821Q=")</f>
        <v>#VALUE!</v>
      </c>
      <c r="CH57" t="e">
        <f>AND(ConsolidatedEventList!B182,"AAAAACu821U=")</f>
        <v>#VALUE!</v>
      </c>
      <c r="CI57" t="e">
        <f>AND(ConsolidatedEventList!C182,"AAAAACu821Y=")</f>
        <v>#VALUE!</v>
      </c>
      <c r="CJ57" t="e">
        <f>AND(ConsolidatedEventList!D182,"AAAAACu821c=")</f>
        <v>#VALUE!</v>
      </c>
      <c r="CK57" t="e">
        <f>AND(ConsolidatedEventList!E182,"AAAAACu821g=")</f>
        <v>#VALUE!</v>
      </c>
      <c r="CL57" t="e">
        <f>AND(ConsolidatedEventList!F182,"AAAAACu821k=")</f>
        <v>#VALUE!</v>
      </c>
      <c r="CM57" t="e">
        <f>AND(ConsolidatedEventList!G182,"AAAAACu821o=")</f>
        <v>#VALUE!</v>
      </c>
      <c r="CN57" t="e">
        <f>AND(ConsolidatedEventList!H182,"AAAAACu821s=")</f>
        <v>#VALUE!</v>
      </c>
      <c r="CO57">
        <f>IF(ConsolidatedEventList!183:183,"AAAAACu821w=",0)</f>
        <v>0</v>
      </c>
      <c r="CP57" t="e">
        <f>AND(ConsolidatedEventList!A183,"AAAAACu8210=")</f>
        <v>#VALUE!</v>
      </c>
      <c r="CQ57" t="e">
        <f>AND(ConsolidatedEventList!B183,"AAAAACu8214=")</f>
        <v>#VALUE!</v>
      </c>
      <c r="CR57" t="e">
        <f>AND(ConsolidatedEventList!C183,"AAAAACu8218=")</f>
        <v>#VALUE!</v>
      </c>
      <c r="CS57" t="e">
        <f>AND(ConsolidatedEventList!D183,"AAAAACu822A=")</f>
        <v>#VALUE!</v>
      </c>
      <c r="CT57" t="e">
        <f>AND(ConsolidatedEventList!E183,"AAAAACu822E=")</f>
        <v>#VALUE!</v>
      </c>
      <c r="CU57" t="e">
        <f>AND(ConsolidatedEventList!F183,"AAAAACu822I=")</f>
        <v>#VALUE!</v>
      </c>
      <c r="CV57" t="e">
        <f>AND(ConsolidatedEventList!G183,"AAAAACu822M=")</f>
        <v>#VALUE!</v>
      </c>
      <c r="CW57" t="e">
        <f>AND(ConsolidatedEventList!H183,"AAAAACu822Q=")</f>
        <v>#VALUE!</v>
      </c>
      <c r="CX57">
        <f>IF(ConsolidatedEventList!184:184,"AAAAACu822U=",0)</f>
        <v>0</v>
      </c>
      <c r="CY57" t="e">
        <f>AND(ConsolidatedEventList!A184,"AAAAACu822Y=")</f>
        <v>#VALUE!</v>
      </c>
      <c r="CZ57" t="e">
        <f>AND(ConsolidatedEventList!B184,"AAAAACu822c=")</f>
        <v>#VALUE!</v>
      </c>
      <c r="DA57" t="e">
        <f>AND(ConsolidatedEventList!C184,"AAAAACu822g=")</f>
        <v>#VALUE!</v>
      </c>
      <c r="DB57" t="e">
        <f>AND(ConsolidatedEventList!D184,"AAAAACu822k=")</f>
        <v>#VALUE!</v>
      </c>
      <c r="DC57" t="e">
        <f>AND(ConsolidatedEventList!E184,"AAAAACu822o=")</f>
        <v>#VALUE!</v>
      </c>
      <c r="DD57" t="e">
        <f>AND(ConsolidatedEventList!F184,"AAAAACu822s=")</f>
        <v>#VALUE!</v>
      </c>
      <c r="DE57" t="e">
        <f>AND(ConsolidatedEventList!G184,"AAAAACu822w=")</f>
        <v>#VALUE!</v>
      </c>
      <c r="DF57" t="e">
        <f>AND(ConsolidatedEventList!H184,"AAAAACu8220=")</f>
        <v>#VALUE!</v>
      </c>
      <c r="DG57">
        <f>IF(ConsolidatedEventList!185:185,"AAAAACu8224=",0)</f>
        <v>0</v>
      </c>
      <c r="DH57" t="e">
        <f>AND(ConsolidatedEventList!A185,"AAAAACu8228=")</f>
        <v>#VALUE!</v>
      </c>
      <c r="DI57" t="e">
        <f>AND(ConsolidatedEventList!B185,"AAAAACu823A=")</f>
        <v>#VALUE!</v>
      </c>
      <c r="DJ57" t="e">
        <f>AND(ConsolidatedEventList!C185,"AAAAACu823E=")</f>
        <v>#VALUE!</v>
      </c>
      <c r="DK57" t="e">
        <f>AND(ConsolidatedEventList!D185,"AAAAACu823I=")</f>
        <v>#VALUE!</v>
      </c>
      <c r="DL57" t="e">
        <f>AND(ConsolidatedEventList!E185,"AAAAACu823M=")</f>
        <v>#VALUE!</v>
      </c>
      <c r="DM57" t="e">
        <f>AND(ConsolidatedEventList!F185,"AAAAACu823Q=")</f>
        <v>#VALUE!</v>
      </c>
      <c r="DN57" t="e">
        <f>AND(ConsolidatedEventList!G185,"AAAAACu823U=")</f>
        <v>#VALUE!</v>
      </c>
      <c r="DO57" t="e">
        <f>AND(ConsolidatedEventList!H185,"AAAAACu823Y=")</f>
        <v>#VALUE!</v>
      </c>
      <c r="DP57">
        <f>IF(ConsolidatedEventList!186:186,"AAAAACu823c=",0)</f>
        <v>0</v>
      </c>
      <c r="DQ57" t="e">
        <f>AND(ConsolidatedEventList!A186,"AAAAACu823g=")</f>
        <v>#VALUE!</v>
      </c>
      <c r="DR57" t="e">
        <f>AND(ConsolidatedEventList!B186,"AAAAACu823k=")</f>
        <v>#VALUE!</v>
      </c>
      <c r="DS57" t="e">
        <f>AND(ConsolidatedEventList!C186,"AAAAACu823o=")</f>
        <v>#VALUE!</v>
      </c>
      <c r="DT57" t="e">
        <f>AND(ConsolidatedEventList!D186,"AAAAACu823s=")</f>
        <v>#VALUE!</v>
      </c>
      <c r="DU57" t="e">
        <f>AND(ConsolidatedEventList!E186,"AAAAACu823w=")</f>
        <v>#VALUE!</v>
      </c>
      <c r="DV57" t="e">
        <f>AND(ConsolidatedEventList!F186,"AAAAACu8230=")</f>
        <v>#VALUE!</v>
      </c>
      <c r="DW57" t="e">
        <f>AND(ConsolidatedEventList!G186,"AAAAACu8234=")</f>
        <v>#VALUE!</v>
      </c>
      <c r="DX57" t="e">
        <f>AND(ConsolidatedEventList!H186,"AAAAACu8238=")</f>
        <v>#VALUE!</v>
      </c>
      <c r="DY57">
        <f>IF(ConsolidatedEventList!187:187,"AAAAACu824A=",0)</f>
        <v>0</v>
      </c>
      <c r="DZ57" t="e">
        <f>AND(ConsolidatedEventList!A187,"AAAAACu824E=")</f>
        <v>#VALUE!</v>
      </c>
      <c r="EA57" t="e">
        <f>AND(ConsolidatedEventList!B187,"AAAAACu824I=")</f>
        <v>#VALUE!</v>
      </c>
      <c r="EB57" t="e">
        <f>AND(ConsolidatedEventList!C187,"AAAAACu824M=")</f>
        <v>#VALUE!</v>
      </c>
      <c r="EC57" t="e">
        <f>AND(ConsolidatedEventList!D187,"AAAAACu824Q=")</f>
        <v>#VALUE!</v>
      </c>
      <c r="ED57" t="e">
        <f>AND(ConsolidatedEventList!E187,"AAAAACu824U=")</f>
        <v>#VALUE!</v>
      </c>
      <c r="EE57" t="e">
        <f>AND(ConsolidatedEventList!F187,"AAAAACu824Y=")</f>
        <v>#VALUE!</v>
      </c>
      <c r="EF57" t="e">
        <f>AND(ConsolidatedEventList!G187,"AAAAACu824c=")</f>
        <v>#VALUE!</v>
      </c>
      <c r="EG57" t="e">
        <f>AND(ConsolidatedEventList!H187,"AAAAACu824g=")</f>
        <v>#VALUE!</v>
      </c>
      <c r="EH57">
        <f>IF(ConsolidatedEventList!188:188,"AAAAACu824k=",0)</f>
        <v>0</v>
      </c>
      <c r="EI57" t="e">
        <f>AND(ConsolidatedEventList!A188,"AAAAACu824o=")</f>
        <v>#VALUE!</v>
      </c>
      <c r="EJ57" t="e">
        <f>AND(ConsolidatedEventList!B188,"AAAAACu824s=")</f>
        <v>#VALUE!</v>
      </c>
      <c r="EK57" t="e">
        <f>AND(ConsolidatedEventList!C188,"AAAAACu824w=")</f>
        <v>#VALUE!</v>
      </c>
      <c r="EL57" t="e">
        <f>AND(ConsolidatedEventList!D188,"AAAAACu8240=")</f>
        <v>#VALUE!</v>
      </c>
      <c r="EM57" t="e">
        <f>AND(ConsolidatedEventList!E188,"AAAAACu8244=")</f>
        <v>#VALUE!</v>
      </c>
      <c r="EN57" t="e">
        <f>AND(ConsolidatedEventList!F188,"AAAAACu8248=")</f>
        <v>#VALUE!</v>
      </c>
      <c r="EO57" t="e">
        <f>AND(ConsolidatedEventList!G188,"AAAAACu825A=")</f>
        <v>#VALUE!</v>
      </c>
      <c r="EP57" t="e">
        <f>AND(ConsolidatedEventList!H188,"AAAAACu825E=")</f>
        <v>#VALUE!</v>
      </c>
      <c r="EQ57">
        <f>IF(ConsolidatedEventList!189:189,"AAAAACu825I=",0)</f>
        <v>0</v>
      </c>
      <c r="ER57" t="e">
        <f>AND(ConsolidatedEventList!A189,"AAAAACu825M=")</f>
        <v>#VALUE!</v>
      </c>
      <c r="ES57" t="e">
        <f>AND(ConsolidatedEventList!B189,"AAAAACu825Q=")</f>
        <v>#VALUE!</v>
      </c>
      <c r="ET57" t="e">
        <f>AND(ConsolidatedEventList!C189,"AAAAACu825U=")</f>
        <v>#VALUE!</v>
      </c>
      <c r="EU57" t="e">
        <f>AND(ConsolidatedEventList!D189,"AAAAACu825Y=")</f>
        <v>#VALUE!</v>
      </c>
      <c r="EV57" t="e">
        <f>AND(ConsolidatedEventList!E189,"AAAAACu825c=")</f>
        <v>#VALUE!</v>
      </c>
      <c r="EW57" t="e">
        <f>AND(ConsolidatedEventList!F189,"AAAAACu825g=")</f>
        <v>#VALUE!</v>
      </c>
      <c r="EX57" t="e">
        <f>AND(ConsolidatedEventList!G189,"AAAAACu825k=")</f>
        <v>#VALUE!</v>
      </c>
      <c r="EY57" t="e">
        <f>AND(ConsolidatedEventList!H189,"AAAAACu825o=")</f>
        <v>#VALUE!</v>
      </c>
      <c r="EZ57">
        <f>IF(ConsolidatedEventList!190:190,"AAAAACu825s=",0)</f>
        <v>0</v>
      </c>
      <c r="FA57" t="e">
        <f>AND(ConsolidatedEventList!A190,"AAAAACu825w=")</f>
        <v>#VALUE!</v>
      </c>
      <c r="FB57" t="e">
        <f>AND(ConsolidatedEventList!B190,"AAAAACu8250=")</f>
        <v>#VALUE!</v>
      </c>
      <c r="FC57" t="e">
        <f>AND(ConsolidatedEventList!C190,"AAAAACu8254=")</f>
        <v>#VALUE!</v>
      </c>
      <c r="FD57" t="e">
        <f>AND(ConsolidatedEventList!D190,"AAAAACu8258=")</f>
        <v>#VALUE!</v>
      </c>
      <c r="FE57" t="e">
        <f>AND(ConsolidatedEventList!E190,"AAAAACu826A=")</f>
        <v>#VALUE!</v>
      </c>
      <c r="FF57" t="e">
        <f>AND(ConsolidatedEventList!F190,"AAAAACu826E=")</f>
        <v>#VALUE!</v>
      </c>
      <c r="FG57" t="e">
        <f>AND(ConsolidatedEventList!G190,"AAAAACu826I=")</f>
        <v>#VALUE!</v>
      </c>
      <c r="FH57" t="e">
        <f>AND(ConsolidatedEventList!H190,"AAAAACu826M=")</f>
        <v>#VALUE!</v>
      </c>
      <c r="FI57" t="e">
        <f>IF(ConsolidatedEventList!#REF!,"AAAAACu826Q=",0)</f>
        <v>#REF!</v>
      </c>
      <c r="FJ57" t="e">
        <f>AND(ConsolidatedEventList!#REF!,"AAAAACu826U=")</f>
        <v>#REF!</v>
      </c>
      <c r="FK57" t="e">
        <f>AND(ConsolidatedEventList!#REF!,"AAAAACu826Y=")</f>
        <v>#REF!</v>
      </c>
      <c r="FL57" t="e">
        <f>AND(ConsolidatedEventList!#REF!,"AAAAACu826c=")</f>
        <v>#REF!</v>
      </c>
      <c r="FM57" t="e">
        <f>AND(ConsolidatedEventList!#REF!,"AAAAACu826g=")</f>
        <v>#REF!</v>
      </c>
      <c r="FN57" t="e">
        <f>AND(ConsolidatedEventList!#REF!,"AAAAACu826k=")</f>
        <v>#REF!</v>
      </c>
      <c r="FO57" t="e">
        <f>AND(ConsolidatedEventList!#REF!,"AAAAACu826o=")</f>
        <v>#REF!</v>
      </c>
      <c r="FP57" t="e">
        <f>AND(ConsolidatedEventList!#REF!,"AAAAACu826s=")</f>
        <v>#REF!</v>
      </c>
      <c r="FQ57" t="e">
        <f>AND(ConsolidatedEventList!#REF!,"AAAAACu826w=")</f>
        <v>#REF!</v>
      </c>
      <c r="FR57" t="e">
        <f>IF(ConsolidatedEventList!#REF!,"AAAAACu8260=",0)</f>
        <v>#REF!</v>
      </c>
      <c r="FS57" t="e">
        <f>AND(ConsolidatedEventList!#REF!,"AAAAACu8264=")</f>
        <v>#REF!</v>
      </c>
      <c r="FT57" t="e">
        <f>AND(ConsolidatedEventList!#REF!,"AAAAACu8268=")</f>
        <v>#REF!</v>
      </c>
      <c r="FU57" t="e">
        <f>AND(ConsolidatedEventList!#REF!,"AAAAACu827A=")</f>
        <v>#REF!</v>
      </c>
      <c r="FV57" t="e">
        <f>AND(ConsolidatedEventList!#REF!,"AAAAACu827E=")</f>
        <v>#REF!</v>
      </c>
      <c r="FW57" t="e">
        <f>AND(ConsolidatedEventList!#REF!,"AAAAACu827I=")</f>
        <v>#REF!</v>
      </c>
      <c r="FX57" t="e">
        <f>AND(ConsolidatedEventList!#REF!,"AAAAACu827M=")</f>
        <v>#REF!</v>
      </c>
      <c r="FY57" t="e">
        <f>AND(ConsolidatedEventList!#REF!,"AAAAACu827Q=")</f>
        <v>#REF!</v>
      </c>
      <c r="FZ57" t="e">
        <f>AND(ConsolidatedEventList!#REF!,"AAAAACu827U=")</f>
        <v>#REF!</v>
      </c>
      <c r="GA57">
        <f>IF(ConsolidatedEventList!191:191,"AAAAACu827Y=",0)</f>
        <v>0</v>
      </c>
      <c r="GB57" t="e">
        <f>AND(ConsolidatedEventList!A191,"AAAAACu827c=")</f>
        <v>#VALUE!</v>
      </c>
      <c r="GC57" t="e">
        <f>AND(ConsolidatedEventList!B191,"AAAAACu827g=")</f>
        <v>#VALUE!</v>
      </c>
      <c r="GD57" t="e">
        <f>AND(ConsolidatedEventList!C191,"AAAAACu827k=")</f>
        <v>#VALUE!</v>
      </c>
      <c r="GE57" t="e">
        <f>AND(ConsolidatedEventList!D191,"AAAAACu827o=")</f>
        <v>#VALUE!</v>
      </c>
      <c r="GF57" t="e">
        <f>AND(ConsolidatedEventList!E191,"AAAAACu827s=")</f>
        <v>#VALUE!</v>
      </c>
      <c r="GG57" t="e">
        <f>AND(ConsolidatedEventList!F191,"AAAAACu827w=")</f>
        <v>#VALUE!</v>
      </c>
      <c r="GH57" t="e">
        <f>AND(ConsolidatedEventList!G191,"AAAAACu8270=")</f>
        <v>#VALUE!</v>
      </c>
      <c r="GI57" t="e">
        <f>AND(ConsolidatedEventList!H191,"AAAAACu8274=")</f>
        <v>#VALUE!</v>
      </c>
      <c r="GJ57">
        <f>IF(ConsolidatedEventList!192:192,"AAAAACu8278=",0)</f>
        <v>0</v>
      </c>
      <c r="GK57" t="e">
        <f>AND(ConsolidatedEventList!A192,"AAAAACu828A=")</f>
        <v>#VALUE!</v>
      </c>
      <c r="GL57" t="e">
        <f>AND(ConsolidatedEventList!B192,"AAAAACu828E=")</f>
        <v>#VALUE!</v>
      </c>
      <c r="GM57" t="e">
        <f>AND(ConsolidatedEventList!C192,"AAAAACu828I=")</f>
        <v>#VALUE!</v>
      </c>
      <c r="GN57" t="e">
        <f>AND(ConsolidatedEventList!D192,"AAAAACu828M=")</f>
        <v>#VALUE!</v>
      </c>
      <c r="GO57" t="e">
        <f>AND(ConsolidatedEventList!E192,"AAAAACu828Q=")</f>
        <v>#VALUE!</v>
      </c>
      <c r="GP57" t="e">
        <f>AND(ConsolidatedEventList!F192,"AAAAACu828U=")</f>
        <v>#VALUE!</v>
      </c>
      <c r="GQ57" t="e">
        <f>AND(ConsolidatedEventList!G192,"AAAAACu828Y=")</f>
        <v>#VALUE!</v>
      </c>
      <c r="GR57" t="e">
        <f>AND(ConsolidatedEventList!H192,"AAAAACu828c=")</f>
        <v>#VALUE!</v>
      </c>
      <c r="GS57">
        <f>IF(ConsolidatedEventList!193:193,"AAAAACu828g=",0)</f>
        <v>0</v>
      </c>
      <c r="GT57" t="e">
        <f>AND(ConsolidatedEventList!A193,"AAAAACu828k=")</f>
        <v>#VALUE!</v>
      </c>
      <c r="GU57" t="e">
        <f>AND(ConsolidatedEventList!B193,"AAAAACu828o=")</f>
        <v>#VALUE!</v>
      </c>
      <c r="GV57" t="e">
        <f>AND(ConsolidatedEventList!C193,"AAAAACu828s=")</f>
        <v>#VALUE!</v>
      </c>
      <c r="GW57" t="e">
        <f>AND(ConsolidatedEventList!D193,"AAAAACu828w=")</f>
        <v>#VALUE!</v>
      </c>
      <c r="GX57" t="e">
        <f>AND(ConsolidatedEventList!E193,"AAAAACu8280=")</f>
        <v>#VALUE!</v>
      </c>
      <c r="GY57" t="e">
        <f>AND(ConsolidatedEventList!F193,"AAAAACu8284=")</f>
        <v>#VALUE!</v>
      </c>
      <c r="GZ57" t="e">
        <f>AND(ConsolidatedEventList!G193,"AAAAACu8288=")</f>
        <v>#VALUE!</v>
      </c>
      <c r="HA57" t="e">
        <f>AND(ConsolidatedEventList!H193,"AAAAACu829A=")</f>
        <v>#VALUE!</v>
      </c>
      <c r="HB57">
        <f>IF(ConsolidatedEventList!194:194,"AAAAACu829E=",0)</f>
        <v>0</v>
      </c>
      <c r="HC57" t="e">
        <f>AND(ConsolidatedEventList!A194,"AAAAACu829I=")</f>
        <v>#VALUE!</v>
      </c>
      <c r="HD57" t="e">
        <f>AND(ConsolidatedEventList!B194,"AAAAACu829M=")</f>
        <v>#VALUE!</v>
      </c>
      <c r="HE57" t="e">
        <f>AND(ConsolidatedEventList!C194,"AAAAACu829Q=")</f>
        <v>#VALUE!</v>
      </c>
      <c r="HF57" t="e">
        <f>AND(ConsolidatedEventList!D194,"AAAAACu829U=")</f>
        <v>#VALUE!</v>
      </c>
      <c r="HG57" t="e">
        <f>AND(ConsolidatedEventList!E194,"AAAAACu829Y=")</f>
        <v>#VALUE!</v>
      </c>
      <c r="HH57" t="e">
        <f>AND(ConsolidatedEventList!F194,"AAAAACu829c=")</f>
        <v>#VALUE!</v>
      </c>
      <c r="HI57" t="e">
        <f>AND(ConsolidatedEventList!G194,"AAAAACu829g=")</f>
        <v>#VALUE!</v>
      </c>
      <c r="HJ57" t="e">
        <f>AND(ConsolidatedEventList!H194,"AAAAACu829k=")</f>
        <v>#VALUE!</v>
      </c>
      <c r="HK57">
        <f>IF(ConsolidatedEventList!195:195,"AAAAACu829o=",0)</f>
        <v>0</v>
      </c>
      <c r="HL57" t="e">
        <f>AND(ConsolidatedEventList!A195,"AAAAACu829s=")</f>
        <v>#VALUE!</v>
      </c>
      <c r="HM57" t="e">
        <f>AND(ConsolidatedEventList!B195,"AAAAACu829w=")</f>
        <v>#VALUE!</v>
      </c>
      <c r="HN57" t="e">
        <f>AND(ConsolidatedEventList!C195,"AAAAACu8290=")</f>
        <v>#VALUE!</v>
      </c>
      <c r="HO57" t="e">
        <f>AND(ConsolidatedEventList!D195,"AAAAACu8294=")</f>
        <v>#VALUE!</v>
      </c>
      <c r="HP57" t="e">
        <f>AND(ConsolidatedEventList!E195,"AAAAACu8298=")</f>
        <v>#VALUE!</v>
      </c>
      <c r="HQ57" t="e">
        <f>AND(ConsolidatedEventList!F195,"AAAAACu82+A=")</f>
        <v>#VALUE!</v>
      </c>
      <c r="HR57" t="e">
        <f>AND(ConsolidatedEventList!G195,"AAAAACu82+E=")</f>
        <v>#VALUE!</v>
      </c>
      <c r="HS57" t="e">
        <f>AND(ConsolidatedEventList!H195,"AAAAACu82+I=")</f>
        <v>#VALUE!</v>
      </c>
      <c r="HT57">
        <f>IF(ConsolidatedEventList!196:196,"AAAAACu82+M=",0)</f>
        <v>0</v>
      </c>
      <c r="HU57" t="e">
        <f>AND(ConsolidatedEventList!A196,"AAAAACu82+Q=")</f>
        <v>#VALUE!</v>
      </c>
      <c r="HV57" t="e">
        <f>AND(ConsolidatedEventList!B196,"AAAAACu82+U=")</f>
        <v>#VALUE!</v>
      </c>
      <c r="HW57" t="e">
        <f>AND(ConsolidatedEventList!C196,"AAAAACu82+Y=")</f>
        <v>#VALUE!</v>
      </c>
      <c r="HX57" t="e">
        <f>AND(ConsolidatedEventList!D196,"AAAAACu82+c=")</f>
        <v>#VALUE!</v>
      </c>
      <c r="HY57" t="e">
        <f>AND(ConsolidatedEventList!E196,"AAAAACu82+g=")</f>
        <v>#VALUE!</v>
      </c>
      <c r="HZ57" t="e">
        <f>AND(ConsolidatedEventList!F196,"AAAAACu82+k=")</f>
        <v>#VALUE!</v>
      </c>
      <c r="IA57" t="e">
        <f>AND(ConsolidatedEventList!G196,"AAAAACu82+o=")</f>
        <v>#VALUE!</v>
      </c>
      <c r="IB57" t="e">
        <f>AND(ConsolidatedEventList!H196,"AAAAACu82+s=")</f>
        <v>#VALUE!</v>
      </c>
      <c r="IC57">
        <f>IF(ConsolidatedEventList!197:197,"AAAAACu82+w=",0)</f>
        <v>0</v>
      </c>
      <c r="ID57" t="e">
        <f>AND(ConsolidatedEventList!A197,"AAAAACu82+0=")</f>
        <v>#VALUE!</v>
      </c>
      <c r="IE57" t="e">
        <f>AND(ConsolidatedEventList!B197,"AAAAACu82+4=")</f>
        <v>#VALUE!</v>
      </c>
      <c r="IF57" t="e">
        <f>AND(ConsolidatedEventList!C197,"AAAAACu82+8=")</f>
        <v>#VALUE!</v>
      </c>
      <c r="IG57" t="e">
        <f>AND(ConsolidatedEventList!D197,"AAAAACu82/A=")</f>
        <v>#VALUE!</v>
      </c>
      <c r="IH57" t="e">
        <f>AND(ConsolidatedEventList!E197,"AAAAACu82/E=")</f>
        <v>#VALUE!</v>
      </c>
      <c r="II57" t="e">
        <f>AND(ConsolidatedEventList!F197,"AAAAACu82/I=")</f>
        <v>#VALUE!</v>
      </c>
      <c r="IJ57" t="e">
        <f>AND(ConsolidatedEventList!G197,"AAAAACu82/M=")</f>
        <v>#VALUE!</v>
      </c>
      <c r="IK57" t="e">
        <f>AND(ConsolidatedEventList!H197,"AAAAACu82/Q=")</f>
        <v>#VALUE!</v>
      </c>
      <c r="IL57">
        <f>IF(ConsolidatedEventList!198:198,"AAAAACu82/U=",0)</f>
        <v>0</v>
      </c>
      <c r="IM57" t="e">
        <f>AND(ConsolidatedEventList!A198,"AAAAACu82/Y=")</f>
        <v>#VALUE!</v>
      </c>
      <c r="IN57" t="e">
        <f>AND(ConsolidatedEventList!B198,"AAAAACu82/c=")</f>
        <v>#VALUE!</v>
      </c>
      <c r="IO57" t="e">
        <f>AND(ConsolidatedEventList!C198,"AAAAACu82/g=")</f>
        <v>#VALUE!</v>
      </c>
      <c r="IP57" t="e">
        <f>AND(ConsolidatedEventList!D198,"AAAAACu82/k=")</f>
        <v>#VALUE!</v>
      </c>
      <c r="IQ57" t="e">
        <f>AND(ConsolidatedEventList!E198,"AAAAACu82/o=")</f>
        <v>#VALUE!</v>
      </c>
      <c r="IR57" t="e">
        <f>AND(ConsolidatedEventList!F198,"AAAAACu82/s=")</f>
        <v>#VALUE!</v>
      </c>
      <c r="IS57" t="e">
        <f>AND(ConsolidatedEventList!G198,"AAAAACu82/w=")</f>
        <v>#VALUE!</v>
      </c>
      <c r="IT57" t="e">
        <f>AND(ConsolidatedEventList!H198,"AAAAACu82/0=")</f>
        <v>#VALUE!</v>
      </c>
      <c r="IU57">
        <f>IF(ConsolidatedEventList!199:199,"AAAAACu82/4=",0)</f>
        <v>0</v>
      </c>
      <c r="IV57" t="e">
        <f>AND(ConsolidatedEventList!A199,"AAAAACu82/8=")</f>
        <v>#VALUE!</v>
      </c>
    </row>
    <row r="58" spans="1:256" x14ac:dyDescent="0.25">
      <c r="A58" t="e">
        <f>AND(ConsolidatedEventList!B199,"AAAAAGvu7QA=")</f>
        <v>#VALUE!</v>
      </c>
      <c r="B58" t="e">
        <f>AND(ConsolidatedEventList!C199,"AAAAAGvu7QE=")</f>
        <v>#VALUE!</v>
      </c>
      <c r="C58" t="e">
        <f>AND(ConsolidatedEventList!D199,"AAAAAGvu7QI=")</f>
        <v>#VALUE!</v>
      </c>
      <c r="D58" t="e">
        <f>AND(ConsolidatedEventList!E199,"AAAAAGvu7QM=")</f>
        <v>#VALUE!</v>
      </c>
      <c r="E58" t="e">
        <f>AND(ConsolidatedEventList!F199,"AAAAAGvu7QQ=")</f>
        <v>#VALUE!</v>
      </c>
      <c r="F58" t="e">
        <f>AND(ConsolidatedEventList!G199,"AAAAAGvu7QU=")</f>
        <v>#VALUE!</v>
      </c>
      <c r="G58" t="e">
        <f>AND(ConsolidatedEventList!H199,"AAAAAGvu7QY=")</f>
        <v>#VALUE!</v>
      </c>
      <c r="H58">
        <f>IF(ConsolidatedEventList!200:200,"AAAAAGvu7Qc=",0)</f>
        <v>0</v>
      </c>
      <c r="I58" t="e">
        <f>AND(ConsolidatedEventList!A200,"AAAAAGvu7Qg=")</f>
        <v>#VALUE!</v>
      </c>
      <c r="J58" t="e">
        <f>AND(ConsolidatedEventList!B200,"AAAAAGvu7Qk=")</f>
        <v>#VALUE!</v>
      </c>
      <c r="K58" t="e">
        <f>AND(ConsolidatedEventList!C200,"AAAAAGvu7Qo=")</f>
        <v>#VALUE!</v>
      </c>
      <c r="L58" t="e">
        <f>AND(ConsolidatedEventList!D200,"AAAAAGvu7Qs=")</f>
        <v>#VALUE!</v>
      </c>
      <c r="M58" t="e">
        <f>AND(ConsolidatedEventList!E200,"AAAAAGvu7Qw=")</f>
        <v>#VALUE!</v>
      </c>
      <c r="N58" t="e">
        <f>AND(ConsolidatedEventList!F200,"AAAAAGvu7Q0=")</f>
        <v>#VALUE!</v>
      </c>
      <c r="O58" t="e">
        <f>AND(ConsolidatedEventList!G200,"AAAAAGvu7Q4=")</f>
        <v>#VALUE!</v>
      </c>
      <c r="P58" t="e">
        <f>AND(ConsolidatedEventList!H200,"AAAAAGvu7Q8=")</f>
        <v>#VALUE!</v>
      </c>
      <c r="Q58">
        <f>IF(ConsolidatedEventList!201:201,"AAAAAGvu7RA=",0)</f>
        <v>0</v>
      </c>
      <c r="R58" t="e">
        <f>AND(ConsolidatedEventList!A201,"AAAAAGvu7RE=")</f>
        <v>#VALUE!</v>
      </c>
      <c r="S58" t="e">
        <f>AND(ConsolidatedEventList!B201,"AAAAAGvu7RI=")</f>
        <v>#VALUE!</v>
      </c>
      <c r="T58" t="e">
        <f>AND(ConsolidatedEventList!C201,"AAAAAGvu7RM=")</f>
        <v>#VALUE!</v>
      </c>
      <c r="U58" t="e">
        <f>AND(ConsolidatedEventList!D201,"AAAAAGvu7RQ=")</f>
        <v>#VALUE!</v>
      </c>
      <c r="V58" t="e">
        <f>AND(ConsolidatedEventList!E201,"AAAAAGvu7RU=")</f>
        <v>#VALUE!</v>
      </c>
      <c r="W58" t="e">
        <f>AND(ConsolidatedEventList!F201,"AAAAAGvu7RY=")</f>
        <v>#VALUE!</v>
      </c>
      <c r="X58" t="e">
        <f>AND(ConsolidatedEventList!G201,"AAAAAGvu7Rc=")</f>
        <v>#VALUE!</v>
      </c>
      <c r="Y58" t="e">
        <f>AND(ConsolidatedEventList!H201,"AAAAAGvu7Rg=")</f>
        <v>#VALUE!</v>
      </c>
      <c r="Z58">
        <f>IF(ConsolidatedEventList!202:202,"AAAAAGvu7Rk=",0)</f>
        <v>0</v>
      </c>
      <c r="AA58" t="e">
        <f>AND(ConsolidatedEventList!A202,"AAAAAGvu7Ro=")</f>
        <v>#VALUE!</v>
      </c>
      <c r="AB58" t="e">
        <f>AND(ConsolidatedEventList!B202,"AAAAAGvu7Rs=")</f>
        <v>#VALUE!</v>
      </c>
      <c r="AC58" t="e">
        <f>AND(ConsolidatedEventList!C202,"AAAAAGvu7Rw=")</f>
        <v>#VALUE!</v>
      </c>
      <c r="AD58" t="e">
        <f>AND(ConsolidatedEventList!D202,"AAAAAGvu7R0=")</f>
        <v>#VALUE!</v>
      </c>
      <c r="AE58" t="e">
        <f>AND(ConsolidatedEventList!E202,"AAAAAGvu7R4=")</f>
        <v>#VALUE!</v>
      </c>
      <c r="AF58" t="e">
        <f>AND(ConsolidatedEventList!F202,"AAAAAGvu7R8=")</f>
        <v>#VALUE!</v>
      </c>
      <c r="AG58" t="e">
        <f>AND(ConsolidatedEventList!G202,"AAAAAGvu7SA=")</f>
        <v>#VALUE!</v>
      </c>
      <c r="AH58" t="e">
        <f>AND(ConsolidatedEventList!H202,"AAAAAGvu7SE=")</f>
        <v>#VALUE!</v>
      </c>
      <c r="AI58">
        <f>IF(ConsolidatedEventList!203:203,"AAAAAGvu7SI=",0)</f>
        <v>0</v>
      </c>
      <c r="AJ58" t="e">
        <f>AND(ConsolidatedEventList!A203,"AAAAAGvu7SM=")</f>
        <v>#VALUE!</v>
      </c>
      <c r="AK58" t="e">
        <f>AND(ConsolidatedEventList!B203,"AAAAAGvu7SQ=")</f>
        <v>#VALUE!</v>
      </c>
      <c r="AL58" t="e">
        <f>AND(ConsolidatedEventList!C203,"AAAAAGvu7SU=")</f>
        <v>#VALUE!</v>
      </c>
      <c r="AM58" t="e">
        <f>AND(ConsolidatedEventList!D203,"AAAAAGvu7SY=")</f>
        <v>#VALUE!</v>
      </c>
      <c r="AN58" t="e">
        <f>AND(ConsolidatedEventList!E203,"AAAAAGvu7Sc=")</f>
        <v>#VALUE!</v>
      </c>
      <c r="AO58" t="e">
        <f>AND(ConsolidatedEventList!F203,"AAAAAGvu7Sg=")</f>
        <v>#VALUE!</v>
      </c>
      <c r="AP58" t="e">
        <f>AND(ConsolidatedEventList!G203,"AAAAAGvu7Sk=")</f>
        <v>#VALUE!</v>
      </c>
      <c r="AQ58" t="e">
        <f>AND(ConsolidatedEventList!H203,"AAAAAGvu7So=")</f>
        <v>#VALUE!</v>
      </c>
      <c r="AR58">
        <f>IF(ConsolidatedEventList!204:204,"AAAAAGvu7Ss=",0)</f>
        <v>0</v>
      </c>
      <c r="AS58" t="e">
        <f>AND(ConsolidatedEventList!A204,"AAAAAGvu7Sw=")</f>
        <v>#VALUE!</v>
      </c>
      <c r="AT58" t="e">
        <f>AND(ConsolidatedEventList!B204,"AAAAAGvu7S0=")</f>
        <v>#VALUE!</v>
      </c>
      <c r="AU58" t="e">
        <f>AND(ConsolidatedEventList!C204,"AAAAAGvu7S4=")</f>
        <v>#VALUE!</v>
      </c>
      <c r="AV58" t="e">
        <f>AND(ConsolidatedEventList!D204,"AAAAAGvu7S8=")</f>
        <v>#VALUE!</v>
      </c>
      <c r="AW58" t="e">
        <f>AND(ConsolidatedEventList!E204,"AAAAAGvu7TA=")</f>
        <v>#VALUE!</v>
      </c>
      <c r="AX58" t="e">
        <f>AND(ConsolidatedEventList!F204,"AAAAAGvu7TE=")</f>
        <v>#VALUE!</v>
      </c>
      <c r="AY58" t="e">
        <f>AND(ConsolidatedEventList!G204,"AAAAAGvu7TI=")</f>
        <v>#VALUE!</v>
      </c>
      <c r="AZ58" t="e">
        <f>AND(ConsolidatedEventList!H204,"AAAAAGvu7TM=")</f>
        <v>#VALUE!</v>
      </c>
      <c r="BA58">
        <f>IF(ConsolidatedEventList!205:205,"AAAAAGvu7TQ=",0)</f>
        <v>0</v>
      </c>
      <c r="BB58" t="e">
        <f>AND(ConsolidatedEventList!A205,"AAAAAGvu7TU=")</f>
        <v>#VALUE!</v>
      </c>
      <c r="BC58" t="e">
        <f>AND(ConsolidatedEventList!B205,"AAAAAGvu7TY=")</f>
        <v>#VALUE!</v>
      </c>
      <c r="BD58" t="e">
        <f>AND(ConsolidatedEventList!C205,"AAAAAGvu7Tc=")</f>
        <v>#VALUE!</v>
      </c>
      <c r="BE58" t="e">
        <f>AND(ConsolidatedEventList!D205,"AAAAAGvu7Tg=")</f>
        <v>#VALUE!</v>
      </c>
      <c r="BF58" t="e">
        <f>AND(ConsolidatedEventList!E205,"AAAAAGvu7Tk=")</f>
        <v>#VALUE!</v>
      </c>
      <c r="BG58" t="e">
        <f>AND(ConsolidatedEventList!F205,"AAAAAGvu7To=")</f>
        <v>#VALUE!</v>
      </c>
      <c r="BH58" t="e">
        <f>AND(ConsolidatedEventList!G205,"AAAAAGvu7Ts=")</f>
        <v>#VALUE!</v>
      </c>
      <c r="BI58" t="e">
        <f>AND(ConsolidatedEventList!H205,"AAAAAGvu7Tw=")</f>
        <v>#VALUE!</v>
      </c>
      <c r="BJ58">
        <f>IF(ConsolidatedEventList!206:206,"AAAAAGvu7T0=",0)</f>
        <v>0</v>
      </c>
      <c r="BK58" t="e">
        <f>AND(ConsolidatedEventList!A206,"AAAAAGvu7T4=")</f>
        <v>#VALUE!</v>
      </c>
      <c r="BL58" t="e">
        <f>AND(ConsolidatedEventList!B206,"AAAAAGvu7T8=")</f>
        <v>#VALUE!</v>
      </c>
      <c r="BM58" t="e">
        <f>AND(ConsolidatedEventList!C206,"AAAAAGvu7UA=")</f>
        <v>#VALUE!</v>
      </c>
      <c r="BN58" t="e">
        <f>AND(ConsolidatedEventList!D206,"AAAAAGvu7UE=")</f>
        <v>#VALUE!</v>
      </c>
      <c r="BO58" t="e">
        <f>AND(ConsolidatedEventList!E206,"AAAAAGvu7UI=")</f>
        <v>#VALUE!</v>
      </c>
      <c r="BP58" t="e">
        <f>AND(ConsolidatedEventList!F206,"AAAAAGvu7UM=")</f>
        <v>#VALUE!</v>
      </c>
      <c r="BQ58" t="e">
        <f>AND(ConsolidatedEventList!G206,"AAAAAGvu7UQ=")</f>
        <v>#VALUE!</v>
      </c>
      <c r="BR58" t="e">
        <f>AND(ConsolidatedEventList!H206,"AAAAAGvu7UU=")</f>
        <v>#VALUE!</v>
      </c>
      <c r="BS58">
        <f>IF(ConsolidatedEventList!207:207,"AAAAAGvu7UY=",0)</f>
        <v>0</v>
      </c>
      <c r="BT58" t="e">
        <f>AND(ConsolidatedEventList!A207,"AAAAAGvu7Uc=")</f>
        <v>#VALUE!</v>
      </c>
      <c r="BU58" t="e">
        <f>AND(ConsolidatedEventList!B207,"AAAAAGvu7Ug=")</f>
        <v>#VALUE!</v>
      </c>
      <c r="BV58" t="e">
        <f>AND(ConsolidatedEventList!C207,"AAAAAGvu7Uk=")</f>
        <v>#VALUE!</v>
      </c>
      <c r="BW58" t="e">
        <f>AND(ConsolidatedEventList!D207,"AAAAAGvu7Uo=")</f>
        <v>#VALUE!</v>
      </c>
      <c r="BX58" t="e">
        <f>AND(ConsolidatedEventList!E207,"AAAAAGvu7Us=")</f>
        <v>#VALUE!</v>
      </c>
      <c r="BY58" t="e">
        <f>AND(ConsolidatedEventList!F207,"AAAAAGvu7Uw=")</f>
        <v>#VALUE!</v>
      </c>
      <c r="BZ58" t="e">
        <f>AND(ConsolidatedEventList!G207,"AAAAAGvu7U0=")</f>
        <v>#VALUE!</v>
      </c>
      <c r="CA58" t="e">
        <f>AND(ConsolidatedEventList!H207,"AAAAAGvu7U4=")</f>
        <v>#VALUE!</v>
      </c>
      <c r="CB58">
        <f>IF(ConsolidatedEventList!208:208,"AAAAAGvu7U8=",0)</f>
        <v>0</v>
      </c>
      <c r="CC58" t="e">
        <f>AND(ConsolidatedEventList!A208,"AAAAAGvu7VA=")</f>
        <v>#VALUE!</v>
      </c>
      <c r="CD58" t="e">
        <f>AND(ConsolidatedEventList!B208,"AAAAAGvu7VE=")</f>
        <v>#VALUE!</v>
      </c>
      <c r="CE58" t="e">
        <f>AND(ConsolidatedEventList!C208,"AAAAAGvu7VI=")</f>
        <v>#VALUE!</v>
      </c>
      <c r="CF58" t="e">
        <f>AND(ConsolidatedEventList!D208,"AAAAAGvu7VM=")</f>
        <v>#VALUE!</v>
      </c>
      <c r="CG58" t="e">
        <f>AND(ConsolidatedEventList!E208,"AAAAAGvu7VQ=")</f>
        <v>#VALUE!</v>
      </c>
      <c r="CH58" t="e">
        <f>AND(ConsolidatedEventList!F208,"AAAAAGvu7VU=")</f>
        <v>#VALUE!</v>
      </c>
      <c r="CI58" t="e">
        <f>AND(ConsolidatedEventList!G208,"AAAAAGvu7VY=")</f>
        <v>#VALUE!</v>
      </c>
      <c r="CJ58" t="e">
        <f>AND(ConsolidatedEventList!H208,"AAAAAGvu7Vc=")</f>
        <v>#VALUE!</v>
      </c>
      <c r="CK58">
        <f>IF(ConsolidatedEventList!209:209,"AAAAAGvu7Vg=",0)</f>
        <v>0</v>
      </c>
      <c r="CL58" t="e">
        <f>AND(ConsolidatedEventList!A209,"AAAAAGvu7Vk=")</f>
        <v>#VALUE!</v>
      </c>
      <c r="CM58" t="e">
        <f>AND(ConsolidatedEventList!B209,"AAAAAGvu7Vo=")</f>
        <v>#VALUE!</v>
      </c>
      <c r="CN58" t="e">
        <f>AND(ConsolidatedEventList!C209,"AAAAAGvu7Vs=")</f>
        <v>#VALUE!</v>
      </c>
      <c r="CO58" t="e">
        <f>AND(ConsolidatedEventList!D209,"AAAAAGvu7Vw=")</f>
        <v>#VALUE!</v>
      </c>
      <c r="CP58" t="e">
        <f>AND(ConsolidatedEventList!E209,"AAAAAGvu7V0=")</f>
        <v>#VALUE!</v>
      </c>
      <c r="CQ58" t="e">
        <f>AND(ConsolidatedEventList!F209,"AAAAAGvu7V4=")</f>
        <v>#VALUE!</v>
      </c>
      <c r="CR58" t="e">
        <f>AND(ConsolidatedEventList!G209,"AAAAAGvu7V8=")</f>
        <v>#VALUE!</v>
      </c>
      <c r="CS58" t="e">
        <f>AND(ConsolidatedEventList!H209,"AAAAAGvu7WA=")</f>
        <v>#VALUE!</v>
      </c>
      <c r="CT58">
        <f>IF(ConsolidatedEventList!210:210,"AAAAAGvu7WE=",0)</f>
        <v>0</v>
      </c>
      <c r="CU58" t="e">
        <f>AND(ConsolidatedEventList!A210,"AAAAAGvu7WI=")</f>
        <v>#VALUE!</v>
      </c>
      <c r="CV58" t="e">
        <f>AND(ConsolidatedEventList!B210,"AAAAAGvu7WM=")</f>
        <v>#VALUE!</v>
      </c>
      <c r="CW58" t="e">
        <f>AND(ConsolidatedEventList!C210,"AAAAAGvu7WQ=")</f>
        <v>#VALUE!</v>
      </c>
      <c r="CX58" t="e">
        <f>AND(ConsolidatedEventList!D210,"AAAAAGvu7WU=")</f>
        <v>#VALUE!</v>
      </c>
      <c r="CY58" t="e">
        <f>AND(ConsolidatedEventList!E210,"AAAAAGvu7WY=")</f>
        <v>#VALUE!</v>
      </c>
      <c r="CZ58" t="e">
        <f>AND(ConsolidatedEventList!F210,"AAAAAGvu7Wc=")</f>
        <v>#VALUE!</v>
      </c>
      <c r="DA58" t="e">
        <f>AND(ConsolidatedEventList!G210,"AAAAAGvu7Wg=")</f>
        <v>#VALUE!</v>
      </c>
      <c r="DB58" t="e">
        <f>AND(ConsolidatedEventList!H210,"AAAAAGvu7Wk=")</f>
        <v>#VALUE!</v>
      </c>
      <c r="DC58" t="e">
        <f>IF(ConsolidatedEventList!#REF!,"AAAAAGvu7Wo=",0)</f>
        <v>#REF!</v>
      </c>
      <c r="DD58" t="e">
        <f>AND(ConsolidatedEventList!#REF!,"AAAAAGvu7Ws=")</f>
        <v>#REF!</v>
      </c>
      <c r="DE58" t="e">
        <f>AND(ConsolidatedEventList!#REF!,"AAAAAGvu7Ww=")</f>
        <v>#REF!</v>
      </c>
      <c r="DF58" t="e">
        <f>AND(ConsolidatedEventList!#REF!,"AAAAAGvu7W0=")</f>
        <v>#REF!</v>
      </c>
      <c r="DG58" t="e">
        <f>AND(ConsolidatedEventList!#REF!,"AAAAAGvu7W4=")</f>
        <v>#REF!</v>
      </c>
      <c r="DH58" t="e">
        <f>AND(ConsolidatedEventList!#REF!,"AAAAAGvu7W8=")</f>
        <v>#REF!</v>
      </c>
      <c r="DI58" t="e">
        <f>AND(ConsolidatedEventList!#REF!,"AAAAAGvu7XA=")</f>
        <v>#REF!</v>
      </c>
      <c r="DJ58" t="e">
        <f>AND(ConsolidatedEventList!#REF!,"AAAAAGvu7XE=")</f>
        <v>#REF!</v>
      </c>
      <c r="DK58" t="e">
        <f>AND(ConsolidatedEventList!#REF!,"AAAAAGvu7XI=")</f>
        <v>#REF!</v>
      </c>
      <c r="DL58" t="e">
        <f>IF(ConsolidatedEventList!#REF!,"AAAAAGvu7XM=",0)</f>
        <v>#REF!</v>
      </c>
      <c r="DM58" t="e">
        <f>AND(ConsolidatedEventList!#REF!,"AAAAAGvu7XQ=")</f>
        <v>#REF!</v>
      </c>
      <c r="DN58" t="e">
        <f>AND(ConsolidatedEventList!#REF!,"AAAAAGvu7XU=")</f>
        <v>#REF!</v>
      </c>
      <c r="DO58" t="e">
        <f>AND(ConsolidatedEventList!#REF!,"AAAAAGvu7XY=")</f>
        <v>#REF!</v>
      </c>
      <c r="DP58" t="e">
        <f>AND(ConsolidatedEventList!#REF!,"AAAAAGvu7Xc=")</f>
        <v>#REF!</v>
      </c>
      <c r="DQ58" t="e">
        <f>AND(ConsolidatedEventList!#REF!,"AAAAAGvu7Xg=")</f>
        <v>#REF!</v>
      </c>
      <c r="DR58" t="e">
        <f>AND(ConsolidatedEventList!#REF!,"AAAAAGvu7Xk=")</f>
        <v>#REF!</v>
      </c>
      <c r="DS58" t="e">
        <f>AND(ConsolidatedEventList!#REF!,"AAAAAGvu7Xo=")</f>
        <v>#REF!</v>
      </c>
      <c r="DT58" t="e">
        <f>AND(ConsolidatedEventList!#REF!,"AAAAAGvu7Xs=")</f>
        <v>#REF!</v>
      </c>
      <c r="DU58">
        <f>IF(ConsolidatedEventList!211:211,"AAAAAGvu7Xw=",0)</f>
        <v>0</v>
      </c>
      <c r="DV58" t="e">
        <f>AND(ConsolidatedEventList!A211,"AAAAAGvu7X0=")</f>
        <v>#VALUE!</v>
      </c>
      <c r="DW58" t="e">
        <f>AND(ConsolidatedEventList!B211,"AAAAAGvu7X4=")</f>
        <v>#VALUE!</v>
      </c>
      <c r="DX58" t="e">
        <f>AND(ConsolidatedEventList!C211,"AAAAAGvu7X8=")</f>
        <v>#VALUE!</v>
      </c>
      <c r="DY58" t="e">
        <f>AND(ConsolidatedEventList!D211,"AAAAAGvu7YA=")</f>
        <v>#VALUE!</v>
      </c>
      <c r="DZ58" t="e">
        <f>AND(ConsolidatedEventList!E211,"AAAAAGvu7YE=")</f>
        <v>#VALUE!</v>
      </c>
      <c r="EA58" t="e">
        <f>AND(ConsolidatedEventList!F211,"AAAAAGvu7YI=")</f>
        <v>#VALUE!</v>
      </c>
      <c r="EB58" t="e">
        <f>AND(ConsolidatedEventList!G211,"AAAAAGvu7YM=")</f>
        <v>#VALUE!</v>
      </c>
      <c r="EC58" t="e">
        <f>AND(ConsolidatedEventList!H211,"AAAAAGvu7YQ=")</f>
        <v>#VALUE!</v>
      </c>
      <c r="ED58">
        <f>IF(ConsolidatedEventList!212:212,"AAAAAGvu7YU=",0)</f>
        <v>0</v>
      </c>
      <c r="EE58" t="e">
        <f>AND(ConsolidatedEventList!A212,"AAAAAGvu7YY=")</f>
        <v>#VALUE!</v>
      </c>
      <c r="EF58" t="e">
        <f>AND(ConsolidatedEventList!B212,"AAAAAGvu7Yc=")</f>
        <v>#VALUE!</v>
      </c>
      <c r="EG58" t="e">
        <f>AND(ConsolidatedEventList!C212,"AAAAAGvu7Yg=")</f>
        <v>#VALUE!</v>
      </c>
      <c r="EH58" t="e">
        <f>AND(ConsolidatedEventList!D212,"AAAAAGvu7Yk=")</f>
        <v>#VALUE!</v>
      </c>
      <c r="EI58" t="e">
        <f>AND(ConsolidatedEventList!E212,"AAAAAGvu7Yo=")</f>
        <v>#VALUE!</v>
      </c>
      <c r="EJ58" t="e">
        <f>AND(ConsolidatedEventList!F212,"AAAAAGvu7Ys=")</f>
        <v>#VALUE!</v>
      </c>
      <c r="EK58" t="e">
        <f>AND(ConsolidatedEventList!G212,"AAAAAGvu7Yw=")</f>
        <v>#VALUE!</v>
      </c>
      <c r="EL58" t="e">
        <f>AND(ConsolidatedEventList!H212,"AAAAAGvu7Y0=")</f>
        <v>#VALUE!</v>
      </c>
      <c r="EM58">
        <f>IF(ConsolidatedEventList!213:213,"AAAAAGvu7Y4=",0)</f>
        <v>0</v>
      </c>
      <c r="EN58" t="e">
        <f>AND(ConsolidatedEventList!A213,"AAAAAGvu7Y8=")</f>
        <v>#VALUE!</v>
      </c>
      <c r="EO58" t="e">
        <f>AND(ConsolidatedEventList!B213,"AAAAAGvu7ZA=")</f>
        <v>#VALUE!</v>
      </c>
      <c r="EP58" t="e">
        <f>AND(ConsolidatedEventList!C213,"AAAAAGvu7ZE=")</f>
        <v>#VALUE!</v>
      </c>
      <c r="EQ58" t="e">
        <f>AND(ConsolidatedEventList!D213,"AAAAAGvu7ZI=")</f>
        <v>#VALUE!</v>
      </c>
      <c r="ER58" t="e">
        <f>AND(ConsolidatedEventList!E213,"AAAAAGvu7ZM=")</f>
        <v>#VALUE!</v>
      </c>
      <c r="ES58" t="e">
        <f>AND(ConsolidatedEventList!F213,"AAAAAGvu7ZQ=")</f>
        <v>#VALUE!</v>
      </c>
      <c r="ET58" t="e">
        <f>AND(ConsolidatedEventList!G213,"AAAAAGvu7ZU=")</f>
        <v>#VALUE!</v>
      </c>
      <c r="EU58" t="e">
        <f>AND(ConsolidatedEventList!H213,"AAAAAGvu7ZY=")</f>
        <v>#VALUE!</v>
      </c>
      <c r="EV58">
        <f>IF(ConsolidatedEventList!214:214,"AAAAAGvu7Zc=",0)</f>
        <v>0</v>
      </c>
      <c r="EW58" t="e">
        <f>AND(ConsolidatedEventList!A214,"AAAAAGvu7Zg=")</f>
        <v>#VALUE!</v>
      </c>
      <c r="EX58" t="e">
        <f>AND(ConsolidatedEventList!B214,"AAAAAGvu7Zk=")</f>
        <v>#VALUE!</v>
      </c>
      <c r="EY58" t="e">
        <f>AND(ConsolidatedEventList!C214,"AAAAAGvu7Zo=")</f>
        <v>#VALUE!</v>
      </c>
      <c r="EZ58" t="e">
        <f>AND(ConsolidatedEventList!D214,"AAAAAGvu7Zs=")</f>
        <v>#VALUE!</v>
      </c>
      <c r="FA58" t="e">
        <f>AND(ConsolidatedEventList!E214,"AAAAAGvu7Zw=")</f>
        <v>#VALUE!</v>
      </c>
      <c r="FB58" t="e">
        <f>AND(ConsolidatedEventList!F214,"AAAAAGvu7Z0=")</f>
        <v>#VALUE!</v>
      </c>
      <c r="FC58" t="e">
        <f>AND(ConsolidatedEventList!G214,"AAAAAGvu7Z4=")</f>
        <v>#VALUE!</v>
      </c>
      <c r="FD58" t="e">
        <f>AND(ConsolidatedEventList!H214,"AAAAAGvu7Z8=")</f>
        <v>#VALUE!</v>
      </c>
      <c r="FE58">
        <f>IF(ConsolidatedEventList!215:215,"AAAAAGvu7aA=",0)</f>
        <v>0</v>
      </c>
      <c r="FF58" t="e">
        <f>AND(ConsolidatedEventList!A215,"AAAAAGvu7aE=")</f>
        <v>#VALUE!</v>
      </c>
      <c r="FG58" t="e">
        <f>AND(ConsolidatedEventList!B215,"AAAAAGvu7aI=")</f>
        <v>#VALUE!</v>
      </c>
      <c r="FH58" t="e">
        <f>AND(ConsolidatedEventList!C215,"AAAAAGvu7aM=")</f>
        <v>#VALUE!</v>
      </c>
      <c r="FI58" t="e">
        <f>AND(ConsolidatedEventList!D215,"AAAAAGvu7aQ=")</f>
        <v>#VALUE!</v>
      </c>
      <c r="FJ58" t="e">
        <f>AND(ConsolidatedEventList!E215,"AAAAAGvu7aU=")</f>
        <v>#VALUE!</v>
      </c>
      <c r="FK58" t="e">
        <f>AND(ConsolidatedEventList!F215,"AAAAAGvu7aY=")</f>
        <v>#VALUE!</v>
      </c>
      <c r="FL58" t="e">
        <f>AND(ConsolidatedEventList!G215,"AAAAAGvu7ac=")</f>
        <v>#VALUE!</v>
      </c>
      <c r="FM58" t="e">
        <f>AND(ConsolidatedEventList!H215,"AAAAAGvu7ag=")</f>
        <v>#VALUE!</v>
      </c>
      <c r="FN58">
        <f>IF(ConsolidatedEventList!216:216,"AAAAAGvu7ak=",0)</f>
        <v>0</v>
      </c>
      <c r="FO58" t="e">
        <f>AND(ConsolidatedEventList!A216,"AAAAAGvu7ao=")</f>
        <v>#VALUE!</v>
      </c>
      <c r="FP58" t="e">
        <f>AND(ConsolidatedEventList!B216,"AAAAAGvu7as=")</f>
        <v>#VALUE!</v>
      </c>
      <c r="FQ58" t="e">
        <f>AND(ConsolidatedEventList!C216,"AAAAAGvu7aw=")</f>
        <v>#VALUE!</v>
      </c>
      <c r="FR58" t="e">
        <f>AND(ConsolidatedEventList!D216,"AAAAAGvu7a0=")</f>
        <v>#VALUE!</v>
      </c>
      <c r="FS58" t="e">
        <f>AND(ConsolidatedEventList!E216,"AAAAAGvu7a4=")</f>
        <v>#VALUE!</v>
      </c>
      <c r="FT58" t="e">
        <f>AND(ConsolidatedEventList!F216,"AAAAAGvu7a8=")</f>
        <v>#VALUE!</v>
      </c>
      <c r="FU58" t="e">
        <f>AND(ConsolidatedEventList!G216,"AAAAAGvu7bA=")</f>
        <v>#VALUE!</v>
      </c>
      <c r="FV58" t="e">
        <f>AND(ConsolidatedEventList!H216,"AAAAAGvu7bE=")</f>
        <v>#VALUE!</v>
      </c>
      <c r="FW58">
        <f>IF(ConsolidatedEventList!217:217,"AAAAAGvu7bI=",0)</f>
        <v>0</v>
      </c>
      <c r="FX58" t="e">
        <f>AND(ConsolidatedEventList!A217,"AAAAAGvu7bM=")</f>
        <v>#VALUE!</v>
      </c>
      <c r="FY58" t="e">
        <f>AND(ConsolidatedEventList!B217,"AAAAAGvu7bQ=")</f>
        <v>#VALUE!</v>
      </c>
      <c r="FZ58" t="e">
        <f>AND(ConsolidatedEventList!C217,"AAAAAGvu7bU=")</f>
        <v>#VALUE!</v>
      </c>
      <c r="GA58" t="e">
        <f>AND(ConsolidatedEventList!D217,"AAAAAGvu7bY=")</f>
        <v>#VALUE!</v>
      </c>
      <c r="GB58" t="e">
        <f>AND(ConsolidatedEventList!E217,"AAAAAGvu7bc=")</f>
        <v>#VALUE!</v>
      </c>
      <c r="GC58" t="e">
        <f>AND(ConsolidatedEventList!F217,"AAAAAGvu7bg=")</f>
        <v>#VALUE!</v>
      </c>
      <c r="GD58" t="e">
        <f>AND(ConsolidatedEventList!G217,"AAAAAGvu7bk=")</f>
        <v>#VALUE!</v>
      </c>
      <c r="GE58" t="e">
        <f>AND(ConsolidatedEventList!H217,"AAAAAGvu7bo=")</f>
        <v>#VALUE!</v>
      </c>
      <c r="GF58">
        <f>IF(ConsolidatedEventList!218:218,"AAAAAGvu7bs=",0)</f>
        <v>0</v>
      </c>
      <c r="GG58" t="e">
        <f>AND(ConsolidatedEventList!A218,"AAAAAGvu7bw=")</f>
        <v>#VALUE!</v>
      </c>
      <c r="GH58" t="e">
        <f>AND(ConsolidatedEventList!B218,"AAAAAGvu7b0=")</f>
        <v>#VALUE!</v>
      </c>
      <c r="GI58" t="e">
        <f>AND(ConsolidatedEventList!C218,"AAAAAGvu7b4=")</f>
        <v>#VALUE!</v>
      </c>
      <c r="GJ58" t="e">
        <f>AND(ConsolidatedEventList!D218,"AAAAAGvu7b8=")</f>
        <v>#VALUE!</v>
      </c>
      <c r="GK58" t="e">
        <f>AND(ConsolidatedEventList!E218,"AAAAAGvu7cA=")</f>
        <v>#VALUE!</v>
      </c>
      <c r="GL58" t="e">
        <f>AND(ConsolidatedEventList!F218,"AAAAAGvu7cE=")</f>
        <v>#VALUE!</v>
      </c>
      <c r="GM58" t="e">
        <f>AND(ConsolidatedEventList!G218,"AAAAAGvu7cI=")</f>
        <v>#VALUE!</v>
      </c>
      <c r="GN58" t="e">
        <f>AND(ConsolidatedEventList!H218,"AAAAAGvu7cM=")</f>
        <v>#VALUE!</v>
      </c>
      <c r="GO58" t="e">
        <f>IF(ConsolidatedEventList!#REF!,"AAAAAGvu7cQ=",0)</f>
        <v>#REF!</v>
      </c>
      <c r="GP58" t="e">
        <f>AND(ConsolidatedEventList!#REF!,"AAAAAGvu7cU=")</f>
        <v>#REF!</v>
      </c>
      <c r="GQ58" t="e">
        <f>AND(ConsolidatedEventList!#REF!,"AAAAAGvu7cY=")</f>
        <v>#REF!</v>
      </c>
      <c r="GR58" t="e">
        <f>AND(ConsolidatedEventList!#REF!,"AAAAAGvu7cc=")</f>
        <v>#REF!</v>
      </c>
      <c r="GS58" t="e">
        <f>AND(ConsolidatedEventList!#REF!,"AAAAAGvu7cg=")</f>
        <v>#REF!</v>
      </c>
      <c r="GT58" t="e">
        <f>AND(ConsolidatedEventList!#REF!,"AAAAAGvu7ck=")</f>
        <v>#REF!</v>
      </c>
      <c r="GU58" t="e">
        <f>AND(ConsolidatedEventList!#REF!,"AAAAAGvu7co=")</f>
        <v>#REF!</v>
      </c>
      <c r="GV58" t="e">
        <f>AND(ConsolidatedEventList!#REF!,"AAAAAGvu7cs=")</f>
        <v>#REF!</v>
      </c>
      <c r="GW58" t="e">
        <f>AND(ConsolidatedEventList!#REF!,"AAAAAGvu7cw=")</f>
        <v>#REF!</v>
      </c>
      <c r="GX58" t="e">
        <f>IF(ConsolidatedEventList!#REF!,"AAAAAGvu7c0=",0)</f>
        <v>#REF!</v>
      </c>
      <c r="GY58" t="e">
        <f>AND(ConsolidatedEventList!#REF!,"AAAAAGvu7c4=")</f>
        <v>#REF!</v>
      </c>
      <c r="GZ58" t="e">
        <f>AND(ConsolidatedEventList!#REF!,"AAAAAGvu7c8=")</f>
        <v>#REF!</v>
      </c>
      <c r="HA58" t="e">
        <f>AND(ConsolidatedEventList!#REF!,"AAAAAGvu7dA=")</f>
        <v>#REF!</v>
      </c>
      <c r="HB58" t="e">
        <f>AND(ConsolidatedEventList!#REF!,"AAAAAGvu7dE=")</f>
        <v>#REF!</v>
      </c>
      <c r="HC58" t="e">
        <f>AND(ConsolidatedEventList!#REF!,"AAAAAGvu7dI=")</f>
        <v>#REF!</v>
      </c>
      <c r="HD58" t="e">
        <f>AND(ConsolidatedEventList!#REF!,"AAAAAGvu7dM=")</f>
        <v>#REF!</v>
      </c>
      <c r="HE58" t="e">
        <f>AND(ConsolidatedEventList!#REF!,"AAAAAGvu7dQ=")</f>
        <v>#REF!</v>
      </c>
      <c r="HF58" t="e">
        <f>AND(ConsolidatedEventList!#REF!,"AAAAAGvu7dU=")</f>
        <v>#REF!</v>
      </c>
      <c r="HG58">
        <f>IF(ConsolidatedEventList!219:219,"AAAAAGvu7dY=",0)</f>
        <v>0</v>
      </c>
      <c r="HH58" t="e">
        <f>AND(ConsolidatedEventList!A219,"AAAAAGvu7dc=")</f>
        <v>#VALUE!</v>
      </c>
      <c r="HI58" t="e">
        <f>AND(ConsolidatedEventList!B219,"AAAAAGvu7dg=")</f>
        <v>#VALUE!</v>
      </c>
      <c r="HJ58" t="e">
        <f>AND(ConsolidatedEventList!C219,"AAAAAGvu7dk=")</f>
        <v>#VALUE!</v>
      </c>
      <c r="HK58" t="e">
        <f>AND(ConsolidatedEventList!D219,"AAAAAGvu7do=")</f>
        <v>#VALUE!</v>
      </c>
      <c r="HL58" t="e">
        <f>AND(ConsolidatedEventList!E219,"AAAAAGvu7ds=")</f>
        <v>#VALUE!</v>
      </c>
      <c r="HM58" t="e">
        <f>AND(ConsolidatedEventList!F219,"AAAAAGvu7dw=")</f>
        <v>#VALUE!</v>
      </c>
      <c r="HN58" t="e">
        <f>AND(ConsolidatedEventList!G219,"AAAAAGvu7d0=")</f>
        <v>#VALUE!</v>
      </c>
      <c r="HO58" t="e">
        <f>AND(ConsolidatedEventList!H219,"AAAAAGvu7d4=")</f>
        <v>#VALUE!</v>
      </c>
      <c r="HP58">
        <f>IF(ConsolidatedEventList!220:220,"AAAAAGvu7d8=",0)</f>
        <v>0</v>
      </c>
      <c r="HQ58" t="e">
        <f>AND(ConsolidatedEventList!A220,"AAAAAGvu7eA=")</f>
        <v>#VALUE!</v>
      </c>
      <c r="HR58" t="e">
        <f>AND(ConsolidatedEventList!B220,"AAAAAGvu7eE=")</f>
        <v>#VALUE!</v>
      </c>
      <c r="HS58" t="e">
        <f>AND(ConsolidatedEventList!C220,"AAAAAGvu7eI=")</f>
        <v>#VALUE!</v>
      </c>
      <c r="HT58" t="e">
        <f>AND(ConsolidatedEventList!D220,"AAAAAGvu7eM=")</f>
        <v>#VALUE!</v>
      </c>
      <c r="HU58" t="e">
        <f>AND(ConsolidatedEventList!E220,"AAAAAGvu7eQ=")</f>
        <v>#VALUE!</v>
      </c>
      <c r="HV58" t="e">
        <f>AND(ConsolidatedEventList!F220,"AAAAAGvu7eU=")</f>
        <v>#VALUE!</v>
      </c>
      <c r="HW58" t="e">
        <f>AND(ConsolidatedEventList!G220,"AAAAAGvu7eY=")</f>
        <v>#VALUE!</v>
      </c>
      <c r="HX58" t="e">
        <f>AND(ConsolidatedEventList!H220,"AAAAAGvu7ec=")</f>
        <v>#VALUE!</v>
      </c>
      <c r="HY58">
        <f>IF(ConsolidatedEventList!221:221,"AAAAAGvu7eg=",0)</f>
        <v>0</v>
      </c>
      <c r="HZ58" t="e">
        <f>AND(ConsolidatedEventList!A221,"AAAAAGvu7ek=")</f>
        <v>#VALUE!</v>
      </c>
      <c r="IA58" t="e">
        <f>AND(ConsolidatedEventList!B221,"AAAAAGvu7eo=")</f>
        <v>#VALUE!</v>
      </c>
      <c r="IB58" t="e">
        <f>AND(ConsolidatedEventList!C221,"AAAAAGvu7es=")</f>
        <v>#VALUE!</v>
      </c>
      <c r="IC58" t="e">
        <f>AND(ConsolidatedEventList!D221,"AAAAAGvu7ew=")</f>
        <v>#VALUE!</v>
      </c>
      <c r="ID58" t="e">
        <f>AND(ConsolidatedEventList!E221,"AAAAAGvu7e0=")</f>
        <v>#VALUE!</v>
      </c>
      <c r="IE58" t="e">
        <f>AND(ConsolidatedEventList!F221,"AAAAAGvu7e4=")</f>
        <v>#VALUE!</v>
      </c>
      <c r="IF58" t="e">
        <f>AND(ConsolidatedEventList!G221,"AAAAAGvu7e8=")</f>
        <v>#VALUE!</v>
      </c>
      <c r="IG58" t="e">
        <f>AND(ConsolidatedEventList!H221,"AAAAAGvu7fA=")</f>
        <v>#VALUE!</v>
      </c>
      <c r="IH58">
        <f>IF(ConsolidatedEventList!222:222,"AAAAAGvu7fE=",0)</f>
        <v>0</v>
      </c>
      <c r="II58" t="e">
        <f>AND(ConsolidatedEventList!A222,"AAAAAGvu7fI=")</f>
        <v>#VALUE!</v>
      </c>
      <c r="IJ58" t="e">
        <f>AND(ConsolidatedEventList!B222,"AAAAAGvu7fM=")</f>
        <v>#VALUE!</v>
      </c>
      <c r="IK58" t="e">
        <f>AND(ConsolidatedEventList!C222,"AAAAAGvu7fQ=")</f>
        <v>#VALUE!</v>
      </c>
      <c r="IL58" t="e">
        <f>AND(ConsolidatedEventList!D222,"AAAAAGvu7fU=")</f>
        <v>#VALUE!</v>
      </c>
      <c r="IM58" t="e">
        <f>AND(ConsolidatedEventList!E222,"AAAAAGvu7fY=")</f>
        <v>#VALUE!</v>
      </c>
      <c r="IN58" t="e">
        <f>AND(ConsolidatedEventList!F222,"AAAAAGvu7fc=")</f>
        <v>#VALUE!</v>
      </c>
      <c r="IO58" t="e">
        <f>AND(ConsolidatedEventList!G222,"AAAAAGvu7fg=")</f>
        <v>#VALUE!</v>
      </c>
      <c r="IP58" t="e">
        <f>AND(ConsolidatedEventList!H222,"AAAAAGvu7fk=")</f>
        <v>#VALUE!</v>
      </c>
      <c r="IQ58">
        <f>IF(ConsolidatedEventList!223:223,"AAAAAGvu7fo=",0)</f>
        <v>0</v>
      </c>
      <c r="IR58" t="e">
        <f>AND(ConsolidatedEventList!A223,"AAAAAGvu7fs=")</f>
        <v>#VALUE!</v>
      </c>
      <c r="IS58" t="e">
        <f>AND(ConsolidatedEventList!B223,"AAAAAGvu7fw=")</f>
        <v>#VALUE!</v>
      </c>
      <c r="IT58" t="e">
        <f>AND(ConsolidatedEventList!C223,"AAAAAGvu7f0=")</f>
        <v>#VALUE!</v>
      </c>
      <c r="IU58" t="e">
        <f>AND(ConsolidatedEventList!D223,"AAAAAGvu7f4=")</f>
        <v>#VALUE!</v>
      </c>
      <c r="IV58" t="e">
        <f>AND(ConsolidatedEventList!E223,"AAAAAGvu7f8=")</f>
        <v>#VALUE!</v>
      </c>
    </row>
    <row r="59" spans="1:256" x14ac:dyDescent="0.25">
      <c r="A59" t="e">
        <f>AND(ConsolidatedEventList!F223,"AAAAAH3//wA=")</f>
        <v>#VALUE!</v>
      </c>
      <c r="B59" t="e">
        <f>AND(ConsolidatedEventList!G223,"AAAAAH3//wE=")</f>
        <v>#VALUE!</v>
      </c>
      <c r="C59" t="e">
        <f>AND(ConsolidatedEventList!H223,"AAAAAH3//wI=")</f>
        <v>#VALUE!</v>
      </c>
      <c r="D59" t="e">
        <f>IF(ConsolidatedEventList!224:224,"AAAAAH3//wM=",0)</f>
        <v>#VALUE!</v>
      </c>
      <c r="E59" t="e">
        <f>AND(ConsolidatedEventList!A224,"AAAAAH3//wQ=")</f>
        <v>#VALUE!</v>
      </c>
      <c r="F59" t="e">
        <f>AND(ConsolidatedEventList!B224,"AAAAAH3//wU=")</f>
        <v>#VALUE!</v>
      </c>
      <c r="G59" t="e">
        <f>AND(ConsolidatedEventList!C224,"AAAAAH3//wY=")</f>
        <v>#VALUE!</v>
      </c>
      <c r="H59" t="e">
        <f>AND(ConsolidatedEventList!D224,"AAAAAH3//wc=")</f>
        <v>#VALUE!</v>
      </c>
      <c r="I59" t="e">
        <f>AND(ConsolidatedEventList!E224,"AAAAAH3//wg=")</f>
        <v>#VALUE!</v>
      </c>
      <c r="J59" t="e">
        <f>AND(ConsolidatedEventList!F224,"AAAAAH3//wk=")</f>
        <v>#VALUE!</v>
      </c>
      <c r="K59" t="e">
        <f>AND(ConsolidatedEventList!G224,"AAAAAH3//wo=")</f>
        <v>#VALUE!</v>
      </c>
      <c r="L59" t="e">
        <f>AND(ConsolidatedEventList!H224,"AAAAAH3//ws=")</f>
        <v>#VALUE!</v>
      </c>
      <c r="M59">
        <f>IF(ConsolidatedEventList!225:225,"AAAAAH3//ww=",0)</f>
        <v>0</v>
      </c>
      <c r="N59" t="e">
        <f>AND(ConsolidatedEventList!A225,"AAAAAH3//w0=")</f>
        <v>#VALUE!</v>
      </c>
      <c r="O59" t="e">
        <f>AND(ConsolidatedEventList!B225,"AAAAAH3//w4=")</f>
        <v>#VALUE!</v>
      </c>
      <c r="P59" t="e">
        <f>AND(ConsolidatedEventList!C225,"AAAAAH3//w8=")</f>
        <v>#VALUE!</v>
      </c>
      <c r="Q59" t="e">
        <f>AND(ConsolidatedEventList!D225,"AAAAAH3//xA=")</f>
        <v>#VALUE!</v>
      </c>
      <c r="R59" t="e">
        <f>AND(ConsolidatedEventList!E225,"AAAAAH3//xE=")</f>
        <v>#VALUE!</v>
      </c>
      <c r="S59" t="e">
        <f>AND(ConsolidatedEventList!F225,"AAAAAH3//xI=")</f>
        <v>#VALUE!</v>
      </c>
      <c r="T59" t="e">
        <f>AND(ConsolidatedEventList!G225,"AAAAAH3//xM=")</f>
        <v>#VALUE!</v>
      </c>
      <c r="U59" t="e">
        <f>AND(ConsolidatedEventList!H225,"AAAAAH3//xQ=")</f>
        <v>#VALUE!</v>
      </c>
      <c r="V59">
        <f>IF(ConsolidatedEventList!226:226,"AAAAAH3//xU=",0)</f>
        <v>0</v>
      </c>
      <c r="W59" t="e">
        <f>AND(ConsolidatedEventList!A226,"AAAAAH3//xY=")</f>
        <v>#VALUE!</v>
      </c>
      <c r="X59" t="e">
        <f>AND(ConsolidatedEventList!B226,"AAAAAH3//xc=")</f>
        <v>#VALUE!</v>
      </c>
      <c r="Y59" t="e">
        <f>AND(ConsolidatedEventList!C226,"AAAAAH3//xg=")</f>
        <v>#VALUE!</v>
      </c>
      <c r="Z59" t="e">
        <f>AND(ConsolidatedEventList!D226,"AAAAAH3//xk=")</f>
        <v>#VALUE!</v>
      </c>
      <c r="AA59" t="e">
        <f>AND(ConsolidatedEventList!E226,"AAAAAH3//xo=")</f>
        <v>#VALUE!</v>
      </c>
      <c r="AB59" t="e">
        <f>AND(ConsolidatedEventList!F226,"AAAAAH3//xs=")</f>
        <v>#VALUE!</v>
      </c>
      <c r="AC59" t="e">
        <f>AND(ConsolidatedEventList!G226,"AAAAAH3//xw=")</f>
        <v>#VALUE!</v>
      </c>
      <c r="AD59" t="e">
        <f>AND(ConsolidatedEventList!H226,"AAAAAH3//x0=")</f>
        <v>#VALUE!</v>
      </c>
      <c r="AE59">
        <f>IF(ConsolidatedEventList!227:227,"AAAAAH3//x4=",0)</f>
        <v>0</v>
      </c>
      <c r="AF59" t="e">
        <f>AND(ConsolidatedEventList!A227,"AAAAAH3//x8=")</f>
        <v>#VALUE!</v>
      </c>
      <c r="AG59" t="e">
        <f>AND(ConsolidatedEventList!B227,"AAAAAH3//yA=")</f>
        <v>#VALUE!</v>
      </c>
      <c r="AH59" t="e">
        <f>AND(ConsolidatedEventList!C227,"AAAAAH3//yE=")</f>
        <v>#VALUE!</v>
      </c>
      <c r="AI59" t="e">
        <f>AND(ConsolidatedEventList!D227,"AAAAAH3//yI=")</f>
        <v>#VALUE!</v>
      </c>
      <c r="AJ59" t="e">
        <f>AND(ConsolidatedEventList!E227,"AAAAAH3//yM=")</f>
        <v>#VALUE!</v>
      </c>
      <c r="AK59" t="e">
        <f>AND(ConsolidatedEventList!F227,"AAAAAH3//yQ=")</f>
        <v>#VALUE!</v>
      </c>
      <c r="AL59" t="e">
        <f>AND(ConsolidatedEventList!G227,"AAAAAH3//yU=")</f>
        <v>#VALUE!</v>
      </c>
      <c r="AM59" t="e">
        <f>AND(ConsolidatedEventList!H227,"AAAAAH3//yY=")</f>
        <v>#VALUE!</v>
      </c>
      <c r="AN59">
        <f>IF(ConsolidatedEventList!228:228,"AAAAAH3//yc=",0)</f>
        <v>0</v>
      </c>
      <c r="AO59" t="e">
        <f>AND(ConsolidatedEventList!A228,"AAAAAH3//yg=")</f>
        <v>#VALUE!</v>
      </c>
      <c r="AP59" t="e">
        <f>AND(ConsolidatedEventList!B228,"AAAAAH3//yk=")</f>
        <v>#VALUE!</v>
      </c>
      <c r="AQ59" t="e">
        <f>AND(ConsolidatedEventList!C228,"AAAAAH3//yo=")</f>
        <v>#VALUE!</v>
      </c>
      <c r="AR59" t="e">
        <f>AND(ConsolidatedEventList!D228,"AAAAAH3//ys=")</f>
        <v>#VALUE!</v>
      </c>
      <c r="AS59" t="e">
        <f>AND(ConsolidatedEventList!E228,"AAAAAH3//yw=")</f>
        <v>#VALUE!</v>
      </c>
      <c r="AT59" t="e">
        <f>AND(ConsolidatedEventList!F228,"AAAAAH3//y0=")</f>
        <v>#VALUE!</v>
      </c>
      <c r="AU59" t="e">
        <f>AND(ConsolidatedEventList!G228,"AAAAAH3//y4=")</f>
        <v>#VALUE!</v>
      </c>
      <c r="AV59" t="e">
        <f>AND(ConsolidatedEventList!H228,"AAAAAH3//y8=")</f>
        <v>#VALUE!</v>
      </c>
      <c r="AW59">
        <f>IF(ConsolidatedEventList!229:229,"AAAAAH3//zA=",0)</f>
        <v>0</v>
      </c>
      <c r="AX59" t="e">
        <f>AND(ConsolidatedEventList!A229,"AAAAAH3//zE=")</f>
        <v>#VALUE!</v>
      </c>
      <c r="AY59" t="e">
        <f>AND(ConsolidatedEventList!B229,"AAAAAH3//zI=")</f>
        <v>#VALUE!</v>
      </c>
      <c r="AZ59" t="e">
        <f>AND(ConsolidatedEventList!C229,"AAAAAH3//zM=")</f>
        <v>#VALUE!</v>
      </c>
      <c r="BA59" t="e">
        <f>AND(ConsolidatedEventList!D229,"AAAAAH3//zQ=")</f>
        <v>#VALUE!</v>
      </c>
      <c r="BB59" t="e">
        <f>AND(ConsolidatedEventList!E229,"AAAAAH3//zU=")</f>
        <v>#VALUE!</v>
      </c>
      <c r="BC59" t="e">
        <f>AND(ConsolidatedEventList!F229,"AAAAAH3//zY=")</f>
        <v>#VALUE!</v>
      </c>
      <c r="BD59" t="e">
        <f>AND(ConsolidatedEventList!G229,"AAAAAH3//zc=")</f>
        <v>#VALUE!</v>
      </c>
      <c r="BE59" t="e">
        <f>AND(ConsolidatedEventList!H229,"AAAAAH3//zg=")</f>
        <v>#VALUE!</v>
      </c>
      <c r="BF59">
        <f>IF(ConsolidatedEventList!230:230,"AAAAAH3//zk=",0)</f>
        <v>0</v>
      </c>
      <c r="BG59" t="e">
        <f>AND(ConsolidatedEventList!A230,"AAAAAH3//zo=")</f>
        <v>#VALUE!</v>
      </c>
      <c r="BH59" t="e">
        <f>AND(ConsolidatedEventList!B230,"AAAAAH3//zs=")</f>
        <v>#VALUE!</v>
      </c>
      <c r="BI59" t="e">
        <f>AND(ConsolidatedEventList!C230,"AAAAAH3//zw=")</f>
        <v>#VALUE!</v>
      </c>
      <c r="BJ59" t="e">
        <f>AND(ConsolidatedEventList!D230,"AAAAAH3//z0=")</f>
        <v>#VALUE!</v>
      </c>
      <c r="BK59" t="e">
        <f>AND(ConsolidatedEventList!E230,"AAAAAH3//z4=")</f>
        <v>#VALUE!</v>
      </c>
      <c r="BL59" t="e">
        <f>AND(ConsolidatedEventList!F230,"AAAAAH3//z8=")</f>
        <v>#VALUE!</v>
      </c>
      <c r="BM59" t="e">
        <f>AND(ConsolidatedEventList!G230,"AAAAAH3//0A=")</f>
        <v>#VALUE!</v>
      </c>
      <c r="BN59" t="e">
        <f>AND(ConsolidatedEventList!H230,"AAAAAH3//0E=")</f>
        <v>#VALUE!</v>
      </c>
      <c r="BO59">
        <f>IF(ConsolidatedEventList!231:231,"AAAAAH3//0I=",0)</f>
        <v>0</v>
      </c>
      <c r="BP59" t="e">
        <f>AND(ConsolidatedEventList!A231,"AAAAAH3//0M=")</f>
        <v>#VALUE!</v>
      </c>
      <c r="BQ59" t="e">
        <f>AND(ConsolidatedEventList!B231,"AAAAAH3//0Q=")</f>
        <v>#VALUE!</v>
      </c>
      <c r="BR59" t="e">
        <f>AND(ConsolidatedEventList!C231,"AAAAAH3//0U=")</f>
        <v>#VALUE!</v>
      </c>
      <c r="BS59" t="e">
        <f>AND(ConsolidatedEventList!D231,"AAAAAH3//0Y=")</f>
        <v>#VALUE!</v>
      </c>
      <c r="BT59" t="e">
        <f>AND(ConsolidatedEventList!E231,"AAAAAH3//0c=")</f>
        <v>#VALUE!</v>
      </c>
      <c r="BU59" t="e">
        <f>AND(ConsolidatedEventList!F231,"AAAAAH3//0g=")</f>
        <v>#VALUE!</v>
      </c>
      <c r="BV59" t="e">
        <f>AND(ConsolidatedEventList!G231,"AAAAAH3//0k=")</f>
        <v>#VALUE!</v>
      </c>
      <c r="BW59" t="e">
        <f>AND(ConsolidatedEventList!H231,"AAAAAH3//0o=")</f>
        <v>#VALUE!</v>
      </c>
      <c r="BX59" t="e">
        <f>IF(ConsolidatedEventList!#REF!,"AAAAAH3//0s=",0)</f>
        <v>#REF!</v>
      </c>
      <c r="BY59" t="e">
        <f>AND(ConsolidatedEventList!#REF!,"AAAAAH3//0w=")</f>
        <v>#REF!</v>
      </c>
      <c r="BZ59" t="e">
        <f>AND(ConsolidatedEventList!#REF!,"AAAAAH3//00=")</f>
        <v>#REF!</v>
      </c>
      <c r="CA59" t="e">
        <f>AND(ConsolidatedEventList!#REF!,"AAAAAH3//04=")</f>
        <v>#REF!</v>
      </c>
      <c r="CB59" t="e">
        <f>AND(ConsolidatedEventList!#REF!,"AAAAAH3//08=")</f>
        <v>#REF!</v>
      </c>
      <c r="CC59" t="e">
        <f>AND(ConsolidatedEventList!#REF!,"AAAAAH3//1A=")</f>
        <v>#REF!</v>
      </c>
      <c r="CD59" t="e">
        <f>AND(ConsolidatedEventList!#REF!,"AAAAAH3//1E=")</f>
        <v>#REF!</v>
      </c>
      <c r="CE59" t="e">
        <f>AND(ConsolidatedEventList!#REF!,"AAAAAH3//1I=")</f>
        <v>#REF!</v>
      </c>
      <c r="CF59" t="e">
        <f>AND(ConsolidatedEventList!#REF!,"AAAAAH3//1M=")</f>
        <v>#REF!</v>
      </c>
      <c r="CG59" t="e">
        <f>IF(ConsolidatedEventList!#REF!,"AAAAAH3//1Q=",0)</f>
        <v>#REF!</v>
      </c>
      <c r="CH59" t="e">
        <f>AND(ConsolidatedEventList!#REF!,"AAAAAH3//1U=")</f>
        <v>#REF!</v>
      </c>
      <c r="CI59" t="e">
        <f>AND(ConsolidatedEventList!#REF!,"AAAAAH3//1Y=")</f>
        <v>#REF!</v>
      </c>
      <c r="CJ59" t="e">
        <f>AND(ConsolidatedEventList!#REF!,"AAAAAH3//1c=")</f>
        <v>#REF!</v>
      </c>
      <c r="CK59" t="e">
        <f>AND(ConsolidatedEventList!#REF!,"AAAAAH3//1g=")</f>
        <v>#REF!</v>
      </c>
      <c r="CL59" t="e">
        <f>AND(ConsolidatedEventList!#REF!,"AAAAAH3//1k=")</f>
        <v>#REF!</v>
      </c>
      <c r="CM59" t="e">
        <f>AND(ConsolidatedEventList!#REF!,"AAAAAH3//1o=")</f>
        <v>#REF!</v>
      </c>
      <c r="CN59" t="e">
        <f>AND(ConsolidatedEventList!#REF!,"AAAAAH3//1s=")</f>
        <v>#REF!</v>
      </c>
      <c r="CO59" t="e">
        <f>AND(ConsolidatedEventList!#REF!,"AAAAAH3//1w=")</f>
        <v>#REF!</v>
      </c>
      <c r="CP59" t="e">
        <f>IF(ConsolidatedEventList!#REF!,"AAAAAH3//10=",0)</f>
        <v>#REF!</v>
      </c>
      <c r="CQ59" t="e">
        <f>AND(ConsolidatedEventList!#REF!,"AAAAAH3//14=")</f>
        <v>#REF!</v>
      </c>
      <c r="CR59" t="e">
        <f>AND(ConsolidatedEventList!#REF!,"AAAAAH3//18=")</f>
        <v>#REF!</v>
      </c>
      <c r="CS59" t="e">
        <f>AND(ConsolidatedEventList!#REF!,"AAAAAH3//2A=")</f>
        <v>#REF!</v>
      </c>
      <c r="CT59" t="e">
        <f>AND(ConsolidatedEventList!#REF!,"AAAAAH3//2E=")</f>
        <v>#REF!</v>
      </c>
      <c r="CU59" t="e">
        <f>AND(ConsolidatedEventList!#REF!,"AAAAAH3//2I=")</f>
        <v>#REF!</v>
      </c>
      <c r="CV59" t="e">
        <f>AND(ConsolidatedEventList!#REF!,"AAAAAH3//2M=")</f>
        <v>#REF!</v>
      </c>
      <c r="CW59" t="e">
        <f>AND(ConsolidatedEventList!#REF!,"AAAAAH3//2Q=")</f>
        <v>#REF!</v>
      </c>
      <c r="CX59" t="e">
        <f>AND(ConsolidatedEventList!#REF!,"AAAAAH3//2U=")</f>
        <v>#REF!</v>
      </c>
      <c r="CY59">
        <f>IF(ConsolidatedEventList!244:244,"AAAAAH3//2Y=",0)</f>
        <v>0</v>
      </c>
      <c r="CZ59" t="e">
        <f>AND(ConsolidatedEventList!A244,"AAAAAH3//2c=")</f>
        <v>#VALUE!</v>
      </c>
      <c r="DA59" t="e">
        <f>AND(ConsolidatedEventList!B244,"AAAAAH3//2g=")</f>
        <v>#VALUE!</v>
      </c>
      <c r="DB59" t="e">
        <f>AND(ConsolidatedEventList!C244,"AAAAAH3//2k=")</f>
        <v>#VALUE!</v>
      </c>
      <c r="DC59" t="e">
        <f>AND(ConsolidatedEventList!D244,"AAAAAH3//2o=")</f>
        <v>#VALUE!</v>
      </c>
      <c r="DD59" t="e">
        <f>AND(ConsolidatedEventList!E244,"AAAAAH3//2s=")</f>
        <v>#VALUE!</v>
      </c>
      <c r="DE59" t="e">
        <f>AND(ConsolidatedEventList!F244,"AAAAAH3//2w=")</f>
        <v>#VALUE!</v>
      </c>
      <c r="DF59" t="e">
        <f>AND(ConsolidatedEventList!G244,"AAAAAH3//20=")</f>
        <v>#VALUE!</v>
      </c>
      <c r="DG59" t="e">
        <f>AND(ConsolidatedEventList!H244,"AAAAAH3//24=")</f>
        <v>#VALUE!</v>
      </c>
      <c r="DH59">
        <f>IF(ConsolidatedEventList!245:245,"AAAAAH3//28=",0)</f>
        <v>0</v>
      </c>
      <c r="DI59" t="e">
        <f>AND(ConsolidatedEventList!A245,"AAAAAH3//3A=")</f>
        <v>#VALUE!</v>
      </c>
      <c r="DJ59" t="e">
        <f>AND(ConsolidatedEventList!B245,"AAAAAH3//3E=")</f>
        <v>#VALUE!</v>
      </c>
      <c r="DK59" t="e">
        <f>AND(ConsolidatedEventList!C245,"AAAAAH3//3I=")</f>
        <v>#VALUE!</v>
      </c>
      <c r="DL59" t="e">
        <f>AND(ConsolidatedEventList!D245,"AAAAAH3//3M=")</f>
        <v>#VALUE!</v>
      </c>
      <c r="DM59" t="e">
        <f>AND(ConsolidatedEventList!E245,"AAAAAH3//3Q=")</f>
        <v>#VALUE!</v>
      </c>
      <c r="DN59" t="e">
        <f>AND(ConsolidatedEventList!F245,"AAAAAH3//3U=")</f>
        <v>#VALUE!</v>
      </c>
      <c r="DO59" t="e">
        <f>AND(ConsolidatedEventList!G245,"AAAAAH3//3Y=")</f>
        <v>#VALUE!</v>
      </c>
      <c r="DP59" t="e">
        <f>AND(ConsolidatedEventList!H245,"AAAAAH3//3c=")</f>
        <v>#VALUE!</v>
      </c>
      <c r="DQ59">
        <f>IF(ConsolidatedEventList!246:246,"AAAAAH3//3g=",0)</f>
        <v>0</v>
      </c>
      <c r="DR59" t="e">
        <f>AND(ConsolidatedEventList!A246,"AAAAAH3//3k=")</f>
        <v>#VALUE!</v>
      </c>
      <c r="DS59" t="e">
        <f>AND(ConsolidatedEventList!B246,"AAAAAH3//3o=")</f>
        <v>#VALUE!</v>
      </c>
      <c r="DT59" t="e">
        <f>AND(ConsolidatedEventList!C246,"AAAAAH3//3s=")</f>
        <v>#VALUE!</v>
      </c>
      <c r="DU59" t="e">
        <f>AND(ConsolidatedEventList!D246,"AAAAAH3//3w=")</f>
        <v>#VALUE!</v>
      </c>
      <c r="DV59" t="e">
        <f>AND(ConsolidatedEventList!E246,"AAAAAH3//30=")</f>
        <v>#VALUE!</v>
      </c>
      <c r="DW59" t="e">
        <f>AND(ConsolidatedEventList!F246,"AAAAAH3//34=")</f>
        <v>#VALUE!</v>
      </c>
      <c r="DX59" t="e">
        <f>AND(ConsolidatedEventList!G246,"AAAAAH3//38=")</f>
        <v>#VALUE!</v>
      </c>
      <c r="DY59" t="e">
        <f>AND(ConsolidatedEventList!H246,"AAAAAH3//4A=")</f>
        <v>#VALUE!</v>
      </c>
      <c r="DZ59">
        <f>IF(ConsolidatedEventList!247:247,"AAAAAH3//4E=",0)</f>
        <v>0</v>
      </c>
      <c r="EA59" t="e">
        <f>AND(ConsolidatedEventList!A247,"AAAAAH3//4I=")</f>
        <v>#VALUE!</v>
      </c>
      <c r="EB59" t="e">
        <f>AND(ConsolidatedEventList!B247,"AAAAAH3//4M=")</f>
        <v>#VALUE!</v>
      </c>
      <c r="EC59" t="e">
        <f>AND(ConsolidatedEventList!C247,"AAAAAH3//4Q=")</f>
        <v>#VALUE!</v>
      </c>
      <c r="ED59" t="e">
        <f>AND(ConsolidatedEventList!D247,"AAAAAH3//4U=")</f>
        <v>#VALUE!</v>
      </c>
      <c r="EE59" t="e">
        <f>AND(ConsolidatedEventList!E247,"AAAAAH3//4Y=")</f>
        <v>#VALUE!</v>
      </c>
      <c r="EF59" t="e">
        <f>AND(ConsolidatedEventList!F247,"AAAAAH3//4c=")</f>
        <v>#VALUE!</v>
      </c>
      <c r="EG59" t="e">
        <f>AND(ConsolidatedEventList!G247,"AAAAAH3//4g=")</f>
        <v>#VALUE!</v>
      </c>
      <c r="EH59" t="e">
        <f>AND(ConsolidatedEventList!H247,"AAAAAH3//4k=")</f>
        <v>#VALUE!</v>
      </c>
      <c r="EI59">
        <f>IF(ConsolidatedEventList!248:248,"AAAAAH3//4o=",0)</f>
        <v>0</v>
      </c>
      <c r="EJ59" t="e">
        <f>AND(ConsolidatedEventList!A248,"AAAAAH3//4s=")</f>
        <v>#VALUE!</v>
      </c>
      <c r="EK59" t="e">
        <f>AND(ConsolidatedEventList!B248,"AAAAAH3//4w=")</f>
        <v>#VALUE!</v>
      </c>
      <c r="EL59" t="e">
        <f>AND(ConsolidatedEventList!C248,"AAAAAH3//40=")</f>
        <v>#VALUE!</v>
      </c>
      <c r="EM59" t="e">
        <f>AND(ConsolidatedEventList!D248,"AAAAAH3//44=")</f>
        <v>#VALUE!</v>
      </c>
      <c r="EN59" t="e">
        <f>AND(ConsolidatedEventList!E248,"AAAAAH3//48=")</f>
        <v>#VALUE!</v>
      </c>
      <c r="EO59" t="e">
        <f>AND(ConsolidatedEventList!F248,"AAAAAH3//5A=")</f>
        <v>#VALUE!</v>
      </c>
      <c r="EP59" t="e">
        <f>AND(ConsolidatedEventList!G248,"AAAAAH3//5E=")</f>
        <v>#VALUE!</v>
      </c>
      <c r="EQ59" t="e">
        <f>AND(ConsolidatedEventList!H248,"AAAAAH3//5I=")</f>
        <v>#VALUE!</v>
      </c>
      <c r="ER59">
        <f>IF(ConsolidatedEventList!249:249,"AAAAAH3//5M=",0)</f>
        <v>0</v>
      </c>
      <c r="ES59" t="e">
        <f>AND(ConsolidatedEventList!A249,"AAAAAH3//5Q=")</f>
        <v>#VALUE!</v>
      </c>
      <c r="ET59" t="e">
        <f>AND(ConsolidatedEventList!B249,"AAAAAH3//5U=")</f>
        <v>#VALUE!</v>
      </c>
      <c r="EU59" t="e">
        <f>AND(ConsolidatedEventList!C249,"AAAAAH3//5Y=")</f>
        <v>#VALUE!</v>
      </c>
      <c r="EV59" t="e">
        <f>AND(ConsolidatedEventList!D249,"AAAAAH3//5c=")</f>
        <v>#VALUE!</v>
      </c>
      <c r="EW59" t="e">
        <f>AND(ConsolidatedEventList!E249,"AAAAAH3//5g=")</f>
        <v>#VALUE!</v>
      </c>
      <c r="EX59" t="e">
        <f>AND(ConsolidatedEventList!F249,"AAAAAH3//5k=")</f>
        <v>#VALUE!</v>
      </c>
      <c r="EY59" t="e">
        <f>AND(ConsolidatedEventList!G249,"AAAAAH3//5o=")</f>
        <v>#VALUE!</v>
      </c>
      <c r="EZ59" t="e">
        <f>AND(ConsolidatedEventList!H249,"AAAAAH3//5s=")</f>
        <v>#VALUE!</v>
      </c>
      <c r="FA59">
        <f>IF(ConsolidatedEventList!250:250,"AAAAAH3//5w=",0)</f>
        <v>0</v>
      </c>
      <c r="FB59" t="e">
        <f>AND(ConsolidatedEventList!A250,"AAAAAH3//50=")</f>
        <v>#VALUE!</v>
      </c>
      <c r="FC59" t="e">
        <f>AND(ConsolidatedEventList!B250,"AAAAAH3//54=")</f>
        <v>#VALUE!</v>
      </c>
      <c r="FD59" t="e">
        <f>AND(ConsolidatedEventList!C250,"AAAAAH3//58=")</f>
        <v>#VALUE!</v>
      </c>
      <c r="FE59" t="e">
        <f>AND(ConsolidatedEventList!D250,"AAAAAH3//6A=")</f>
        <v>#VALUE!</v>
      </c>
      <c r="FF59" t="e">
        <f>AND(ConsolidatedEventList!E250,"AAAAAH3//6E=")</f>
        <v>#VALUE!</v>
      </c>
      <c r="FG59" t="e">
        <f>AND(ConsolidatedEventList!F250,"AAAAAH3//6I=")</f>
        <v>#VALUE!</v>
      </c>
      <c r="FH59" t="e">
        <f>AND(ConsolidatedEventList!G250,"AAAAAH3//6M=")</f>
        <v>#VALUE!</v>
      </c>
      <c r="FI59" t="e">
        <f>AND(ConsolidatedEventList!H250,"AAAAAH3//6Q=")</f>
        <v>#VALUE!</v>
      </c>
      <c r="FJ59">
        <f>IF(ConsolidatedEventList!251:251,"AAAAAH3//6U=",0)</f>
        <v>0</v>
      </c>
      <c r="FK59" t="e">
        <f>AND(ConsolidatedEventList!A251,"AAAAAH3//6Y=")</f>
        <v>#VALUE!</v>
      </c>
      <c r="FL59" t="e">
        <f>AND(ConsolidatedEventList!B251,"AAAAAH3//6c=")</f>
        <v>#VALUE!</v>
      </c>
      <c r="FM59" t="e">
        <f>AND(ConsolidatedEventList!C251,"AAAAAH3//6g=")</f>
        <v>#VALUE!</v>
      </c>
      <c r="FN59" t="e">
        <f>AND(ConsolidatedEventList!D251,"AAAAAH3//6k=")</f>
        <v>#VALUE!</v>
      </c>
      <c r="FO59" t="e">
        <f>AND(ConsolidatedEventList!E251,"AAAAAH3//6o=")</f>
        <v>#VALUE!</v>
      </c>
      <c r="FP59" t="e">
        <f>AND(ConsolidatedEventList!F251,"AAAAAH3//6s=")</f>
        <v>#VALUE!</v>
      </c>
      <c r="FQ59" t="e">
        <f>AND(ConsolidatedEventList!G251,"AAAAAH3//6w=")</f>
        <v>#VALUE!</v>
      </c>
      <c r="FR59" t="e">
        <f>AND(ConsolidatedEventList!H251,"AAAAAH3//60=")</f>
        <v>#VALUE!</v>
      </c>
      <c r="FS59" t="e">
        <f>IF(ConsolidatedEventList!#REF!,"AAAAAH3//64=",0)</f>
        <v>#REF!</v>
      </c>
      <c r="FT59" t="e">
        <f>AND(ConsolidatedEventList!#REF!,"AAAAAH3//68=")</f>
        <v>#REF!</v>
      </c>
      <c r="FU59" t="e">
        <f>AND(ConsolidatedEventList!#REF!,"AAAAAH3//7A=")</f>
        <v>#REF!</v>
      </c>
      <c r="FV59" t="e">
        <f>AND(ConsolidatedEventList!#REF!,"AAAAAH3//7E=")</f>
        <v>#REF!</v>
      </c>
      <c r="FW59" t="e">
        <f>AND(ConsolidatedEventList!#REF!,"AAAAAH3//7I=")</f>
        <v>#REF!</v>
      </c>
      <c r="FX59" t="e">
        <f>AND(ConsolidatedEventList!#REF!,"AAAAAH3//7M=")</f>
        <v>#REF!</v>
      </c>
      <c r="FY59" t="e">
        <f>AND(ConsolidatedEventList!#REF!,"AAAAAH3//7Q=")</f>
        <v>#REF!</v>
      </c>
      <c r="FZ59" t="e">
        <f>AND(ConsolidatedEventList!#REF!,"AAAAAH3//7U=")</f>
        <v>#REF!</v>
      </c>
      <c r="GA59" t="e">
        <f>AND(ConsolidatedEventList!#REF!,"AAAAAH3//7Y=")</f>
        <v>#REF!</v>
      </c>
      <c r="GB59" t="e">
        <f>IF(ConsolidatedEventList!#REF!,"AAAAAH3//7c=",0)</f>
        <v>#REF!</v>
      </c>
      <c r="GC59" t="e">
        <f>AND(ConsolidatedEventList!#REF!,"AAAAAH3//7g=")</f>
        <v>#REF!</v>
      </c>
      <c r="GD59" t="e">
        <f>AND(ConsolidatedEventList!#REF!,"AAAAAH3//7k=")</f>
        <v>#REF!</v>
      </c>
      <c r="GE59" t="e">
        <f>AND(ConsolidatedEventList!#REF!,"AAAAAH3//7o=")</f>
        <v>#REF!</v>
      </c>
      <c r="GF59" t="e">
        <f>AND(ConsolidatedEventList!#REF!,"AAAAAH3//7s=")</f>
        <v>#REF!</v>
      </c>
      <c r="GG59" t="e">
        <f>AND(ConsolidatedEventList!#REF!,"AAAAAH3//7w=")</f>
        <v>#REF!</v>
      </c>
      <c r="GH59" t="e">
        <f>AND(ConsolidatedEventList!#REF!,"AAAAAH3//70=")</f>
        <v>#REF!</v>
      </c>
      <c r="GI59" t="e">
        <f>AND(ConsolidatedEventList!#REF!,"AAAAAH3//74=")</f>
        <v>#REF!</v>
      </c>
      <c r="GJ59" t="e">
        <f>AND(ConsolidatedEventList!#REF!,"AAAAAH3//78=")</f>
        <v>#REF!</v>
      </c>
      <c r="GK59" t="e">
        <f>IF(ConsolidatedEventList!#REF!,"AAAAAH3//8A=",0)</f>
        <v>#REF!</v>
      </c>
      <c r="GL59" t="e">
        <f>AND(ConsolidatedEventList!#REF!,"AAAAAH3//8E=")</f>
        <v>#REF!</v>
      </c>
      <c r="GM59" t="e">
        <f>AND(ConsolidatedEventList!#REF!,"AAAAAH3//8I=")</f>
        <v>#REF!</v>
      </c>
      <c r="GN59" t="e">
        <f>AND(ConsolidatedEventList!#REF!,"AAAAAH3//8M=")</f>
        <v>#REF!</v>
      </c>
      <c r="GO59" t="e">
        <f>AND(ConsolidatedEventList!#REF!,"AAAAAH3//8Q=")</f>
        <v>#REF!</v>
      </c>
      <c r="GP59" t="e">
        <f>AND(ConsolidatedEventList!#REF!,"AAAAAH3//8U=")</f>
        <v>#REF!</v>
      </c>
      <c r="GQ59" t="e">
        <f>AND(ConsolidatedEventList!#REF!,"AAAAAH3//8Y=")</f>
        <v>#REF!</v>
      </c>
      <c r="GR59" t="e">
        <f>AND(ConsolidatedEventList!#REF!,"AAAAAH3//8c=")</f>
        <v>#REF!</v>
      </c>
      <c r="GS59" t="e">
        <f>AND(ConsolidatedEventList!#REF!,"AAAAAH3//8g=")</f>
        <v>#REF!</v>
      </c>
      <c r="GT59" t="e">
        <f>IF(ConsolidatedEventList!#REF!,"AAAAAH3//8k=",0)</f>
        <v>#REF!</v>
      </c>
      <c r="GU59" t="e">
        <f>AND(ConsolidatedEventList!#REF!,"AAAAAH3//8o=")</f>
        <v>#REF!</v>
      </c>
      <c r="GV59" t="e">
        <f>AND(ConsolidatedEventList!#REF!,"AAAAAH3//8s=")</f>
        <v>#REF!</v>
      </c>
      <c r="GW59" t="e">
        <f>AND(ConsolidatedEventList!#REF!,"AAAAAH3//8w=")</f>
        <v>#REF!</v>
      </c>
      <c r="GX59" t="e">
        <f>AND(ConsolidatedEventList!#REF!,"AAAAAH3//80=")</f>
        <v>#REF!</v>
      </c>
      <c r="GY59" t="e">
        <f>AND(ConsolidatedEventList!#REF!,"AAAAAH3//84=")</f>
        <v>#REF!</v>
      </c>
      <c r="GZ59" t="e">
        <f>AND(ConsolidatedEventList!#REF!,"AAAAAH3//88=")</f>
        <v>#REF!</v>
      </c>
      <c r="HA59" t="e">
        <f>AND(ConsolidatedEventList!#REF!,"AAAAAH3//9A=")</f>
        <v>#REF!</v>
      </c>
      <c r="HB59" t="e">
        <f>AND(ConsolidatedEventList!#REF!,"AAAAAH3//9E=")</f>
        <v>#REF!</v>
      </c>
      <c r="HC59" t="e">
        <f>IF(ConsolidatedEventList!#REF!,"AAAAAH3//9I=",0)</f>
        <v>#REF!</v>
      </c>
      <c r="HD59" t="e">
        <f>AND(ConsolidatedEventList!#REF!,"AAAAAH3//9M=")</f>
        <v>#REF!</v>
      </c>
      <c r="HE59" t="e">
        <f>AND(ConsolidatedEventList!#REF!,"AAAAAH3//9Q=")</f>
        <v>#REF!</v>
      </c>
      <c r="HF59" t="e">
        <f>AND(ConsolidatedEventList!#REF!,"AAAAAH3//9U=")</f>
        <v>#REF!</v>
      </c>
      <c r="HG59" t="e">
        <f>AND(ConsolidatedEventList!#REF!,"AAAAAH3//9Y=")</f>
        <v>#REF!</v>
      </c>
      <c r="HH59" t="e">
        <f>AND(ConsolidatedEventList!#REF!,"AAAAAH3//9c=")</f>
        <v>#REF!</v>
      </c>
      <c r="HI59" t="e">
        <f>AND(ConsolidatedEventList!#REF!,"AAAAAH3//9g=")</f>
        <v>#REF!</v>
      </c>
      <c r="HJ59" t="e">
        <f>AND(ConsolidatedEventList!#REF!,"AAAAAH3//9k=")</f>
        <v>#REF!</v>
      </c>
      <c r="HK59" t="e">
        <f>AND(ConsolidatedEventList!#REF!,"AAAAAH3//9o=")</f>
        <v>#REF!</v>
      </c>
      <c r="HL59" t="e">
        <f>IF(ConsolidatedEventList!#REF!,"AAAAAH3//9s=",0)</f>
        <v>#REF!</v>
      </c>
      <c r="HM59" t="e">
        <f>AND(ConsolidatedEventList!#REF!,"AAAAAH3//9w=")</f>
        <v>#REF!</v>
      </c>
      <c r="HN59" t="e">
        <f>AND(ConsolidatedEventList!#REF!,"AAAAAH3//90=")</f>
        <v>#REF!</v>
      </c>
      <c r="HO59" t="e">
        <f>AND(ConsolidatedEventList!#REF!,"AAAAAH3//94=")</f>
        <v>#REF!</v>
      </c>
      <c r="HP59" t="e">
        <f>AND(ConsolidatedEventList!#REF!,"AAAAAH3//98=")</f>
        <v>#REF!</v>
      </c>
      <c r="HQ59" t="e">
        <f>AND(ConsolidatedEventList!#REF!,"AAAAAH3//+A=")</f>
        <v>#REF!</v>
      </c>
      <c r="HR59" t="e">
        <f>AND(ConsolidatedEventList!#REF!,"AAAAAH3//+E=")</f>
        <v>#REF!</v>
      </c>
      <c r="HS59" t="e">
        <f>AND(ConsolidatedEventList!#REF!,"AAAAAH3//+I=")</f>
        <v>#REF!</v>
      </c>
      <c r="HT59" t="e">
        <f>AND(ConsolidatedEventList!#REF!,"AAAAAH3//+M=")</f>
        <v>#REF!</v>
      </c>
      <c r="HU59" t="e">
        <f>IF(ConsolidatedEventList!#REF!,"AAAAAH3//+Q=",0)</f>
        <v>#REF!</v>
      </c>
      <c r="HV59" t="e">
        <f>AND(ConsolidatedEventList!#REF!,"AAAAAH3//+U=")</f>
        <v>#REF!</v>
      </c>
      <c r="HW59" t="e">
        <f>AND(ConsolidatedEventList!#REF!,"AAAAAH3//+Y=")</f>
        <v>#REF!</v>
      </c>
      <c r="HX59" t="e">
        <f>AND(ConsolidatedEventList!#REF!,"AAAAAH3//+c=")</f>
        <v>#REF!</v>
      </c>
      <c r="HY59" t="e">
        <f>AND(ConsolidatedEventList!#REF!,"AAAAAH3//+g=")</f>
        <v>#REF!</v>
      </c>
      <c r="HZ59" t="e">
        <f>AND(ConsolidatedEventList!#REF!,"AAAAAH3//+k=")</f>
        <v>#REF!</v>
      </c>
      <c r="IA59" t="e">
        <f>AND(ConsolidatedEventList!#REF!,"AAAAAH3//+o=")</f>
        <v>#REF!</v>
      </c>
      <c r="IB59" t="e">
        <f>AND(ConsolidatedEventList!#REF!,"AAAAAH3//+s=")</f>
        <v>#REF!</v>
      </c>
      <c r="IC59" t="e">
        <f>AND(ConsolidatedEventList!#REF!,"AAAAAH3//+w=")</f>
        <v>#REF!</v>
      </c>
      <c r="ID59" t="e">
        <f>IF(ConsolidatedEventList!#REF!,"AAAAAH3//+0=",0)</f>
        <v>#REF!</v>
      </c>
      <c r="IE59" t="e">
        <f>AND(ConsolidatedEventList!#REF!,"AAAAAH3//+4=")</f>
        <v>#REF!</v>
      </c>
      <c r="IF59" t="e">
        <f>AND(ConsolidatedEventList!#REF!,"AAAAAH3//+8=")</f>
        <v>#REF!</v>
      </c>
      <c r="IG59" t="e">
        <f>AND(ConsolidatedEventList!#REF!,"AAAAAH3///A=")</f>
        <v>#REF!</v>
      </c>
      <c r="IH59" t="e">
        <f>AND(ConsolidatedEventList!#REF!,"AAAAAH3///E=")</f>
        <v>#REF!</v>
      </c>
      <c r="II59" t="e">
        <f>AND(ConsolidatedEventList!#REF!,"AAAAAH3///I=")</f>
        <v>#REF!</v>
      </c>
      <c r="IJ59" t="e">
        <f>AND(ConsolidatedEventList!#REF!,"AAAAAH3///M=")</f>
        <v>#REF!</v>
      </c>
      <c r="IK59" t="e">
        <f>AND(ConsolidatedEventList!#REF!,"AAAAAH3///Q=")</f>
        <v>#REF!</v>
      </c>
      <c r="IL59" t="e">
        <f>AND(ConsolidatedEventList!#REF!,"AAAAAH3///U=")</f>
        <v>#REF!</v>
      </c>
      <c r="IM59" t="e">
        <f>IF(ConsolidatedEventList!#REF!,"AAAAAH3///Y=",0)</f>
        <v>#REF!</v>
      </c>
      <c r="IN59" t="e">
        <f>AND(ConsolidatedEventList!#REF!,"AAAAAH3///c=")</f>
        <v>#REF!</v>
      </c>
      <c r="IO59" t="e">
        <f>AND(ConsolidatedEventList!#REF!,"AAAAAH3///g=")</f>
        <v>#REF!</v>
      </c>
      <c r="IP59" t="e">
        <f>AND(ConsolidatedEventList!#REF!,"AAAAAH3///k=")</f>
        <v>#REF!</v>
      </c>
      <c r="IQ59" t="e">
        <f>AND(ConsolidatedEventList!#REF!,"AAAAAH3///o=")</f>
        <v>#REF!</v>
      </c>
      <c r="IR59" t="e">
        <f>AND(ConsolidatedEventList!#REF!,"AAAAAH3///s=")</f>
        <v>#REF!</v>
      </c>
      <c r="IS59" t="e">
        <f>AND(ConsolidatedEventList!#REF!,"AAAAAH3///w=")</f>
        <v>#REF!</v>
      </c>
      <c r="IT59" t="e">
        <f>AND(ConsolidatedEventList!#REF!,"AAAAAH3///0=")</f>
        <v>#REF!</v>
      </c>
      <c r="IU59" t="e">
        <f>AND(ConsolidatedEventList!#REF!,"AAAAAH3///4=")</f>
        <v>#REF!</v>
      </c>
      <c r="IV59" t="e">
        <f>IF(ConsolidatedEventList!#REF!,"AAAAAH3///8=",0)</f>
        <v>#REF!</v>
      </c>
    </row>
    <row r="60" spans="1:256" x14ac:dyDescent="0.25">
      <c r="A60" t="e">
        <f>AND(ConsolidatedEventList!#REF!,"AAAAAHW/OgA=")</f>
        <v>#REF!</v>
      </c>
      <c r="B60" t="e">
        <f>AND(ConsolidatedEventList!#REF!,"AAAAAHW/OgE=")</f>
        <v>#REF!</v>
      </c>
      <c r="C60" t="e">
        <f>AND(ConsolidatedEventList!#REF!,"AAAAAHW/OgI=")</f>
        <v>#REF!</v>
      </c>
      <c r="D60" t="e">
        <f>AND(ConsolidatedEventList!#REF!,"AAAAAHW/OgM=")</f>
        <v>#REF!</v>
      </c>
      <c r="E60" t="e">
        <f>AND(ConsolidatedEventList!#REF!,"AAAAAHW/OgQ=")</f>
        <v>#REF!</v>
      </c>
      <c r="F60" t="e">
        <f>AND(ConsolidatedEventList!#REF!,"AAAAAHW/OgU=")</f>
        <v>#REF!</v>
      </c>
      <c r="G60" t="e">
        <f>AND(ConsolidatedEventList!#REF!,"AAAAAHW/OgY=")</f>
        <v>#REF!</v>
      </c>
      <c r="H60" t="e">
        <f>AND(ConsolidatedEventList!#REF!,"AAAAAHW/Ogc=")</f>
        <v>#REF!</v>
      </c>
      <c r="I60" t="e">
        <f>IF(ConsolidatedEventList!#REF!,"AAAAAHW/Ogg=",0)</f>
        <v>#REF!</v>
      </c>
      <c r="J60" t="e">
        <f>AND(ConsolidatedEventList!#REF!,"AAAAAHW/Ogk=")</f>
        <v>#REF!</v>
      </c>
      <c r="K60" t="e">
        <f>AND(ConsolidatedEventList!#REF!,"AAAAAHW/Ogo=")</f>
        <v>#REF!</v>
      </c>
      <c r="L60" t="e">
        <f>AND(ConsolidatedEventList!#REF!,"AAAAAHW/Ogs=")</f>
        <v>#REF!</v>
      </c>
      <c r="M60" t="e">
        <f>AND(ConsolidatedEventList!#REF!,"AAAAAHW/Ogw=")</f>
        <v>#REF!</v>
      </c>
      <c r="N60" t="e">
        <f>AND(ConsolidatedEventList!#REF!,"AAAAAHW/Og0=")</f>
        <v>#REF!</v>
      </c>
      <c r="O60" t="e">
        <f>AND(ConsolidatedEventList!#REF!,"AAAAAHW/Og4=")</f>
        <v>#REF!</v>
      </c>
      <c r="P60" t="e">
        <f>AND(ConsolidatedEventList!#REF!,"AAAAAHW/Og8=")</f>
        <v>#REF!</v>
      </c>
      <c r="Q60" t="e">
        <f>AND(ConsolidatedEventList!#REF!,"AAAAAHW/OhA=")</f>
        <v>#REF!</v>
      </c>
      <c r="R60" t="e">
        <f>IF(ConsolidatedEventList!#REF!,"AAAAAHW/OhE=",0)</f>
        <v>#REF!</v>
      </c>
      <c r="S60" t="e">
        <f>AND(ConsolidatedEventList!#REF!,"AAAAAHW/OhI=")</f>
        <v>#REF!</v>
      </c>
      <c r="T60" t="e">
        <f>AND(ConsolidatedEventList!#REF!,"AAAAAHW/OhM=")</f>
        <v>#REF!</v>
      </c>
      <c r="U60" t="e">
        <f>AND(ConsolidatedEventList!#REF!,"AAAAAHW/OhQ=")</f>
        <v>#REF!</v>
      </c>
      <c r="V60" t="e">
        <f>AND(ConsolidatedEventList!#REF!,"AAAAAHW/OhU=")</f>
        <v>#REF!</v>
      </c>
      <c r="W60" t="e">
        <f>AND(ConsolidatedEventList!#REF!,"AAAAAHW/OhY=")</f>
        <v>#REF!</v>
      </c>
      <c r="X60" t="e">
        <f>AND(ConsolidatedEventList!#REF!,"AAAAAHW/Ohc=")</f>
        <v>#REF!</v>
      </c>
      <c r="Y60" t="e">
        <f>AND(ConsolidatedEventList!#REF!,"AAAAAHW/Ohg=")</f>
        <v>#REF!</v>
      </c>
      <c r="Z60" t="e">
        <f>AND(ConsolidatedEventList!#REF!,"AAAAAHW/Ohk=")</f>
        <v>#REF!</v>
      </c>
      <c r="AA60" t="e">
        <f>IF(ConsolidatedEventList!#REF!,"AAAAAHW/Oho=",0)</f>
        <v>#REF!</v>
      </c>
      <c r="AB60" t="e">
        <f>AND(ConsolidatedEventList!#REF!,"AAAAAHW/Ohs=")</f>
        <v>#REF!</v>
      </c>
      <c r="AC60" t="e">
        <f>AND(ConsolidatedEventList!#REF!,"AAAAAHW/Ohw=")</f>
        <v>#REF!</v>
      </c>
      <c r="AD60" t="e">
        <f>AND(ConsolidatedEventList!#REF!,"AAAAAHW/Oh0=")</f>
        <v>#REF!</v>
      </c>
      <c r="AE60" t="e">
        <f>AND(ConsolidatedEventList!#REF!,"AAAAAHW/Oh4=")</f>
        <v>#REF!</v>
      </c>
      <c r="AF60" t="e">
        <f>AND(ConsolidatedEventList!#REF!,"AAAAAHW/Oh8=")</f>
        <v>#REF!</v>
      </c>
      <c r="AG60" t="e">
        <f>AND(ConsolidatedEventList!#REF!,"AAAAAHW/OiA=")</f>
        <v>#REF!</v>
      </c>
      <c r="AH60" t="e">
        <f>AND(ConsolidatedEventList!#REF!,"AAAAAHW/OiE=")</f>
        <v>#REF!</v>
      </c>
      <c r="AI60" t="e">
        <f>AND(ConsolidatedEventList!#REF!,"AAAAAHW/OiI=")</f>
        <v>#REF!</v>
      </c>
      <c r="AJ60" t="e">
        <f>IF(ConsolidatedEventList!#REF!,"AAAAAHW/OiM=",0)</f>
        <v>#REF!</v>
      </c>
      <c r="AK60" t="e">
        <f>AND(ConsolidatedEventList!#REF!,"AAAAAHW/OiQ=")</f>
        <v>#REF!</v>
      </c>
      <c r="AL60" t="e">
        <f>AND(ConsolidatedEventList!#REF!,"AAAAAHW/OiU=")</f>
        <v>#REF!</v>
      </c>
      <c r="AM60" t="e">
        <f>AND(ConsolidatedEventList!#REF!,"AAAAAHW/OiY=")</f>
        <v>#REF!</v>
      </c>
      <c r="AN60" t="e">
        <f>AND(ConsolidatedEventList!#REF!,"AAAAAHW/Oic=")</f>
        <v>#REF!</v>
      </c>
      <c r="AO60" t="e">
        <f>AND(ConsolidatedEventList!#REF!,"AAAAAHW/Oig=")</f>
        <v>#REF!</v>
      </c>
      <c r="AP60" t="e">
        <f>AND(ConsolidatedEventList!#REF!,"AAAAAHW/Oik=")</f>
        <v>#REF!</v>
      </c>
      <c r="AQ60" t="e">
        <f>AND(ConsolidatedEventList!#REF!,"AAAAAHW/Oio=")</f>
        <v>#REF!</v>
      </c>
      <c r="AR60" t="e">
        <f>AND(ConsolidatedEventList!#REF!,"AAAAAHW/Ois=")</f>
        <v>#REF!</v>
      </c>
      <c r="AS60" t="e">
        <f>IF(ConsolidatedEventList!#REF!,"AAAAAHW/Oiw=",0)</f>
        <v>#REF!</v>
      </c>
      <c r="AT60" t="e">
        <f>AND(ConsolidatedEventList!#REF!,"AAAAAHW/Oi0=")</f>
        <v>#REF!</v>
      </c>
      <c r="AU60" t="e">
        <f>AND(ConsolidatedEventList!#REF!,"AAAAAHW/Oi4=")</f>
        <v>#REF!</v>
      </c>
      <c r="AV60" t="e">
        <f>AND(ConsolidatedEventList!#REF!,"AAAAAHW/Oi8=")</f>
        <v>#REF!</v>
      </c>
      <c r="AW60" t="e">
        <f>AND(ConsolidatedEventList!#REF!,"AAAAAHW/OjA=")</f>
        <v>#REF!</v>
      </c>
      <c r="AX60" t="e">
        <f>AND(ConsolidatedEventList!#REF!,"AAAAAHW/OjE=")</f>
        <v>#REF!</v>
      </c>
      <c r="AY60" t="e">
        <f>AND(ConsolidatedEventList!#REF!,"AAAAAHW/OjI=")</f>
        <v>#REF!</v>
      </c>
      <c r="AZ60" t="e">
        <f>AND(ConsolidatedEventList!#REF!,"AAAAAHW/OjM=")</f>
        <v>#REF!</v>
      </c>
      <c r="BA60" t="e">
        <f>AND(ConsolidatedEventList!#REF!,"AAAAAHW/OjQ=")</f>
        <v>#REF!</v>
      </c>
      <c r="BB60" t="e">
        <f>IF(ConsolidatedEventList!#REF!,"AAAAAHW/OjU=",0)</f>
        <v>#REF!</v>
      </c>
      <c r="BC60" t="e">
        <f>AND(ConsolidatedEventList!#REF!,"AAAAAHW/OjY=")</f>
        <v>#REF!</v>
      </c>
      <c r="BD60" t="e">
        <f>AND(ConsolidatedEventList!#REF!,"AAAAAHW/Ojc=")</f>
        <v>#REF!</v>
      </c>
      <c r="BE60" t="e">
        <f>AND(ConsolidatedEventList!#REF!,"AAAAAHW/Ojg=")</f>
        <v>#REF!</v>
      </c>
      <c r="BF60" t="e">
        <f>AND(ConsolidatedEventList!#REF!,"AAAAAHW/Ojk=")</f>
        <v>#REF!</v>
      </c>
      <c r="BG60" t="e">
        <f>AND(ConsolidatedEventList!#REF!,"AAAAAHW/Ojo=")</f>
        <v>#REF!</v>
      </c>
      <c r="BH60" t="e">
        <f>AND(ConsolidatedEventList!#REF!,"AAAAAHW/Ojs=")</f>
        <v>#REF!</v>
      </c>
      <c r="BI60" t="e">
        <f>AND(ConsolidatedEventList!#REF!,"AAAAAHW/Ojw=")</f>
        <v>#REF!</v>
      </c>
      <c r="BJ60" t="e">
        <f>AND(ConsolidatedEventList!#REF!,"AAAAAHW/Oj0=")</f>
        <v>#REF!</v>
      </c>
      <c r="BK60" t="e">
        <f>IF(ConsolidatedEventList!#REF!,"AAAAAHW/Oj4=",0)</f>
        <v>#REF!</v>
      </c>
      <c r="BL60" t="e">
        <f>AND(ConsolidatedEventList!#REF!,"AAAAAHW/Oj8=")</f>
        <v>#REF!</v>
      </c>
      <c r="BM60" t="e">
        <f>AND(ConsolidatedEventList!#REF!,"AAAAAHW/OkA=")</f>
        <v>#REF!</v>
      </c>
      <c r="BN60" t="e">
        <f>AND(ConsolidatedEventList!#REF!,"AAAAAHW/OkE=")</f>
        <v>#REF!</v>
      </c>
      <c r="BO60" t="e">
        <f>AND(ConsolidatedEventList!#REF!,"AAAAAHW/OkI=")</f>
        <v>#REF!</v>
      </c>
      <c r="BP60" t="e">
        <f>AND(ConsolidatedEventList!#REF!,"AAAAAHW/OkM=")</f>
        <v>#REF!</v>
      </c>
      <c r="BQ60" t="e">
        <f>AND(ConsolidatedEventList!#REF!,"AAAAAHW/OkQ=")</f>
        <v>#REF!</v>
      </c>
      <c r="BR60" t="e">
        <f>AND(ConsolidatedEventList!#REF!,"AAAAAHW/OkU=")</f>
        <v>#REF!</v>
      </c>
      <c r="BS60" t="e">
        <f>AND(ConsolidatedEventList!#REF!,"AAAAAHW/OkY=")</f>
        <v>#REF!</v>
      </c>
      <c r="BT60" t="e">
        <f>IF(ConsolidatedEventList!#REF!,"AAAAAHW/Okc=",0)</f>
        <v>#REF!</v>
      </c>
      <c r="BU60" t="e">
        <f>AND(ConsolidatedEventList!#REF!,"AAAAAHW/Okg=")</f>
        <v>#REF!</v>
      </c>
      <c r="BV60" t="e">
        <f>AND(ConsolidatedEventList!#REF!,"AAAAAHW/Okk=")</f>
        <v>#REF!</v>
      </c>
      <c r="BW60" t="e">
        <f>AND(ConsolidatedEventList!#REF!,"AAAAAHW/Oko=")</f>
        <v>#REF!</v>
      </c>
      <c r="BX60" t="e">
        <f>AND(ConsolidatedEventList!#REF!,"AAAAAHW/Oks=")</f>
        <v>#REF!</v>
      </c>
      <c r="BY60" t="e">
        <f>AND(ConsolidatedEventList!#REF!,"AAAAAHW/Okw=")</f>
        <v>#REF!</v>
      </c>
      <c r="BZ60" t="e">
        <f>AND(ConsolidatedEventList!#REF!,"AAAAAHW/Ok0=")</f>
        <v>#REF!</v>
      </c>
      <c r="CA60" t="e">
        <f>AND(ConsolidatedEventList!#REF!,"AAAAAHW/Ok4=")</f>
        <v>#REF!</v>
      </c>
      <c r="CB60" t="e">
        <f>AND(ConsolidatedEventList!#REF!,"AAAAAHW/Ok8=")</f>
        <v>#REF!</v>
      </c>
      <c r="CC60" t="e">
        <f>IF(ConsolidatedEventList!#REF!,"AAAAAHW/OlA=",0)</f>
        <v>#REF!</v>
      </c>
      <c r="CD60" t="e">
        <f>AND(ConsolidatedEventList!#REF!,"AAAAAHW/OlE=")</f>
        <v>#REF!</v>
      </c>
      <c r="CE60" t="e">
        <f>AND(ConsolidatedEventList!#REF!,"AAAAAHW/OlI=")</f>
        <v>#REF!</v>
      </c>
      <c r="CF60" t="e">
        <f>AND(ConsolidatedEventList!#REF!,"AAAAAHW/OlM=")</f>
        <v>#REF!</v>
      </c>
      <c r="CG60" t="e">
        <f>AND(ConsolidatedEventList!#REF!,"AAAAAHW/OlQ=")</f>
        <v>#REF!</v>
      </c>
      <c r="CH60" t="e">
        <f>AND(ConsolidatedEventList!#REF!,"AAAAAHW/OlU=")</f>
        <v>#REF!</v>
      </c>
      <c r="CI60" t="e">
        <f>AND(ConsolidatedEventList!#REF!,"AAAAAHW/OlY=")</f>
        <v>#REF!</v>
      </c>
      <c r="CJ60" t="e">
        <f>AND(ConsolidatedEventList!#REF!,"AAAAAHW/Olc=")</f>
        <v>#REF!</v>
      </c>
      <c r="CK60" t="e">
        <f>AND(ConsolidatedEventList!#REF!,"AAAAAHW/Olg=")</f>
        <v>#REF!</v>
      </c>
      <c r="CL60" t="e">
        <f>IF(ConsolidatedEventList!#REF!,"AAAAAHW/Olk=",0)</f>
        <v>#REF!</v>
      </c>
      <c r="CM60" t="e">
        <f>AND(ConsolidatedEventList!#REF!,"AAAAAHW/Olo=")</f>
        <v>#REF!</v>
      </c>
      <c r="CN60" t="e">
        <f>AND(ConsolidatedEventList!#REF!,"AAAAAHW/Ols=")</f>
        <v>#REF!</v>
      </c>
      <c r="CO60" t="e">
        <f>AND(ConsolidatedEventList!#REF!,"AAAAAHW/Olw=")</f>
        <v>#REF!</v>
      </c>
      <c r="CP60" t="e">
        <f>AND(ConsolidatedEventList!#REF!,"AAAAAHW/Ol0=")</f>
        <v>#REF!</v>
      </c>
      <c r="CQ60" t="e">
        <f>AND(ConsolidatedEventList!#REF!,"AAAAAHW/Ol4=")</f>
        <v>#REF!</v>
      </c>
      <c r="CR60" t="e">
        <f>AND(ConsolidatedEventList!#REF!,"AAAAAHW/Ol8=")</f>
        <v>#REF!</v>
      </c>
      <c r="CS60" t="e">
        <f>AND(ConsolidatedEventList!#REF!,"AAAAAHW/OmA=")</f>
        <v>#REF!</v>
      </c>
      <c r="CT60" t="e">
        <f>AND(ConsolidatedEventList!#REF!,"AAAAAHW/OmE=")</f>
        <v>#REF!</v>
      </c>
      <c r="CU60" t="e">
        <f>IF(ConsolidatedEventList!#REF!,"AAAAAHW/OmI=",0)</f>
        <v>#REF!</v>
      </c>
      <c r="CV60" t="e">
        <f>AND(ConsolidatedEventList!#REF!,"AAAAAHW/OmM=")</f>
        <v>#REF!</v>
      </c>
      <c r="CW60" t="e">
        <f>AND(ConsolidatedEventList!#REF!,"AAAAAHW/OmQ=")</f>
        <v>#REF!</v>
      </c>
      <c r="CX60" t="e">
        <f>AND(ConsolidatedEventList!#REF!,"AAAAAHW/OmU=")</f>
        <v>#REF!</v>
      </c>
      <c r="CY60" t="e">
        <f>AND(ConsolidatedEventList!#REF!,"AAAAAHW/OmY=")</f>
        <v>#REF!</v>
      </c>
      <c r="CZ60" t="e">
        <f>AND(ConsolidatedEventList!#REF!,"AAAAAHW/Omc=")</f>
        <v>#REF!</v>
      </c>
      <c r="DA60" t="e">
        <f>AND(ConsolidatedEventList!#REF!,"AAAAAHW/Omg=")</f>
        <v>#REF!</v>
      </c>
      <c r="DB60" t="e">
        <f>AND(ConsolidatedEventList!#REF!,"AAAAAHW/Omk=")</f>
        <v>#REF!</v>
      </c>
      <c r="DC60" t="e">
        <f>AND(ConsolidatedEventList!#REF!,"AAAAAHW/Omo=")</f>
        <v>#REF!</v>
      </c>
      <c r="DD60" t="e">
        <f>IF(ConsolidatedEventList!#REF!,"AAAAAHW/Oms=",0)</f>
        <v>#REF!</v>
      </c>
      <c r="DE60" t="e">
        <f>AND(ConsolidatedEventList!#REF!,"AAAAAHW/Omw=")</f>
        <v>#REF!</v>
      </c>
      <c r="DF60" t="e">
        <f>AND(ConsolidatedEventList!#REF!,"AAAAAHW/Om0=")</f>
        <v>#REF!</v>
      </c>
      <c r="DG60" t="e">
        <f>AND(ConsolidatedEventList!#REF!,"AAAAAHW/Om4=")</f>
        <v>#REF!</v>
      </c>
      <c r="DH60" t="e">
        <f>AND(ConsolidatedEventList!#REF!,"AAAAAHW/Om8=")</f>
        <v>#REF!</v>
      </c>
      <c r="DI60" t="e">
        <f>AND(ConsolidatedEventList!#REF!,"AAAAAHW/OnA=")</f>
        <v>#REF!</v>
      </c>
      <c r="DJ60" t="e">
        <f>AND(ConsolidatedEventList!#REF!,"AAAAAHW/OnE=")</f>
        <v>#REF!</v>
      </c>
      <c r="DK60" t="e">
        <f>AND(ConsolidatedEventList!#REF!,"AAAAAHW/OnI=")</f>
        <v>#REF!</v>
      </c>
      <c r="DL60" t="e">
        <f>AND(ConsolidatedEventList!#REF!,"AAAAAHW/OnM=")</f>
        <v>#REF!</v>
      </c>
      <c r="DM60" t="e">
        <f>IF(ConsolidatedEventList!#REF!,"AAAAAHW/OnQ=",0)</f>
        <v>#REF!</v>
      </c>
      <c r="DN60" t="e">
        <f>AND(ConsolidatedEventList!#REF!,"AAAAAHW/OnU=")</f>
        <v>#REF!</v>
      </c>
      <c r="DO60" t="e">
        <f>AND(ConsolidatedEventList!#REF!,"AAAAAHW/OnY=")</f>
        <v>#REF!</v>
      </c>
      <c r="DP60" t="e">
        <f>AND(ConsolidatedEventList!#REF!,"AAAAAHW/Onc=")</f>
        <v>#REF!</v>
      </c>
      <c r="DQ60" t="e">
        <f>AND(ConsolidatedEventList!#REF!,"AAAAAHW/Ong=")</f>
        <v>#REF!</v>
      </c>
      <c r="DR60" t="e">
        <f>AND(ConsolidatedEventList!#REF!,"AAAAAHW/Onk=")</f>
        <v>#REF!</v>
      </c>
      <c r="DS60" t="e">
        <f>AND(ConsolidatedEventList!#REF!,"AAAAAHW/Ono=")</f>
        <v>#REF!</v>
      </c>
      <c r="DT60" t="e">
        <f>AND(ConsolidatedEventList!#REF!,"AAAAAHW/Ons=")</f>
        <v>#REF!</v>
      </c>
      <c r="DU60" t="e">
        <f>AND(ConsolidatedEventList!#REF!,"AAAAAHW/Onw=")</f>
        <v>#REF!</v>
      </c>
      <c r="DV60" t="e">
        <f>IF(ConsolidatedEventList!#REF!,"AAAAAHW/On0=",0)</f>
        <v>#REF!</v>
      </c>
      <c r="DW60" t="e">
        <f>AND(ConsolidatedEventList!#REF!,"AAAAAHW/On4=")</f>
        <v>#REF!</v>
      </c>
      <c r="DX60" t="e">
        <f>AND(ConsolidatedEventList!#REF!,"AAAAAHW/On8=")</f>
        <v>#REF!</v>
      </c>
      <c r="DY60" t="e">
        <f>AND(ConsolidatedEventList!#REF!,"AAAAAHW/OoA=")</f>
        <v>#REF!</v>
      </c>
      <c r="DZ60" t="e">
        <f>AND(ConsolidatedEventList!#REF!,"AAAAAHW/OoE=")</f>
        <v>#REF!</v>
      </c>
      <c r="EA60" t="e">
        <f>AND(ConsolidatedEventList!#REF!,"AAAAAHW/OoI=")</f>
        <v>#REF!</v>
      </c>
      <c r="EB60" t="e">
        <f>AND(ConsolidatedEventList!#REF!,"AAAAAHW/OoM=")</f>
        <v>#REF!</v>
      </c>
      <c r="EC60" t="e">
        <f>AND(ConsolidatedEventList!#REF!,"AAAAAHW/OoQ=")</f>
        <v>#REF!</v>
      </c>
      <c r="ED60" t="e">
        <f>AND(ConsolidatedEventList!#REF!,"AAAAAHW/OoU=")</f>
        <v>#REF!</v>
      </c>
      <c r="EE60" t="e">
        <f>IF(ConsolidatedEventList!#REF!,"AAAAAHW/OoY=",0)</f>
        <v>#REF!</v>
      </c>
      <c r="EF60" t="e">
        <f>AND(ConsolidatedEventList!#REF!,"AAAAAHW/Ooc=")</f>
        <v>#REF!</v>
      </c>
      <c r="EG60" t="e">
        <f>AND(ConsolidatedEventList!#REF!,"AAAAAHW/Oog=")</f>
        <v>#REF!</v>
      </c>
      <c r="EH60" t="e">
        <f>AND(ConsolidatedEventList!#REF!,"AAAAAHW/Ook=")</f>
        <v>#REF!</v>
      </c>
      <c r="EI60" t="e">
        <f>AND(ConsolidatedEventList!#REF!,"AAAAAHW/Ooo=")</f>
        <v>#REF!</v>
      </c>
      <c r="EJ60" t="e">
        <f>AND(ConsolidatedEventList!#REF!,"AAAAAHW/Oos=")</f>
        <v>#REF!</v>
      </c>
      <c r="EK60" t="e">
        <f>AND(ConsolidatedEventList!#REF!,"AAAAAHW/Oow=")</f>
        <v>#REF!</v>
      </c>
      <c r="EL60" t="e">
        <f>AND(ConsolidatedEventList!#REF!,"AAAAAHW/Oo0=")</f>
        <v>#REF!</v>
      </c>
      <c r="EM60" t="e">
        <f>AND(ConsolidatedEventList!#REF!,"AAAAAHW/Oo4=")</f>
        <v>#REF!</v>
      </c>
      <c r="EN60" t="e">
        <f>IF(ConsolidatedEventList!#REF!,"AAAAAHW/Oo8=",0)</f>
        <v>#REF!</v>
      </c>
      <c r="EO60" t="e">
        <f>AND(ConsolidatedEventList!#REF!,"AAAAAHW/OpA=")</f>
        <v>#REF!</v>
      </c>
      <c r="EP60" t="e">
        <f>AND(ConsolidatedEventList!#REF!,"AAAAAHW/OpE=")</f>
        <v>#REF!</v>
      </c>
      <c r="EQ60" t="e">
        <f>AND(ConsolidatedEventList!#REF!,"AAAAAHW/OpI=")</f>
        <v>#REF!</v>
      </c>
      <c r="ER60" t="e">
        <f>AND(ConsolidatedEventList!#REF!,"AAAAAHW/OpM=")</f>
        <v>#REF!</v>
      </c>
      <c r="ES60" t="e">
        <f>AND(ConsolidatedEventList!#REF!,"AAAAAHW/OpQ=")</f>
        <v>#REF!</v>
      </c>
      <c r="ET60" t="e">
        <f>AND(ConsolidatedEventList!#REF!,"AAAAAHW/OpU=")</f>
        <v>#REF!</v>
      </c>
      <c r="EU60" t="e">
        <f>AND(ConsolidatedEventList!#REF!,"AAAAAHW/OpY=")</f>
        <v>#REF!</v>
      </c>
      <c r="EV60" t="e">
        <f>AND(ConsolidatedEventList!#REF!,"AAAAAHW/Opc=")</f>
        <v>#REF!</v>
      </c>
      <c r="EW60" t="e">
        <f>IF(ConsolidatedEventList!#REF!,"AAAAAHW/Opg=",0)</f>
        <v>#REF!</v>
      </c>
      <c r="EX60" t="e">
        <f>AND(ConsolidatedEventList!#REF!,"AAAAAHW/Opk=")</f>
        <v>#REF!</v>
      </c>
      <c r="EY60" t="e">
        <f>AND(ConsolidatedEventList!#REF!,"AAAAAHW/Opo=")</f>
        <v>#REF!</v>
      </c>
      <c r="EZ60" t="e">
        <f>AND(ConsolidatedEventList!#REF!,"AAAAAHW/Ops=")</f>
        <v>#REF!</v>
      </c>
      <c r="FA60" t="e">
        <f>AND(ConsolidatedEventList!#REF!,"AAAAAHW/Opw=")</f>
        <v>#REF!</v>
      </c>
      <c r="FB60" t="e">
        <f>AND(ConsolidatedEventList!#REF!,"AAAAAHW/Op0=")</f>
        <v>#REF!</v>
      </c>
      <c r="FC60" t="e">
        <f>AND(ConsolidatedEventList!#REF!,"AAAAAHW/Op4=")</f>
        <v>#REF!</v>
      </c>
      <c r="FD60" t="e">
        <f>AND(ConsolidatedEventList!#REF!,"AAAAAHW/Op8=")</f>
        <v>#REF!</v>
      </c>
      <c r="FE60" t="e">
        <f>AND(ConsolidatedEventList!#REF!,"AAAAAHW/OqA=")</f>
        <v>#REF!</v>
      </c>
      <c r="FF60" t="e">
        <f>IF(ConsolidatedEventList!#REF!,"AAAAAHW/OqE=",0)</f>
        <v>#REF!</v>
      </c>
      <c r="FG60" t="e">
        <f>AND(ConsolidatedEventList!#REF!,"AAAAAHW/OqI=")</f>
        <v>#REF!</v>
      </c>
      <c r="FH60" t="e">
        <f>AND(ConsolidatedEventList!#REF!,"AAAAAHW/OqM=")</f>
        <v>#REF!</v>
      </c>
      <c r="FI60" t="e">
        <f>AND(ConsolidatedEventList!#REF!,"AAAAAHW/OqQ=")</f>
        <v>#REF!</v>
      </c>
      <c r="FJ60" t="e">
        <f>AND(ConsolidatedEventList!#REF!,"AAAAAHW/OqU=")</f>
        <v>#REF!</v>
      </c>
      <c r="FK60" t="e">
        <f>AND(ConsolidatedEventList!#REF!,"AAAAAHW/OqY=")</f>
        <v>#REF!</v>
      </c>
      <c r="FL60" t="e">
        <f>AND(ConsolidatedEventList!#REF!,"AAAAAHW/Oqc=")</f>
        <v>#REF!</v>
      </c>
      <c r="FM60" t="e">
        <f>AND(ConsolidatedEventList!#REF!,"AAAAAHW/Oqg=")</f>
        <v>#REF!</v>
      </c>
      <c r="FN60" t="e">
        <f>AND(ConsolidatedEventList!#REF!,"AAAAAHW/Oqk=")</f>
        <v>#REF!</v>
      </c>
      <c r="FO60" t="e">
        <f>IF(ConsolidatedEventList!#REF!,"AAAAAHW/Oqo=",0)</f>
        <v>#REF!</v>
      </c>
      <c r="FP60" t="e">
        <f>AND(ConsolidatedEventList!#REF!,"AAAAAHW/Oqs=")</f>
        <v>#REF!</v>
      </c>
      <c r="FQ60" t="e">
        <f>AND(ConsolidatedEventList!#REF!,"AAAAAHW/Oqw=")</f>
        <v>#REF!</v>
      </c>
      <c r="FR60" t="e">
        <f>AND(ConsolidatedEventList!#REF!,"AAAAAHW/Oq0=")</f>
        <v>#REF!</v>
      </c>
      <c r="FS60" t="e">
        <f>AND(ConsolidatedEventList!#REF!,"AAAAAHW/Oq4=")</f>
        <v>#REF!</v>
      </c>
      <c r="FT60" t="e">
        <f>AND(ConsolidatedEventList!#REF!,"AAAAAHW/Oq8=")</f>
        <v>#REF!</v>
      </c>
      <c r="FU60" t="e">
        <f>AND(ConsolidatedEventList!#REF!,"AAAAAHW/OrA=")</f>
        <v>#REF!</v>
      </c>
      <c r="FV60" t="e">
        <f>AND(ConsolidatedEventList!#REF!,"AAAAAHW/OrE=")</f>
        <v>#REF!</v>
      </c>
      <c r="FW60" t="e">
        <f>AND(ConsolidatedEventList!#REF!,"AAAAAHW/OrI=")</f>
        <v>#REF!</v>
      </c>
      <c r="FX60" t="e">
        <f>IF(ConsolidatedEventList!#REF!,"AAAAAHW/OrM=",0)</f>
        <v>#REF!</v>
      </c>
      <c r="FY60" t="e">
        <f>AND(ConsolidatedEventList!#REF!,"AAAAAHW/OrQ=")</f>
        <v>#REF!</v>
      </c>
      <c r="FZ60" t="e">
        <f>AND(ConsolidatedEventList!#REF!,"AAAAAHW/OrU=")</f>
        <v>#REF!</v>
      </c>
      <c r="GA60" t="e">
        <f>AND(ConsolidatedEventList!#REF!,"AAAAAHW/OrY=")</f>
        <v>#REF!</v>
      </c>
      <c r="GB60" t="e">
        <f>AND(ConsolidatedEventList!#REF!,"AAAAAHW/Orc=")</f>
        <v>#REF!</v>
      </c>
      <c r="GC60" t="e">
        <f>AND(ConsolidatedEventList!#REF!,"AAAAAHW/Org=")</f>
        <v>#REF!</v>
      </c>
      <c r="GD60" t="e">
        <f>AND(ConsolidatedEventList!#REF!,"AAAAAHW/Ork=")</f>
        <v>#REF!</v>
      </c>
      <c r="GE60" t="e">
        <f>AND(ConsolidatedEventList!#REF!,"AAAAAHW/Oro=")</f>
        <v>#REF!</v>
      </c>
      <c r="GF60" t="e">
        <f>AND(ConsolidatedEventList!#REF!,"AAAAAHW/Ors=")</f>
        <v>#REF!</v>
      </c>
      <c r="GG60" t="e">
        <f>IF(ConsolidatedEventList!#REF!,"AAAAAHW/Orw=",0)</f>
        <v>#REF!</v>
      </c>
      <c r="GH60" t="e">
        <f>AND(ConsolidatedEventList!#REF!,"AAAAAHW/Or0=")</f>
        <v>#REF!</v>
      </c>
      <c r="GI60" t="e">
        <f>AND(ConsolidatedEventList!#REF!,"AAAAAHW/Or4=")</f>
        <v>#REF!</v>
      </c>
      <c r="GJ60" t="e">
        <f>AND(ConsolidatedEventList!#REF!,"AAAAAHW/Or8=")</f>
        <v>#REF!</v>
      </c>
      <c r="GK60" t="e">
        <f>AND(ConsolidatedEventList!#REF!,"AAAAAHW/OsA=")</f>
        <v>#REF!</v>
      </c>
      <c r="GL60" t="e">
        <f>AND(ConsolidatedEventList!#REF!,"AAAAAHW/OsE=")</f>
        <v>#REF!</v>
      </c>
      <c r="GM60" t="e">
        <f>AND(ConsolidatedEventList!#REF!,"AAAAAHW/OsI=")</f>
        <v>#REF!</v>
      </c>
      <c r="GN60" t="e">
        <f>AND(ConsolidatedEventList!#REF!,"AAAAAHW/OsM=")</f>
        <v>#REF!</v>
      </c>
      <c r="GO60" t="e">
        <f>AND(ConsolidatedEventList!#REF!,"AAAAAHW/OsQ=")</f>
        <v>#REF!</v>
      </c>
      <c r="GP60" t="e">
        <f>IF(ConsolidatedEventList!#REF!,"AAAAAHW/OsU=",0)</f>
        <v>#REF!</v>
      </c>
      <c r="GQ60" t="e">
        <f>AND(ConsolidatedEventList!#REF!,"AAAAAHW/OsY=")</f>
        <v>#REF!</v>
      </c>
      <c r="GR60" t="e">
        <f>AND(ConsolidatedEventList!#REF!,"AAAAAHW/Osc=")</f>
        <v>#REF!</v>
      </c>
      <c r="GS60" t="e">
        <f>AND(ConsolidatedEventList!#REF!,"AAAAAHW/Osg=")</f>
        <v>#REF!</v>
      </c>
      <c r="GT60" t="e">
        <f>AND(ConsolidatedEventList!#REF!,"AAAAAHW/Osk=")</f>
        <v>#REF!</v>
      </c>
      <c r="GU60" t="e">
        <f>AND(ConsolidatedEventList!#REF!,"AAAAAHW/Oso=")</f>
        <v>#REF!</v>
      </c>
      <c r="GV60" t="e">
        <f>AND(ConsolidatedEventList!#REF!,"AAAAAHW/Oss=")</f>
        <v>#REF!</v>
      </c>
      <c r="GW60" t="e">
        <f>AND(ConsolidatedEventList!#REF!,"AAAAAHW/Osw=")</f>
        <v>#REF!</v>
      </c>
      <c r="GX60" t="e">
        <f>AND(ConsolidatedEventList!#REF!,"AAAAAHW/Os0=")</f>
        <v>#REF!</v>
      </c>
      <c r="GY60" t="e">
        <f>IF(ConsolidatedEventList!#REF!,"AAAAAHW/Os4=",0)</f>
        <v>#REF!</v>
      </c>
      <c r="GZ60" t="e">
        <f>AND(ConsolidatedEventList!#REF!,"AAAAAHW/Os8=")</f>
        <v>#REF!</v>
      </c>
      <c r="HA60" t="e">
        <f>AND(ConsolidatedEventList!#REF!,"AAAAAHW/OtA=")</f>
        <v>#REF!</v>
      </c>
      <c r="HB60" t="e">
        <f>AND(ConsolidatedEventList!#REF!,"AAAAAHW/OtE=")</f>
        <v>#REF!</v>
      </c>
      <c r="HC60" t="e">
        <f>AND(ConsolidatedEventList!#REF!,"AAAAAHW/OtI=")</f>
        <v>#REF!</v>
      </c>
      <c r="HD60" t="e">
        <f>AND(ConsolidatedEventList!#REF!,"AAAAAHW/OtM=")</f>
        <v>#REF!</v>
      </c>
      <c r="HE60" t="e">
        <f>AND(ConsolidatedEventList!#REF!,"AAAAAHW/OtQ=")</f>
        <v>#REF!</v>
      </c>
      <c r="HF60" t="e">
        <f>AND(ConsolidatedEventList!#REF!,"AAAAAHW/OtU=")</f>
        <v>#REF!</v>
      </c>
      <c r="HG60" t="e">
        <f>AND(ConsolidatedEventList!#REF!,"AAAAAHW/OtY=")</f>
        <v>#REF!</v>
      </c>
      <c r="HH60" t="e">
        <f>IF(ConsolidatedEventList!#REF!,"AAAAAHW/Otc=",0)</f>
        <v>#REF!</v>
      </c>
      <c r="HI60" t="e">
        <f>AND(ConsolidatedEventList!#REF!,"AAAAAHW/Otg=")</f>
        <v>#REF!</v>
      </c>
      <c r="HJ60" t="e">
        <f>AND(ConsolidatedEventList!#REF!,"AAAAAHW/Otk=")</f>
        <v>#REF!</v>
      </c>
      <c r="HK60" t="e">
        <f>AND(ConsolidatedEventList!#REF!,"AAAAAHW/Oto=")</f>
        <v>#REF!</v>
      </c>
      <c r="HL60" t="e">
        <f>AND(ConsolidatedEventList!#REF!,"AAAAAHW/Ots=")</f>
        <v>#REF!</v>
      </c>
      <c r="HM60" t="e">
        <f>AND(ConsolidatedEventList!#REF!,"AAAAAHW/Otw=")</f>
        <v>#REF!</v>
      </c>
      <c r="HN60" t="e">
        <f>AND(ConsolidatedEventList!#REF!,"AAAAAHW/Ot0=")</f>
        <v>#REF!</v>
      </c>
      <c r="HO60" t="e">
        <f>AND(ConsolidatedEventList!#REF!,"AAAAAHW/Ot4=")</f>
        <v>#REF!</v>
      </c>
      <c r="HP60" t="e">
        <f>AND(ConsolidatedEventList!#REF!,"AAAAAHW/Ot8=")</f>
        <v>#REF!</v>
      </c>
      <c r="HQ60" t="e">
        <f>IF(ConsolidatedEventList!#REF!,"AAAAAHW/OuA=",0)</f>
        <v>#REF!</v>
      </c>
      <c r="HR60" t="e">
        <f>AND(ConsolidatedEventList!#REF!,"AAAAAHW/OuE=")</f>
        <v>#REF!</v>
      </c>
      <c r="HS60" t="e">
        <f>AND(ConsolidatedEventList!#REF!,"AAAAAHW/OuI=")</f>
        <v>#REF!</v>
      </c>
      <c r="HT60" t="e">
        <f>AND(ConsolidatedEventList!#REF!,"AAAAAHW/OuM=")</f>
        <v>#REF!</v>
      </c>
      <c r="HU60" t="e">
        <f>AND(ConsolidatedEventList!#REF!,"AAAAAHW/OuQ=")</f>
        <v>#REF!</v>
      </c>
      <c r="HV60" t="e">
        <f>AND(ConsolidatedEventList!#REF!,"AAAAAHW/OuU=")</f>
        <v>#REF!</v>
      </c>
      <c r="HW60" t="e">
        <f>AND(ConsolidatedEventList!#REF!,"AAAAAHW/OuY=")</f>
        <v>#REF!</v>
      </c>
      <c r="HX60" t="e">
        <f>AND(ConsolidatedEventList!#REF!,"AAAAAHW/Ouc=")</f>
        <v>#REF!</v>
      </c>
      <c r="HY60" t="e">
        <f>AND(ConsolidatedEventList!#REF!,"AAAAAHW/Oug=")</f>
        <v>#REF!</v>
      </c>
      <c r="HZ60" t="e">
        <f>IF(ConsolidatedEventList!#REF!,"AAAAAHW/Ouk=",0)</f>
        <v>#REF!</v>
      </c>
      <c r="IA60" t="e">
        <f>AND(ConsolidatedEventList!#REF!,"AAAAAHW/Ouo=")</f>
        <v>#REF!</v>
      </c>
      <c r="IB60" t="e">
        <f>AND(ConsolidatedEventList!#REF!,"AAAAAHW/Ous=")</f>
        <v>#REF!</v>
      </c>
      <c r="IC60" t="e">
        <f>AND(ConsolidatedEventList!#REF!,"AAAAAHW/Ouw=")</f>
        <v>#REF!</v>
      </c>
      <c r="ID60" t="e">
        <f>AND(ConsolidatedEventList!#REF!,"AAAAAHW/Ou0=")</f>
        <v>#REF!</v>
      </c>
      <c r="IE60" t="e">
        <f>AND(ConsolidatedEventList!#REF!,"AAAAAHW/Ou4=")</f>
        <v>#REF!</v>
      </c>
      <c r="IF60" t="e">
        <f>AND(ConsolidatedEventList!#REF!,"AAAAAHW/Ou8=")</f>
        <v>#REF!</v>
      </c>
      <c r="IG60" t="e">
        <f>AND(ConsolidatedEventList!#REF!,"AAAAAHW/OvA=")</f>
        <v>#REF!</v>
      </c>
      <c r="IH60" t="e">
        <f>AND(ConsolidatedEventList!#REF!,"AAAAAHW/OvE=")</f>
        <v>#REF!</v>
      </c>
      <c r="II60" t="e">
        <f>IF(ConsolidatedEventList!#REF!,"AAAAAHW/OvI=",0)</f>
        <v>#REF!</v>
      </c>
      <c r="IJ60" t="e">
        <f>AND(ConsolidatedEventList!#REF!,"AAAAAHW/OvM=")</f>
        <v>#REF!</v>
      </c>
      <c r="IK60" t="e">
        <f>AND(ConsolidatedEventList!#REF!,"AAAAAHW/OvQ=")</f>
        <v>#REF!</v>
      </c>
      <c r="IL60" t="e">
        <f>AND(ConsolidatedEventList!#REF!,"AAAAAHW/OvU=")</f>
        <v>#REF!</v>
      </c>
      <c r="IM60" t="e">
        <f>AND(ConsolidatedEventList!#REF!,"AAAAAHW/OvY=")</f>
        <v>#REF!</v>
      </c>
      <c r="IN60" t="e">
        <f>AND(ConsolidatedEventList!#REF!,"AAAAAHW/Ovc=")</f>
        <v>#REF!</v>
      </c>
      <c r="IO60" t="e">
        <f>AND(ConsolidatedEventList!#REF!,"AAAAAHW/Ovg=")</f>
        <v>#REF!</v>
      </c>
      <c r="IP60" t="e">
        <f>AND(ConsolidatedEventList!#REF!,"AAAAAHW/Ovk=")</f>
        <v>#REF!</v>
      </c>
      <c r="IQ60" t="e">
        <f>AND(ConsolidatedEventList!#REF!,"AAAAAHW/Ovo=")</f>
        <v>#REF!</v>
      </c>
      <c r="IR60" t="e">
        <f>IF(ConsolidatedEventList!#REF!,"AAAAAHW/Ovs=",0)</f>
        <v>#REF!</v>
      </c>
      <c r="IS60" t="e">
        <f>AND(ConsolidatedEventList!#REF!,"AAAAAHW/Ovw=")</f>
        <v>#REF!</v>
      </c>
      <c r="IT60" t="e">
        <f>AND(ConsolidatedEventList!#REF!,"AAAAAHW/Ov0=")</f>
        <v>#REF!</v>
      </c>
      <c r="IU60" t="e">
        <f>AND(ConsolidatedEventList!#REF!,"AAAAAHW/Ov4=")</f>
        <v>#REF!</v>
      </c>
      <c r="IV60" t="e">
        <f>AND(ConsolidatedEventList!#REF!,"AAAAAHW/Ov8=")</f>
        <v>#REF!</v>
      </c>
    </row>
    <row r="61" spans="1:256" x14ac:dyDescent="0.25">
      <c r="A61" t="e">
        <f>AND(ConsolidatedEventList!#REF!,"AAAAAGj8/AA=")</f>
        <v>#REF!</v>
      </c>
      <c r="B61" t="e">
        <f>AND(ConsolidatedEventList!#REF!,"AAAAAGj8/AE=")</f>
        <v>#REF!</v>
      </c>
      <c r="C61" t="e">
        <f>AND(ConsolidatedEventList!#REF!,"AAAAAGj8/AI=")</f>
        <v>#REF!</v>
      </c>
      <c r="D61" t="e">
        <f>AND(ConsolidatedEventList!#REF!,"AAAAAGj8/AM=")</f>
        <v>#REF!</v>
      </c>
      <c r="E61" t="e">
        <f>IF(ConsolidatedEventList!#REF!,"AAAAAGj8/AQ=",0)</f>
        <v>#REF!</v>
      </c>
      <c r="F61" t="e">
        <f>AND(ConsolidatedEventList!#REF!,"AAAAAGj8/AU=")</f>
        <v>#REF!</v>
      </c>
      <c r="G61" t="e">
        <f>AND(ConsolidatedEventList!#REF!,"AAAAAGj8/AY=")</f>
        <v>#REF!</v>
      </c>
      <c r="H61" t="e">
        <f>AND(ConsolidatedEventList!#REF!,"AAAAAGj8/Ac=")</f>
        <v>#REF!</v>
      </c>
      <c r="I61" t="e">
        <f>AND(ConsolidatedEventList!#REF!,"AAAAAGj8/Ag=")</f>
        <v>#REF!</v>
      </c>
      <c r="J61" t="e">
        <f>AND(ConsolidatedEventList!#REF!,"AAAAAGj8/Ak=")</f>
        <v>#REF!</v>
      </c>
      <c r="K61" t="e">
        <f>AND(ConsolidatedEventList!#REF!,"AAAAAGj8/Ao=")</f>
        <v>#REF!</v>
      </c>
      <c r="L61" t="e">
        <f>AND(ConsolidatedEventList!#REF!,"AAAAAGj8/As=")</f>
        <v>#REF!</v>
      </c>
      <c r="M61" t="e">
        <f>AND(ConsolidatedEventList!#REF!,"AAAAAGj8/Aw=")</f>
        <v>#REF!</v>
      </c>
      <c r="N61" t="e">
        <f>IF(ConsolidatedEventList!#REF!,"AAAAAGj8/A0=",0)</f>
        <v>#REF!</v>
      </c>
      <c r="O61" t="e">
        <f>AND(ConsolidatedEventList!#REF!,"AAAAAGj8/A4=")</f>
        <v>#REF!</v>
      </c>
      <c r="P61" t="e">
        <f>AND(ConsolidatedEventList!#REF!,"AAAAAGj8/A8=")</f>
        <v>#REF!</v>
      </c>
      <c r="Q61" t="e">
        <f>AND(ConsolidatedEventList!#REF!,"AAAAAGj8/BA=")</f>
        <v>#REF!</v>
      </c>
      <c r="R61" t="e">
        <f>AND(ConsolidatedEventList!#REF!,"AAAAAGj8/BE=")</f>
        <v>#REF!</v>
      </c>
      <c r="S61" t="e">
        <f>AND(ConsolidatedEventList!#REF!,"AAAAAGj8/BI=")</f>
        <v>#REF!</v>
      </c>
      <c r="T61" t="e">
        <f>AND(ConsolidatedEventList!#REF!,"AAAAAGj8/BM=")</f>
        <v>#REF!</v>
      </c>
      <c r="U61" t="e">
        <f>AND(ConsolidatedEventList!#REF!,"AAAAAGj8/BQ=")</f>
        <v>#REF!</v>
      </c>
      <c r="V61" t="e">
        <f>AND(ConsolidatedEventList!#REF!,"AAAAAGj8/BU=")</f>
        <v>#REF!</v>
      </c>
      <c r="W61" t="e">
        <f>IF(ConsolidatedEventList!#REF!,"AAAAAGj8/BY=",0)</f>
        <v>#REF!</v>
      </c>
      <c r="X61" t="e">
        <f>AND(ConsolidatedEventList!#REF!,"AAAAAGj8/Bc=")</f>
        <v>#REF!</v>
      </c>
      <c r="Y61" t="e">
        <f>AND(ConsolidatedEventList!#REF!,"AAAAAGj8/Bg=")</f>
        <v>#REF!</v>
      </c>
      <c r="Z61" t="e">
        <f>AND(ConsolidatedEventList!#REF!,"AAAAAGj8/Bk=")</f>
        <v>#REF!</v>
      </c>
      <c r="AA61" t="e">
        <f>AND(ConsolidatedEventList!#REF!,"AAAAAGj8/Bo=")</f>
        <v>#REF!</v>
      </c>
      <c r="AB61" t="e">
        <f>AND(ConsolidatedEventList!#REF!,"AAAAAGj8/Bs=")</f>
        <v>#REF!</v>
      </c>
      <c r="AC61" t="e">
        <f>AND(ConsolidatedEventList!#REF!,"AAAAAGj8/Bw=")</f>
        <v>#REF!</v>
      </c>
      <c r="AD61" t="e">
        <f>AND(ConsolidatedEventList!#REF!,"AAAAAGj8/B0=")</f>
        <v>#REF!</v>
      </c>
      <c r="AE61" t="e">
        <f>AND(ConsolidatedEventList!#REF!,"AAAAAGj8/B4=")</f>
        <v>#REF!</v>
      </c>
      <c r="AF61" t="e">
        <f>IF(ConsolidatedEventList!#REF!,"AAAAAGj8/B8=",0)</f>
        <v>#REF!</v>
      </c>
      <c r="AG61" t="e">
        <f>AND(ConsolidatedEventList!#REF!,"AAAAAGj8/CA=")</f>
        <v>#REF!</v>
      </c>
      <c r="AH61" t="e">
        <f>AND(ConsolidatedEventList!#REF!,"AAAAAGj8/CE=")</f>
        <v>#REF!</v>
      </c>
      <c r="AI61" t="e">
        <f>AND(ConsolidatedEventList!#REF!,"AAAAAGj8/CI=")</f>
        <v>#REF!</v>
      </c>
      <c r="AJ61" t="e">
        <f>AND(ConsolidatedEventList!#REF!,"AAAAAGj8/CM=")</f>
        <v>#REF!</v>
      </c>
      <c r="AK61" t="e">
        <f>AND(ConsolidatedEventList!#REF!,"AAAAAGj8/CQ=")</f>
        <v>#REF!</v>
      </c>
      <c r="AL61" t="e">
        <f>AND(ConsolidatedEventList!#REF!,"AAAAAGj8/CU=")</f>
        <v>#REF!</v>
      </c>
      <c r="AM61" t="e">
        <f>AND(ConsolidatedEventList!#REF!,"AAAAAGj8/CY=")</f>
        <v>#REF!</v>
      </c>
      <c r="AN61" t="e">
        <f>AND(ConsolidatedEventList!#REF!,"AAAAAGj8/Cc=")</f>
        <v>#REF!</v>
      </c>
      <c r="AO61" t="e">
        <f>IF(ConsolidatedEventList!#REF!,"AAAAAGj8/Cg=",0)</f>
        <v>#REF!</v>
      </c>
      <c r="AP61" t="e">
        <f>AND(ConsolidatedEventList!#REF!,"AAAAAGj8/Ck=")</f>
        <v>#REF!</v>
      </c>
      <c r="AQ61" t="e">
        <f>AND(ConsolidatedEventList!#REF!,"AAAAAGj8/Co=")</f>
        <v>#REF!</v>
      </c>
      <c r="AR61" t="e">
        <f>AND(ConsolidatedEventList!#REF!,"AAAAAGj8/Cs=")</f>
        <v>#REF!</v>
      </c>
      <c r="AS61" t="e">
        <f>AND(ConsolidatedEventList!#REF!,"AAAAAGj8/Cw=")</f>
        <v>#REF!</v>
      </c>
      <c r="AT61" t="e">
        <f>AND(ConsolidatedEventList!#REF!,"AAAAAGj8/C0=")</f>
        <v>#REF!</v>
      </c>
      <c r="AU61" t="e">
        <f>AND(ConsolidatedEventList!#REF!,"AAAAAGj8/C4=")</f>
        <v>#REF!</v>
      </c>
      <c r="AV61" t="e">
        <f>AND(ConsolidatedEventList!#REF!,"AAAAAGj8/C8=")</f>
        <v>#REF!</v>
      </c>
      <c r="AW61" t="e">
        <f>AND(ConsolidatedEventList!#REF!,"AAAAAGj8/DA=")</f>
        <v>#REF!</v>
      </c>
      <c r="AX61" t="e">
        <f>IF(ConsolidatedEventList!#REF!,"AAAAAGj8/DE=",0)</f>
        <v>#REF!</v>
      </c>
      <c r="AY61" t="e">
        <f>AND(ConsolidatedEventList!#REF!,"AAAAAGj8/DI=")</f>
        <v>#REF!</v>
      </c>
      <c r="AZ61" t="e">
        <f>AND(ConsolidatedEventList!#REF!,"AAAAAGj8/DM=")</f>
        <v>#REF!</v>
      </c>
      <c r="BA61" t="e">
        <f>AND(ConsolidatedEventList!#REF!,"AAAAAGj8/DQ=")</f>
        <v>#REF!</v>
      </c>
      <c r="BB61" t="e">
        <f>AND(ConsolidatedEventList!#REF!,"AAAAAGj8/DU=")</f>
        <v>#REF!</v>
      </c>
      <c r="BC61" t="e">
        <f>AND(ConsolidatedEventList!#REF!,"AAAAAGj8/DY=")</f>
        <v>#REF!</v>
      </c>
      <c r="BD61" t="e">
        <f>AND(ConsolidatedEventList!#REF!,"AAAAAGj8/Dc=")</f>
        <v>#REF!</v>
      </c>
      <c r="BE61" t="e">
        <f>AND(ConsolidatedEventList!#REF!,"AAAAAGj8/Dg=")</f>
        <v>#REF!</v>
      </c>
      <c r="BF61" t="e">
        <f>AND(ConsolidatedEventList!#REF!,"AAAAAGj8/Dk=")</f>
        <v>#REF!</v>
      </c>
      <c r="BG61" t="e">
        <f>IF(ConsolidatedEventList!#REF!,"AAAAAGj8/Do=",0)</f>
        <v>#REF!</v>
      </c>
      <c r="BH61" t="e">
        <f>AND(ConsolidatedEventList!#REF!,"AAAAAGj8/Ds=")</f>
        <v>#REF!</v>
      </c>
      <c r="BI61" t="e">
        <f>AND(ConsolidatedEventList!#REF!,"AAAAAGj8/Dw=")</f>
        <v>#REF!</v>
      </c>
      <c r="BJ61" t="e">
        <f>AND(ConsolidatedEventList!#REF!,"AAAAAGj8/D0=")</f>
        <v>#REF!</v>
      </c>
      <c r="BK61" t="e">
        <f>AND(ConsolidatedEventList!#REF!,"AAAAAGj8/D4=")</f>
        <v>#REF!</v>
      </c>
      <c r="BL61" t="e">
        <f>AND(ConsolidatedEventList!#REF!,"AAAAAGj8/D8=")</f>
        <v>#REF!</v>
      </c>
      <c r="BM61" t="e">
        <f>AND(ConsolidatedEventList!#REF!,"AAAAAGj8/EA=")</f>
        <v>#REF!</v>
      </c>
      <c r="BN61" t="e">
        <f>AND(ConsolidatedEventList!#REF!,"AAAAAGj8/EE=")</f>
        <v>#REF!</v>
      </c>
      <c r="BO61" t="e">
        <f>AND(ConsolidatedEventList!#REF!,"AAAAAGj8/EI=")</f>
        <v>#REF!</v>
      </c>
      <c r="BP61" t="e">
        <f>IF(ConsolidatedEventList!#REF!,"AAAAAGj8/EM=",0)</f>
        <v>#REF!</v>
      </c>
      <c r="BQ61" t="e">
        <f>AND(ConsolidatedEventList!#REF!,"AAAAAGj8/EQ=")</f>
        <v>#REF!</v>
      </c>
      <c r="BR61" t="e">
        <f>AND(ConsolidatedEventList!#REF!,"AAAAAGj8/EU=")</f>
        <v>#REF!</v>
      </c>
      <c r="BS61" t="e">
        <f>AND(ConsolidatedEventList!#REF!,"AAAAAGj8/EY=")</f>
        <v>#REF!</v>
      </c>
      <c r="BT61" t="e">
        <f>AND(ConsolidatedEventList!#REF!,"AAAAAGj8/Ec=")</f>
        <v>#REF!</v>
      </c>
      <c r="BU61" t="e">
        <f>AND(ConsolidatedEventList!#REF!,"AAAAAGj8/Eg=")</f>
        <v>#REF!</v>
      </c>
      <c r="BV61" t="e">
        <f>AND(ConsolidatedEventList!#REF!,"AAAAAGj8/Ek=")</f>
        <v>#REF!</v>
      </c>
      <c r="BW61" t="e">
        <f>AND(ConsolidatedEventList!#REF!,"AAAAAGj8/Eo=")</f>
        <v>#REF!</v>
      </c>
      <c r="BX61" t="e">
        <f>AND(ConsolidatedEventList!#REF!,"AAAAAGj8/Es=")</f>
        <v>#REF!</v>
      </c>
      <c r="BY61" t="e">
        <f>IF(ConsolidatedEventList!#REF!,"AAAAAGj8/Ew=",0)</f>
        <v>#REF!</v>
      </c>
      <c r="BZ61" t="e">
        <f>AND(ConsolidatedEventList!#REF!,"AAAAAGj8/E0=")</f>
        <v>#REF!</v>
      </c>
      <c r="CA61" t="e">
        <f>AND(ConsolidatedEventList!#REF!,"AAAAAGj8/E4=")</f>
        <v>#REF!</v>
      </c>
      <c r="CB61" t="e">
        <f>AND(ConsolidatedEventList!#REF!,"AAAAAGj8/E8=")</f>
        <v>#REF!</v>
      </c>
      <c r="CC61" t="e">
        <f>AND(ConsolidatedEventList!#REF!,"AAAAAGj8/FA=")</f>
        <v>#REF!</v>
      </c>
      <c r="CD61" t="e">
        <f>AND(ConsolidatedEventList!#REF!,"AAAAAGj8/FE=")</f>
        <v>#REF!</v>
      </c>
      <c r="CE61" t="e">
        <f>AND(ConsolidatedEventList!#REF!,"AAAAAGj8/FI=")</f>
        <v>#REF!</v>
      </c>
      <c r="CF61" t="e">
        <f>AND(ConsolidatedEventList!#REF!,"AAAAAGj8/FM=")</f>
        <v>#REF!</v>
      </c>
      <c r="CG61" t="e">
        <f>AND(ConsolidatedEventList!#REF!,"AAAAAGj8/FQ=")</f>
        <v>#REF!</v>
      </c>
      <c r="CH61" t="e">
        <f>IF(ConsolidatedEventList!#REF!,"AAAAAGj8/FU=",0)</f>
        <v>#REF!</v>
      </c>
      <c r="CI61" t="e">
        <f>AND(ConsolidatedEventList!#REF!,"AAAAAGj8/FY=")</f>
        <v>#REF!</v>
      </c>
      <c r="CJ61" t="e">
        <f>AND(ConsolidatedEventList!#REF!,"AAAAAGj8/Fc=")</f>
        <v>#REF!</v>
      </c>
      <c r="CK61" t="e">
        <f>AND(ConsolidatedEventList!#REF!,"AAAAAGj8/Fg=")</f>
        <v>#REF!</v>
      </c>
      <c r="CL61" t="e">
        <f>AND(ConsolidatedEventList!#REF!,"AAAAAGj8/Fk=")</f>
        <v>#REF!</v>
      </c>
      <c r="CM61" t="e">
        <f>AND(ConsolidatedEventList!#REF!,"AAAAAGj8/Fo=")</f>
        <v>#REF!</v>
      </c>
      <c r="CN61" t="e">
        <f>AND(ConsolidatedEventList!#REF!,"AAAAAGj8/Fs=")</f>
        <v>#REF!</v>
      </c>
      <c r="CO61" t="e">
        <f>AND(ConsolidatedEventList!#REF!,"AAAAAGj8/Fw=")</f>
        <v>#REF!</v>
      </c>
      <c r="CP61" t="e">
        <f>AND(ConsolidatedEventList!#REF!,"AAAAAGj8/F0=")</f>
        <v>#REF!</v>
      </c>
      <c r="CQ61" t="e">
        <f>IF(ConsolidatedEventList!#REF!,"AAAAAGj8/F4=",0)</f>
        <v>#REF!</v>
      </c>
      <c r="CR61" t="e">
        <f>AND(ConsolidatedEventList!#REF!,"AAAAAGj8/F8=")</f>
        <v>#REF!</v>
      </c>
      <c r="CS61" t="e">
        <f>AND(ConsolidatedEventList!#REF!,"AAAAAGj8/GA=")</f>
        <v>#REF!</v>
      </c>
      <c r="CT61" t="e">
        <f>AND(ConsolidatedEventList!#REF!,"AAAAAGj8/GE=")</f>
        <v>#REF!</v>
      </c>
      <c r="CU61" t="e">
        <f>AND(ConsolidatedEventList!#REF!,"AAAAAGj8/GI=")</f>
        <v>#REF!</v>
      </c>
      <c r="CV61" t="e">
        <f>AND(ConsolidatedEventList!#REF!,"AAAAAGj8/GM=")</f>
        <v>#REF!</v>
      </c>
      <c r="CW61" t="e">
        <f>AND(ConsolidatedEventList!#REF!,"AAAAAGj8/GQ=")</f>
        <v>#REF!</v>
      </c>
      <c r="CX61" t="e">
        <f>AND(ConsolidatedEventList!#REF!,"AAAAAGj8/GU=")</f>
        <v>#REF!</v>
      </c>
      <c r="CY61" t="e">
        <f>AND(ConsolidatedEventList!#REF!,"AAAAAGj8/GY=")</f>
        <v>#REF!</v>
      </c>
      <c r="CZ61" t="e">
        <f>IF(ConsolidatedEventList!#REF!,"AAAAAGj8/Gc=",0)</f>
        <v>#REF!</v>
      </c>
      <c r="DA61" t="e">
        <f>AND(ConsolidatedEventList!#REF!,"AAAAAGj8/Gg=")</f>
        <v>#REF!</v>
      </c>
      <c r="DB61" t="e">
        <f>AND(ConsolidatedEventList!#REF!,"AAAAAGj8/Gk=")</f>
        <v>#REF!</v>
      </c>
      <c r="DC61" t="e">
        <f>AND(ConsolidatedEventList!#REF!,"AAAAAGj8/Go=")</f>
        <v>#REF!</v>
      </c>
      <c r="DD61" t="e">
        <f>AND(ConsolidatedEventList!#REF!,"AAAAAGj8/Gs=")</f>
        <v>#REF!</v>
      </c>
      <c r="DE61" t="e">
        <f>AND(ConsolidatedEventList!#REF!,"AAAAAGj8/Gw=")</f>
        <v>#REF!</v>
      </c>
      <c r="DF61" t="e">
        <f>AND(ConsolidatedEventList!#REF!,"AAAAAGj8/G0=")</f>
        <v>#REF!</v>
      </c>
      <c r="DG61" t="e">
        <f>AND(ConsolidatedEventList!#REF!,"AAAAAGj8/G4=")</f>
        <v>#REF!</v>
      </c>
      <c r="DH61" t="e">
        <f>AND(ConsolidatedEventList!#REF!,"AAAAAGj8/G8=")</f>
        <v>#REF!</v>
      </c>
      <c r="DI61" t="e">
        <f>IF(ConsolidatedEventList!#REF!,"AAAAAGj8/HA=",0)</f>
        <v>#REF!</v>
      </c>
      <c r="DJ61" t="e">
        <f>AND(ConsolidatedEventList!#REF!,"AAAAAGj8/HE=")</f>
        <v>#REF!</v>
      </c>
      <c r="DK61" t="e">
        <f>AND(ConsolidatedEventList!#REF!,"AAAAAGj8/HI=")</f>
        <v>#REF!</v>
      </c>
      <c r="DL61" t="e">
        <f>AND(ConsolidatedEventList!#REF!,"AAAAAGj8/HM=")</f>
        <v>#REF!</v>
      </c>
      <c r="DM61" t="e">
        <f>AND(ConsolidatedEventList!#REF!,"AAAAAGj8/HQ=")</f>
        <v>#REF!</v>
      </c>
      <c r="DN61" t="e">
        <f>AND(ConsolidatedEventList!#REF!,"AAAAAGj8/HU=")</f>
        <v>#REF!</v>
      </c>
      <c r="DO61" t="e">
        <f>AND(ConsolidatedEventList!#REF!,"AAAAAGj8/HY=")</f>
        <v>#REF!</v>
      </c>
      <c r="DP61" t="e">
        <f>AND(ConsolidatedEventList!#REF!,"AAAAAGj8/Hc=")</f>
        <v>#REF!</v>
      </c>
      <c r="DQ61" t="e">
        <f>AND(ConsolidatedEventList!#REF!,"AAAAAGj8/Hg=")</f>
        <v>#REF!</v>
      </c>
      <c r="DR61" t="e">
        <f>IF(ConsolidatedEventList!#REF!,"AAAAAGj8/Hk=",0)</f>
        <v>#REF!</v>
      </c>
      <c r="DS61" t="e">
        <f>AND(ConsolidatedEventList!#REF!,"AAAAAGj8/Ho=")</f>
        <v>#REF!</v>
      </c>
      <c r="DT61" t="e">
        <f>AND(ConsolidatedEventList!#REF!,"AAAAAGj8/Hs=")</f>
        <v>#REF!</v>
      </c>
      <c r="DU61" t="e">
        <f>AND(ConsolidatedEventList!#REF!,"AAAAAGj8/Hw=")</f>
        <v>#REF!</v>
      </c>
      <c r="DV61" t="e">
        <f>AND(ConsolidatedEventList!#REF!,"AAAAAGj8/H0=")</f>
        <v>#REF!</v>
      </c>
      <c r="DW61" t="e">
        <f>AND(ConsolidatedEventList!#REF!,"AAAAAGj8/H4=")</f>
        <v>#REF!</v>
      </c>
      <c r="DX61" t="e">
        <f>AND(ConsolidatedEventList!#REF!,"AAAAAGj8/H8=")</f>
        <v>#REF!</v>
      </c>
      <c r="DY61" t="e">
        <f>AND(ConsolidatedEventList!#REF!,"AAAAAGj8/IA=")</f>
        <v>#REF!</v>
      </c>
      <c r="DZ61" t="e">
        <f>AND(ConsolidatedEventList!#REF!,"AAAAAGj8/IE=")</f>
        <v>#REF!</v>
      </c>
      <c r="EA61" t="e">
        <f>IF(ConsolidatedEventList!#REF!,"AAAAAGj8/II=",0)</f>
        <v>#REF!</v>
      </c>
      <c r="EB61" t="e">
        <f>AND(ConsolidatedEventList!#REF!,"AAAAAGj8/IM=")</f>
        <v>#REF!</v>
      </c>
      <c r="EC61" t="e">
        <f>AND(ConsolidatedEventList!#REF!,"AAAAAGj8/IQ=")</f>
        <v>#REF!</v>
      </c>
      <c r="ED61" t="e">
        <f>AND(ConsolidatedEventList!#REF!,"AAAAAGj8/IU=")</f>
        <v>#REF!</v>
      </c>
      <c r="EE61" t="e">
        <f>AND(ConsolidatedEventList!#REF!,"AAAAAGj8/IY=")</f>
        <v>#REF!</v>
      </c>
      <c r="EF61" t="e">
        <f>AND(ConsolidatedEventList!#REF!,"AAAAAGj8/Ic=")</f>
        <v>#REF!</v>
      </c>
      <c r="EG61" t="e">
        <f>AND(ConsolidatedEventList!#REF!,"AAAAAGj8/Ig=")</f>
        <v>#REF!</v>
      </c>
      <c r="EH61" t="e">
        <f>AND(ConsolidatedEventList!#REF!,"AAAAAGj8/Ik=")</f>
        <v>#REF!</v>
      </c>
      <c r="EI61" t="e">
        <f>AND(ConsolidatedEventList!#REF!,"AAAAAGj8/Io=")</f>
        <v>#REF!</v>
      </c>
      <c r="EJ61" t="e">
        <f>IF(ConsolidatedEventList!#REF!,"AAAAAGj8/Is=",0)</f>
        <v>#REF!</v>
      </c>
      <c r="EK61" t="e">
        <f>AND(ConsolidatedEventList!#REF!,"AAAAAGj8/Iw=")</f>
        <v>#REF!</v>
      </c>
      <c r="EL61" t="e">
        <f>AND(ConsolidatedEventList!#REF!,"AAAAAGj8/I0=")</f>
        <v>#REF!</v>
      </c>
      <c r="EM61" t="e">
        <f>AND(ConsolidatedEventList!#REF!,"AAAAAGj8/I4=")</f>
        <v>#REF!</v>
      </c>
      <c r="EN61" t="e">
        <f>AND(ConsolidatedEventList!#REF!,"AAAAAGj8/I8=")</f>
        <v>#REF!</v>
      </c>
      <c r="EO61" t="e">
        <f>AND(ConsolidatedEventList!#REF!,"AAAAAGj8/JA=")</f>
        <v>#REF!</v>
      </c>
      <c r="EP61" t="e">
        <f>AND(ConsolidatedEventList!#REF!,"AAAAAGj8/JE=")</f>
        <v>#REF!</v>
      </c>
      <c r="EQ61" t="e">
        <f>AND(ConsolidatedEventList!#REF!,"AAAAAGj8/JI=")</f>
        <v>#REF!</v>
      </c>
      <c r="ER61" t="e">
        <f>AND(ConsolidatedEventList!#REF!,"AAAAAGj8/JM=")</f>
        <v>#REF!</v>
      </c>
      <c r="ES61" t="e">
        <f>IF(ConsolidatedEventList!#REF!,"AAAAAGj8/JQ=",0)</f>
        <v>#REF!</v>
      </c>
      <c r="ET61" t="e">
        <f>AND(ConsolidatedEventList!#REF!,"AAAAAGj8/JU=")</f>
        <v>#REF!</v>
      </c>
      <c r="EU61" t="e">
        <f>AND(ConsolidatedEventList!#REF!,"AAAAAGj8/JY=")</f>
        <v>#REF!</v>
      </c>
      <c r="EV61" t="e">
        <f>AND(ConsolidatedEventList!#REF!,"AAAAAGj8/Jc=")</f>
        <v>#REF!</v>
      </c>
      <c r="EW61" t="e">
        <f>AND(ConsolidatedEventList!#REF!,"AAAAAGj8/Jg=")</f>
        <v>#REF!</v>
      </c>
      <c r="EX61" t="e">
        <f>AND(ConsolidatedEventList!#REF!,"AAAAAGj8/Jk=")</f>
        <v>#REF!</v>
      </c>
      <c r="EY61" t="e">
        <f>AND(ConsolidatedEventList!#REF!,"AAAAAGj8/Jo=")</f>
        <v>#REF!</v>
      </c>
      <c r="EZ61" t="e">
        <f>AND(ConsolidatedEventList!#REF!,"AAAAAGj8/Js=")</f>
        <v>#REF!</v>
      </c>
      <c r="FA61" t="e">
        <f>AND(ConsolidatedEventList!#REF!,"AAAAAGj8/Jw=")</f>
        <v>#REF!</v>
      </c>
      <c r="FB61" t="e">
        <f>IF(ConsolidatedEventList!#REF!,"AAAAAGj8/J0=",0)</f>
        <v>#REF!</v>
      </c>
      <c r="FC61" t="e">
        <f>AND(ConsolidatedEventList!#REF!,"AAAAAGj8/J4=")</f>
        <v>#REF!</v>
      </c>
      <c r="FD61" t="e">
        <f>AND(ConsolidatedEventList!#REF!,"AAAAAGj8/J8=")</f>
        <v>#REF!</v>
      </c>
      <c r="FE61" t="e">
        <f>AND(ConsolidatedEventList!#REF!,"AAAAAGj8/KA=")</f>
        <v>#REF!</v>
      </c>
      <c r="FF61" t="e">
        <f>AND(ConsolidatedEventList!#REF!,"AAAAAGj8/KE=")</f>
        <v>#REF!</v>
      </c>
      <c r="FG61" t="e">
        <f>AND(ConsolidatedEventList!#REF!,"AAAAAGj8/KI=")</f>
        <v>#REF!</v>
      </c>
      <c r="FH61" t="e">
        <f>AND(ConsolidatedEventList!#REF!,"AAAAAGj8/KM=")</f>
        <v>#REF!</v>
      </c>
      <c r="FI61" t="e">
        <f>AND(ConsolidatedEventList!#REF!,"AAAAAGj8/KQ=")</f>
        <v>#REF!</v>
      </c>
      <c r="FJ61" t="e">
        <f>AND(ConsolidatedEventList!#REF!,"AAAAAGj8/KU=")</f>
        <v>#REF!</v>
      </c>
      <c r="FK61" t="e">
        <f>IF(ConsolidatedEventList!#REF!,"AAAAAGj8/KY=",0)</f>
        <v>#REF!</v>
      </c>
      <c r="FL61" t="e">
        <f>AND(ConsolidatedEventList!#REF!,"AAAAAGj8/Kc=")</f>
        <v>#REF!</v>
      </c>
      <c r="FM61" t="e">
        <f>AND(ConsolidatedEventList!#REF!,"AAAAAGj8/Kg=")</f>
        <v>#REF!</v>
      </c>
      <c r="FN61" t="e">
        <f>AND(ConsolidatedEventList!#REF!,"AAAAAGj8/Kk=")</f>
        <v>#REF!</v>
      </c>
      <c r="FO61" t="e">
        <f>AND(ConsolidatedEventList!#REF!,"AAAAAGj8/Ko=")</f>
        <v>#REF!</v>
      </c>
      <c r="FP61" t="e">
        <f>AND(ConsolidatedEventList!#REF!,"AAAAAGj8/Ks=")</f>
        <v>#REF!</v>
      </c>
      <c r="FQ61" t="e">
        <f>AND(ConsolidatedEventList!#REF!,"AAAAAGj8/Kw=")</f>
        <v>#REF!</v>
      </c>
      <c r="FR61" t="e">
        <f>AND(ConsolidatedEventList!#REF!,"AAAAAGj8/K0=")</f>
        <v>#REF!</v>
      </c>
      <c r="FS61" t="e">
        <f>AND(ConsolidatedEventList!#REF!,"AAAAAGj8/K4=")</f>
        <v>#REF!</v>
      </c>
      <c r="FT61" t="e">
        <f>IF(ConsolidatedEventList!#REF!,"AAAAAGj8/K8=",0)</f>
        <v>#REF!</v>
      </c>
      <c r="FU61" t="e">
        <f>AND(ConsolidatedEventList!#REF!,"AAAAAGj8/LA=")</f>
        <v>#REF!</v>
      </c>
      <c r="FV61" t="e">
        <f>AND(ConsolidatedEventList!#REF!,"AAAAAGj8/LE=")</f>
        <v>#REF!</v>
      </c>
      <c r="FW61" t="e">
        <f>AND(ConsolidatedEventList!#REF!,"AAAAAGj8/LI=")</f>
        <v>#REF!</v>
      </c>
      <c r="FX61" t="e">
        <f>AND(ConsolidatedEventList!#REF!,"AAAAAGj8/LM=")</f>
        <v>#REF!</v>
      </c>
      <c r="FY61" t="e">
        <f>AND(ConsolidatedEventList!#REF!,"AAAAAGj8/LQ=")</f>
        <v>#REF!</v>
      </c>
      <c r="FZ61" t="e">
        <f>AND(ConsolidatedEventList!#REF!,"AAAAAGj8/LU=")</f>
        <v>#REF!</v>
      </c>
      <c r="GA61" t="e">
        <f>AND(ConsolidatedEventList!#REF!,"AAAAAGj8/LY=")</f>
        <v>#REF!</v>
      </c>
      <c r="GB61" t="e">
        <f>AND(ConsolidatedEventList!#REF!,"AAAAAGj8/Lc=")</f>
        <v>#REF!</v>
      </c>
      <c r="GC61" t="e">
        <f>IF(ConsolidatedEventList!#REF!,"AAAAAGj8/Lg=",0)</f>
        <v>#REF!</v>
      </c>
      <c r="GD61" t="e">
        <f>AND(ConsolidatedEventList!#REF!,"AAAAAGj8/Lk=")</f>
        <v>#REF!</v>
      </c>
      <c r="GE61" t="e">
        <f>AND(ConsolidatedEventList!#REF!,"AAAAAGj8/Lo=")</f>
        <v>#REF!</v>
      </c>
      <c r="GF61" t="e">
        <f>AND(ConsolidatedEventList!#REF!,"AAAAAGj8/Ls=")</f>
        <v>#REF!</v>
      </c>
      <c r="GG61" t="e">
        <f>AND(ConsolidatedEventList!#REF!,"AAAAAGj8/Lw=")</f>
        <v>#REF!</v>
      </c>
      <c r="GH61" t="e">
        <f>AND(ConsolidatedEventList!#REF!,"AAAAAGj8/L0=")</f>
        <v>#REF!</v>
      </c>
      <c r="GI61" t="e">
        <f>AND(ConsolidatedEventList!#REF!,"AAAAAGj8/L4=")</f>
        <v>#REF!</v>
      </c>
      <c r="GJ61" t="e">
        <f>AND(ConsolidatedEventList!#REF!,"AAAAAGj8/L8=")</f>
        <v>#REF!</v>
      </c>
      <c r="GK61" t="e">
        <f>AND(ConsolidatedEventList!#REF!,"AAAAAGj8/MA=")</f>
        <v>#REF!</v>
      </c>
      <c r="GL61" t="e">
        <f>IF(ConsolidatedEventList!#REF!,"AAAAAGj8/ME=",0)</f>
        <v>#REF!</v>
      </c>
      <c r="GM61" t="e">
        <f>AND(ConsolidatedEventList!#REF!,"AAAAAGj8/MI=")</f>
        <v>#REF!</v>
      </c>
      <c r="GN61" t="e">
        <f>AND(ConsolidatedEventList!#REF!,"AAAAAGj8/MM=")</f>
        <v>#REF!</v>
      </c>
      <c r="GO61" t="e">
        <f>AND(ConsolidatedEventList!#REF!,"AAAAAGj8/MQ=")</f>
        <v>#REF!</v>
      </c>
      <c r="GP61" t="e">
        <f>AND(ConsolidatedEventList!#REF!,"AAAAAGj8/MU=")</f>
        <v>#REF!</v>
      </c>
      <c r="GQ61" t="e">
        <f>AND(ConsolidatedEventList!#REF!,"AAAAAGj8/MY=")</f>
        <v>#REF!</v>
      </c>
      <c r="GR61" t="e">
        <f>AND(ConsolidatedEventList!#REF!,"AAAAAGj8/Mc=")</f>
        <v>#REF!</v>
      </c>
      <c r="GS61" t="e">
        <f>AND(ConsolidatedEventList!#REF!,"AAAAAGj8/Mg=")</f>
        <v>#REF!</v>
      </c>
      <c r="GT61" t="e">
        <f>AND(ConsolidatedEventList!#REF!,"AAAAAGj8/Mk=")</f>
        <v>#REF!</v>
      </c>
      <c r="GU61" t="e">
        <f>IF(ConsolidatedEventList!#REF!,"AAAAAGj8/Mo=",0)</f>
        <v>#REF!</v>
      </c>
      <c r="GV61" t="e">
        <f>AND(ConsolidatedEventList!#REF!,"AAAAAGj8/Ms=")</f>
        <v>#REF!</v>
      </c>
      <c r="GW61" t="e">
        <f>AND(ConsolidatedEventList!#REF!,"AAAAAGj8/Mw=")</f>
        <v>#REF!</v>
      </c>
      <c r="GX61" t="e">
        <f>AND(ConsolidatedEventList!#REF!,"AAAAAGj8/M0=")</f>
        <v>#REF!</v>
      </c>
      <c r="GY61" t="e">
        <f>AND(ConsolidatedEventList!#REF!,"AAAAAGj8/M4=")</f>
        <v>#REF!</v>
      </c>
      <c r="GZ61" t="e">
        <f>AND(ConsolidatedEventList!#REF!,"AAAAAGj8/M8=")</f>
        <v>#REF!</v>
      </c>
      <c r="HA61" t="e">
        <f>AND(ConsolidatedEventList!#REF!,"AAAAAGj8/NA=")</f>
        <v>#REF!</v>
      </c>
      <c r="HB61" t="e">
        <f>AND(ConsolidatedEventList!#REF!,"AAAAAGj8/NE=")</f>
        <v>#REF!</v>
      </c>
      <c r="HC61" t="e">
        <f>AND(ConsolidatedEventList!#REF!,"AAAAAGj8/NI=")</f>
        <v>#REF!</v>
      </c>
      <c r="HD61" t="e">
        <f>IF(ConsolidatedEventList!#REF!,"AAAAAGj8/NM=",0)</f>
        <v>#REF!</v>
      </c>
      <c r="HE61" t="e">
        <f>AND(ConsolidatedEventList!#REF!,"AAAAAGj8/NQ=")</f>
        <v>#REF!</v>
      </c>
      <c r="HF61" t="e">
        <f>AND(ConsolidatedEventList!#REF!,"AAAAAGj8/NU=")</f>
        <v>#REF!</v>
      </c>
      <c r="HG61" t="e">
        <f>AND(ConsolidatedEventList!#REF!,"AAAAAGj8/NY=")</f>
        <v>#REF!</v>
      </c>
      <c r="HH61" t="e">
        <f>AND(ConsolidatedEventList!#REF!,"AAAAAGj8/Nc=")</f>
        <v>#REF!</v>
      </c>
      <c r="HI61" t="e">
        <f>AND(ConsolidatedEventList!#REF!,"AAAAAGj8/Ng=")</f>
        <v>#REF!</v>
      </c>
      <c r="HJ61" t="e">
        <f>AND(ConsolidatedEventList!#REF!,"AAAAAGj8/Nk=")</f>
        <v>#REF!</v>
      </c>
      <c r="HK61" t="e">
        <f>AND(ConsolidatedEventList!#REF!,"AAAAAGj8/No=")</f>
        <v>#REF!</v>
      </c>
      <c r="HL61" t="e">
        <f>AND(ConsolidatedEventList!#REF!,"AAAAAGj8/Ns=")</f>
        <v>#REF!</v>
      </c>
      <c r="HM61" t="e">
        <f>IF(ConsolidatedEventList!#REF!,"AAAAAGj8/Nw=",0)</f>
        <v>#REF!</v>
      </c>
      <c r="HN61" t="e">
        <f>AND(ConsolidatedEventList!#REF!,"AAAAAGj8/N0=")</f>
        <v>#REF!</v>
      </c>
      <c r="HO61" t="e">
        <f>AND(ConsolidatedEventList!#REF!,"AAAAAGj8/N4=")</f>
        <v>#REF!</v>
      </c>
      <c r="HP61" t="e">
        <f>AND(ConsolidatedEventList!#REF!,"AAAAAGj8/N8=")</f>
        <v>#REF!</v>
      </c>
      <c r="HQ61" t="e">
        <f>AND(ConsolidatedEventList!#REF!,"AAAAAGj8/OA=")</f>
        <v>#REF!</v>
      </c>
      <c r="HR61" t="e">
        <f>AND(ConsolidatedEventList!#REF!,"AAAAAGj8/OE=")</f>
        <v>#REF!</v>
      </c>
      <c r="HS61" t="e">
        <f>AND(ConsolidatedEventList!#REF!,"AAAAAGj8/OI=")</f>
        <v>#REF!</v>
      </c>
      <c r="HT61" t="e">
        <f>AND(ConsolidatedEventList!#REF!,"AAAAAGj8/OM=")</f>
        <v>#REF!</v>
      </c>
      <c r="HU61" t="e">
        <f>AND(ConsolidatedEventList!#REF!,"AAAAAGj8/OQ=")</f>
        <v>#REF!</v>
      </c>
      <c r="HV61" t="e">
        <f>IF(ConsolidatedEventList!#REF!,"AAAAAGj8/OU=",0)</f>
        <v>#REF!</v>
      </c>
      <c r="HW61" t="e">
        <f>AND(ConsolidatedEventList!#REF!,"AAAAAGj8/OY=")</f>
        <v>#REF!</v>
      </c>
      <c r="HX61" t="e">
        <f>AND(ConsolidatedEventList!#REF!,"AAAAAGj8/Oc=")</f>
        <v>#REF!</v>
      </c>
      <c r="HY61" t="e">
        <f>AND(ConsolidatedEventList!#REF!,"AAAAAGj8/Og=")</f>
        <v>#REF!</v>
      </c>
      <c r="HZ61" t="e">
        <f>AND(ConsolidatedEventList!#REF!,"AAAAAGj8/Ok=")</f>
        <v>#REF!</v>
      </c>
      <c r="IA61" t="e">
        <f>AND(ConsolidatedEventList!#REF!,"AAAAAGj8/Oo=")</f>
        <v>#REF!</v>
      </c>
      <c r="IB61" t="e">
        <f>AND(ConsolidatedEventList!#REF!,"AAAAAGj8/Os=")</f>
        <v>#REF!</v>
      </c>
      <c r="IC61" t="e">
        <f>AND(ConsolidatedEventList!#REF!,"AAAAAGj8/Ow=")</f>
        <v>#REF!</v>
      </c>
      <c r="ID61" t="e">
        <f>AND(ConsolidatedEventList!#REF!,"AAAAAGj8/O0=")</f>
        <v>#REF!</v>
      </c>
      <c r="IE61" t="e">
        <f>IF(ConsolidatedEventList!#REF!,"AAAAAGj8/O4=",0)</f>
        <v>#REF!</v>
      </c>
      <c r="IF61" t="e">
        <f>AND(ConsolidatedEventList!#REF!,"AAAAAGj8/O8=")</f>
        <v>#REF!</v>
      </c>
      <c r="IG61" t="e">
        <f>AND(ConsolidatedEventList!#REF!,"AAAAAGj8/PA=")</f>
        <v>#REF!</v>
      </c>
      <c r="IH61" t="e">
        <f>AND(ConsolidatedEventList!#REF!,"AAAAAGj8/PE=")</f>
        <v>#REF!</v>
      </c>
      <c r="II61" t="e">
        <f>AND(ConsolidatedEventList!#REF!,"AAAAAGj8/PI=")</f>
        <v>#REF!</v>
      </c>
      <c r="IJ61" t="e">
        <f>AND(ConsolidatedEventList!#REF!,"AAAAAGj8/PM=")</f>
        <v>#REF!</v>
      </c>
      <c r="IK61" t="e">
        <f>AND(ConsolidatedEventList!#REF!,"AAAAAGj8/PQ=")</f>
        <v>#REF!</v>
      </c>
      <c r="IL61" t="e">
        <f>AND(ConsolidatedEventList!#REF!,"AAAAAGj8/PU=")</f>
        <v>#REF!</v>
      </c>
      <c r="IM61" t="e">
        <f>AND(ConsolidatedEventList!#REF!,"AAAAAGj8/PY=")</f>
        <v>#REF!</v>
      </c>
      <c r="IN61" t="e">
        <f>IF(ConsolidatedEventList!#REF!,"AAAAAGj8/Pc=",0)</f>
        <v>#REF!</v>
      </c>
      <c r="IO61" t="e">
        <f>AND(ConsolidatedEventList!#REF!,"AAAAAGj8/Pg=")</f>
        <v>#REF!</v>
      </c>
      <c r="IP61" t="e">
        <f>AND(ConsolidatedEventList!#REF!,"AAAAAGj8/Pk=")</f>
        <v>#REF!</v>
      </c>
      <c r="IQ61" t="e">
        <f>AND(ConsolidatedEventList!#REF!,"AAAAAGj8/Po=")</f>
        <v>#REF!</v>
      </c>
      <c r="IR61" t="e">
        <f>AND(ConsolidatedEventList!#REF!,"AAAAAGj8/Ps=")</f>
        <v>#REF!</v>
      </c>
      <c r="IS61" t="e">
        <f>AND(ConsolidatedEventList!#REF!,"AAAAAGj8/Pw=")</f>
        <v>#REF!</v>
      </c>
      <c r="IT61" t="e">
        <f>AND(ConsolidatedEventList!#REF!,"AAAAAGj8/P0=")</f>
        <v>#REF!</v>
      </c>
      <c r="IU61" t="e">
        <f>AND(ConsolidatedEventList!#REF!,"AAAAAGj8/P4=")</f>
        <v>#REF!</v>
      </c>
      <c r="IV61" t="e">
        <f>AND(ConsolidatedEventList!#REF!,"AAAAAGj8/P8=")</f>
        <v>#REF!</v>
      </c>
    </row>
    <row r="62" spans="1:256" x14ac:dyDescent="0.25">
      <c r="A62" t="e">
        <f>IF(ConsolidatedEventList!#REF!,"AAAAAG1vwQA=",0)</f>
        <v>#REF!</v>
      </c>
      <c r="B62" t="e">
        <f>AND(ConsolidatedEventList!#REF!,"AAAAAG1vwQE=")</f>
        <v>#REF!</v>
      </c>
      <c r="C62" t="e">
        <f>AND(ConsolidatedEventList!#REF!,"AAAAAG1vwQI=")</f>
        <v>#REF!</v>
      </c>
      <c r="D62" t="e">
        <f>AND(ConsolidatedEventList!#REF!,"AAAAAG1vwQM=")</f>
        <v>#REF!</v>
      </c>
      <c r="E62" t="e">
        <f>AND(ConsolidatedEventList!#REF!,"AAAAAG1vwQQ=")</f>
        <v>#REF!</v>
      </c>
      <c r="F62" t="e">
        <f>AND(ConsolidatedEventList!#REF!,"AAAAAG1vwQU=")</f>
        <v>#REF!</v>
      </c>
      <c r="G62" t="e">
        <f>AND(ConsolidatedEventList!#REF!,"AAAAAG1vwQY=")</f>
        <v>#REF!</v>
      </c>
      <c r="H62" t="e">
        <f>AND(ConsolidatedEventList!#REF!,"AAAAAG1vwQc=")</f>
        <v>#REF!</v>
      </c>
      <c r="I62" t="e">
        <f>AND(ConsolidatedEventList!#REF!,"AAAAAG1vwQg=")</f>
        <v>#REF!</v>
      </c>
      <c r="J62" t="e">
        <f>IF(ConsolidatedEventList!#REF!,"AAAAAG1vwQk=",0)</f>
        <v>#REF!</v>
      </c>
      <c r="K62" t="e">
        <f>AND(ConsolidatedEventList!#REF!,"AAAAAG1vwQo=")</f>
        <v>#REF!</v>
      </c>
      <c r="L62" t="e">
        <f>AND(ConsolidatedEventList!#REF!,"AAAAAG1vwQs=")</f>
        <v>#REF!</v>
      </c>
      <c r="M62" t="e">
        <f>AND(ConsolidatedEventList!#REF!,"AAAAAG1vwQw=")</f>
        <v>#REF!</v>
      </c>
      <c r="N62" t="e">
        <f>AND(ConsolidatedEventList!#REF!,"AAAAAG1vwQ0=")</f>
        <v>#REF!</v>
      </c>
      <c r="O62" t="e">
        <f>AND(ConsolidatedEventList!#REF!,"AAAAAG1vwQ4=")</f>
        <v>#REF!</v>
      </c>
      <c r="P62" t="e">
        <f>AND(ConsolidatedEventList!#REF!,"AAAAAG1vwQ8=")</f>
        <v>#REF!</v>
      </c>
      <c r="Q62" t="e">
        <f>AND(ConsolidatedEventList!#REF!,"AAAAAG1vwRA=")</f>
        <v>#REF!</v>
      </c>
      <c r="R62" t="e">
        <f>AND(ConsolidatedEventList!#REF!,"AAAAAG1vwRE=")</f>
        <v>#REF!</v>
      </c>
      <c r="S62" t="e">
        <f>IF(ConsolidatedEventList!#REF!,"AAAAAG1vwRI=",0)</f>
        <v>#REF!</v>
      </c>
      <c r="T62" t="e">
        <f>AND(ConsolidatedEventList!#REF!,"AAAAAG1vwRM=")</f>
        <v>#REF!</v>
      </c>
      <c r="U62" t="e">
        <f>AND(ConsolidatedEventList!#REF!,"AAAAAG1vwRQ=")</f>
        <v>#REF!</v>
      </c>
      <c r="V62" t="e">
        <f>AND(ConsolidatedEventList!#REF!,"AAAAAG1vwRU=")</f>
        <v>#REF!</v>
      </c>
      <c r="W62" t="e">
        <f>AND(ConsolidatedEventList!#REF!,"AAAAAG1vwRY=")</f>
        <v>#REF!</v>
      </c>
      <c r="X62" t="e">
        <f>AND(ConsolidatedEventList!#REF!,"AAAAAG1vwRc=")</f>
        <v>#REF!</v>
      </c>
      <c r="Y62" t="e">
        <f>AND(ConsolidatedEventList!#REF!,"AAAAAG1vwRg=")</f>
        <v>#REF!</v>
      </c>
      <c r="Z62" t="e">
        <f>AND(ConsolidatedEventList!#REF!,"AAAAAG1vwRk=")</f>
        <v>#REF!</v>
      </c>
      <c r="AA62" t="e">
        <f>AND(ConsolidatedEventList!#REF!,"AAAAAG1vwRo=")</f>
        <v>#REF!</v>
      </c>
      <c r="AB62" t="e">
        <f>IF(ConsolidatedEventList!#REF!,"AAAAAG1vwRs=",0)</f>
        <v>#REF!</v>
      </c>
      <c r="AC62" t="e">
        <f>AND(ConsolidatedEventList!#REF!,"AAAAAG1vwRw=")</f>
        <v>#REF!</v>
      </c>
      <c r="AD62" t="e">
        <f>AND(ConsolidatedEventList!#REF!,"AAAAAG1vwR0=")</f>
        <v>#REF!</v>
      </c>
      <c r="AE62" t="e">
        <f>AND(ConsolidatedEventList!#REF!,"AAAAAG1vwR4=")</f>
        <v>#REF!</v>
      </c>
      <c r="AF62" t="e">
        <f>AND(ConsolidatedEventList!#REF!,"AAAAAG1vwR8=")</f>
        <v>#REF!</v>
      </c>
      <c r="AG62" t="e">
        <f>AND(ConsolidatedEventList!#REF!,"AAAAAG1vwSA=")</f>
        <v>#REF!</v>
      </c>
      <c r="AH62" t="e">
        <f>AND(ConsolidatedEventList!#REF!,"AAAAAG1vwSE=")</f>
        <v>#REF!</v>
      </c>
      <c r="AI62" t="e">
        <f>AND(ConsolidatedEventList!#REF!,"AAAAAG1vwSI=")</f>
        <v>#REF!</v>
      </c>
      <c r="AJ62" t="e">
        <f>AND(ConsolidatedEventList!#REF!,"AAAAAG1vwSM=")</f>
        <v>#REF!</v>
      </c>
      <c r="AK62">
        <f>IF(ConsolidatedEventList!283:283,"AAAAAG1vwSQ=",0)</f>
        <v>0</v>
      </c>
      <c r="AL62" t="e">
        <f>AND(ConsolidatedEventList!A283,"AAAAAG1vwSU=")</f>
        <v>#VALUE!</v>
      </c>
      <c r="AM62" t="e">
        <f>AND(ConsolidatedEventList!B283,"AAAAAG1vwSY=")</f>
        <v>#VALUE!</v>
      </c>
      <c r="AN62" t="e">
        <f>AND(ConsolidatedEventList!C283,"AAAAAG1vwSc=")</f>
        <v>#VALUE!</v>
      </c>
      <c r="AO62" t="e">
        <f>AND(ConsolidatedEventList!D283,"AAAAAG1vwSg=")</f>
        <v>#VALUE!</v>
      </c>
      <c r="AP62" t="e">
        <f>AND(ConsolidatedEventList!E283,"AAAAAG1vwSk=")</f>
        <v>#VALUE!</v>
      </c>
      <c r="AQ62" t="e">
        <f>AND(ConsolidatedEventList!F283,"AAAAAG1vwSo=")</f>
        <v>#VALUE!</v>
      </c>
      <c r="AR62" t="e">
        <f>AND(ConsolidatedEventList!G283,"AAAAAG1vwSs=")</f>
        <v>#VALUE!</v>
      </c>
      <c r="AS62" t="e">
        <f>AND(ConsolidatedEventList!H283,"AAAAAG1vwSw=")</f>
        <v>#VALUE!</v>
      </c>
      <c r="AT62">
        <f>IF(ConsolidatedEventList!284:284,"AAAAAG1vwS0=",0)</f>
        <v>0</v>
      </c>
      <c r="AU62" t="e">
        <f>AND(ConsolidatedEventList!A284,"AAAAAG1vwS4=")</f>
        <v>#VALUE!</v>
      </c>
      <c r="AV62" t="e">
        <f>AND(ConsolidatedEventList!B284,"AAAAAG1vwS8=")</f>
        <v>#VALUE!</v>
      </c>
      <c r="AW62" t="e">
        <f>AND(ConsolidatedEventList!C284,"AAAAAG1vwTA=")</f>
        <v>#VALUE!</v>
      </c>
      <c r="AX62" t="e">
        <f>AND(ConsolidatedEventList!D284,"AAAAAG1vwTE=")</f>
        <v>#VALUE!</v>
      </c>
      <c r="AY62" t="e">
        <f>AND(ConsolidatedEventList!E284,"AAAAAG1vwTI=")</f>
        <v>#VALUE!</v>
      </c>
      <c r="AZ62" t="e">
        <f>AND(ConsolidatedEventList!F284,"AAAAAG1vwTM=")</f>
        <v>#VALUE!</v>
      </c>
      <c r="BA62" t="e">
        <f>AND(ConsolidatedEventList!G284,"AAAAAG1vwTQ=")</f>
        <v>#VALUE!</v>
      </c>
      <c r="BB62" t="e">
        <f>AND(ConsolidatedEventList!H284,"AAAAAG1vwTU=")</f>
        <v>#VALUE!</v>
      </c>
      <c r="BC62">
        <f>IF(ConsolidatedEventList!285:285,"AAAAAG1vwTY=",0)</f>
        <v>0</v>
      </c>
      <c r="BD62" t="e">
        <f>AND(ConsolidatedEventList!A285,"AAAAAG1vwTc=")</f>
        <v>#VALUE!</v>
      </c>
      <c r="BE62" t="e">
        <f>AND(ConsolidatedEventList!B285,"AAAAAG1vwTg=")</f>
        <v>#VALUE!</v>
      </c>
      <c r="BF62" t="e">
        <f>AND(ConsolidatedEventList!C285,"AAAAAG1vwTk=")</f>
        <v>#VALUE!</v>
      </c>
      <c r="BG62" t="e">
        <f>AND(ConsolidatedEventList!D285,"AAAAAG1vwTo=")</f>
        <v>#VALUE!</v>
      </c>
      <c r="BH62" t="e">
        <f>AND(ConsolidatedEventList!E285,"AAAAAG1vwTs=")</f>
        <v>#VALUE!</v>
      </c>
      <c r="BI62" t="e">
        <f>AND(ConsolidatedEventList!F285,"AAAAAG1vwTw=")</f>
        <v>#VALUE!</v>
      </c>
      <c r="BJ62" t="e">
        <f>AND(ConsolidatedEventList!G285,"AAAAAG1vwT0=")</f>
        <v>#VALUE!</v>
      </c>
      <c r="BK62" t="e">
        <f>AND(ConsolidatedEventList!H285,"AAAAAG1vwT4=")</f>
        <v>#VALUE!</v>
      </c>
      <c r="BL62" t="e">
        <f>IF(ConsolidatedEventList!#REF!,"AAAAAG1vwT8=",0)</f>
        <v>#REF!</v>
      </c>
      <c r="BM62" t="e">
        <f>AND(ConsolidatedEventList!#REF!,"AAAAAG1vwUA=")</f>
        <v>#REF!</v>
      </c>
      <c r="BN62" t="e">
        <f>AND(ConsolidatedEventList!#REF!,"AAAAAG1vwUE=")</f>
        <v>#REF!</v>
      </c>
      <c r="BO62" t="e">
        <f>AND(ConsolidatedEventList!#REF!,"AAAAAG1vwUI=")</f>
        <v>#REF!</v>
      </c>
      <c r="BP62" t="e">
        <f>AND(ConsolidatedEventList!#REF!,"AAAAAG1vwUM=")</f>
        <v>#REF!</v>
      </c>
      <c r="BQ62" t="e">
        <f>AND(ConsolidatedEventList!#REF!,"AAAAAG1vwUQ=")</f>
        <v>#REF!</v>
      </c>
      <c r="BR62" t="e">
        <f>AND(ConsolidatedEventList!#REF!,"AAAAAG1vwUU=")</f>
        <v>#REF!</v>
      </c>
      <c r="BS62" t="e">
        <f>AND(ConsolidatedEventList!#REF!,"AAAAAG1vwUY=")</f>
        <v>#REF!</v>
      </c>
      <c r="BT62" t="e">
        <f>AND(ConsolidatedEventList!#REF!,"AAAAAG1vwUc=")</f>
        <v>#REF!</v>
      </c>
      <c r="BU62" t="e">
        <f>IF(ConsolidatedEventList!#REF!,"AAAAAG1vwUg=",0)</f>
        <v>#REF!</v>
      </c>
      <c r="BV62" t="e">
        <f>AND(ConsolidatedEventList!#REF!,"AAAAAG1vwUk=")</f>
        <v>#REF!</v>
      </c>
      <c r="BW62" t="e">
        <f>AND(ConsolidatedEventList!#REF!,"AAAAAG1vwUo=")</f>
        <v>#REF!</v>
      </c>
      <c r="BX62" t="e">
        <f>AND(ConsolidatedEventList!#REF!,"AAAAAG1vwUs=")</f>
        <v>#REF!</v>
      </c>
      <c r="BY62" t="e">
        <f>AND(ConsolidatedEventList!#REF!,"AAAAAG1vwUw=")</f>
        <v>#REF!</v>
      </c>
      <c r="BZ62" t="e">
        <f>AND(ConsolidatedEventList!#REF!,"AAAAAG1vwU0=")</f>
        <v>#REF!</v>
      </c>
      <c r="CA62" t="e">
        <f>AND(ConsolidatedEventList!#REF!,"AAAAAG1vwU4=")</f>
        <v>#REF!</v>
      </c>
      <c r="CB62" t="e">
        <f>AND(ConsolidatedEventList!#REF!,"AAAAAG1vwU8=")</f>
        <v>#REF!</v>
      </c>
      <c r="CC62" t="e">
        <f>AND(ConsolidatedEventList!#REF!,"AAAAAG1vwVA=")</f>
        <v>#REF!</v>
      </c>
      <c r="CD62" t="e">
        <f>IF(ConsolidatedEventList!#REF!,"AAAAAG1vwVE=",0)</f>
        <v>#REF!</v>
      </c>
      <c r="CE62" t="e">
        <f>AND(ConsolidatedEventList!#REF!,"AAAAAG1vwVI=")</f>
        <v>#REF!</v>
      </c>
      <c r="CF62" t="e">
        <f>AND(ConsolidatedEventList!#REF!,"AAAAAG1vwVM=")</f>
        <v>#REF!</v>
      </c>
      <c r="CG62" t="e">
        <f>AND(ConsolidatedEventList!#REF!,"AAAAAG1vwVQ=")</f>
        <v>#REF!</v>
      </c>
      <c r="CH62" t="e">
        <f>AND(ConsolidatedEventList!#REF!,"AAAAAG1vwVU=")</f>
        <v>#REF!</v>
      </c>
      <c r="CI62" t="e">
        <f>AND(ConsolidatedEventList!#REF!,"AAAAAG1vwVY=")</f>
        <v>#REF!</v>
      </c>
      <c r="CJ62" t="e">
        <f>AND(ConsolidatedEventList!#REF!,"AAAAAG1vwVc=")</f>
        <v>#REF!</v>
      </c>
      <c r="CK62" t="e">
        <f>AND(ConsolidatedEventList!#REF!,"AAAAAG1vwVg=")</f>
        <v>#REF!</v>
      </c>
      <c r="CL62" t="e">
        <f>AND(ConsolidatedEventList!#REF!,"AAAAAG1vwVk=")</f>
        <v>#REF!</v>
      </c>
      <c r="CM62">
        <f>IF(ConsolidatedEventList!298:298,"AAAAAG1vwVo=",0)</f>
        <v>0</v>
      </c>
      <c r="CN62" t="e">
        <f>AND(ConsolidatedEventList!A298,"AAAAAG1vwVs=")</f>
        <v>#VALUE!</v>
      </c>
      <c r="CO62" t="e">
        <f>AND(ConsolidatedEventList!B298,"AAAAAG1vwVw=")</f>
        <v>#VALUE!</v>
      </c>
      <c r="CP62" t="e">
        <f>AND(ConsolidatedEventList!C298,"AAAAAG1vwV0=")</f>
        <v>#VALUE!</v>
      </c>
      <c r="CQ62" t="e">
        <f>AND(ConsolidatedEventList!D298,"AAAAAG1vwV4=")</f>
        <v>#VALUE!</v>
      </c>
      <c r="CR62" t="e">
        <f>AND(ConsolidatedEventList!E298,"AAAAAG1vwV8=")</f>
        <v>#VALUE!</v>
      </c>
      <c r="CS62" t="e">
        <f>AND(ConsolidatedEventList!F298,"AAAAAG1vwWA=")</f>
        <v>#VALUE!</v>
      </c>
      <c r="CT62" t="e">
        <f>AND(ConsolidatedEventList!G298,"AAAAAG1vwWE=")</f>
        <v>#VALUE!</v>
      </c>
      <c r="CU62" t="e">
        <f>AND(ConsolidatedEventList!H298,"AAAAAG1vwWI=")</f>
        <v>#VALUE!</v>
      </c>
      <c r="CV62" t="e">
        <f>IF(ConsolidatedEventList!#REF!,"AAAAAG1vwWM=",0)</f>
        <v>#REF!</v>
      </c>
      <c r="CW62" t="e">
        <f>AND(ConsolidatedEventList!#REF!,"AAAAAG1vwWQ=")</f>
        <v>#REF!</v>
      </c>
      <c r="CX62" t="e">
        <f>AND(ConsolidatedEventList!#REF!,"AAAAAG1vwWU=")</f>
        <v>#REF!</v>
      </c>
      <c r="CY62" t="e">
        <f>AND(ConsolidatedEventList!#REF!,"AAAAAG1vwWY=")</f>
        <v>#REF!</v>
      </c>
      <c r="CZ62" t="e">
        <f>AND(ConsolidatedEventList!#REF!,"AAAAAG1vwWc=")</f>
        <v>#REF!</v>
      </c>
      <c r="DA62" t="e">
        <f>AND(ConsolidatedEventList!#REF!,"AAAAAG1vwWg=")</f>
        <v>#REF!</v>
      </c>
      <c r="DB62" t="e">
        <f>AND(ConsolidatedEventList!#REF!,"AAAAAG1vwWk=")</f>
        <v>#REF!</v>
      </c>
      <c r="DC62" t="e">
        <f>AND(ConsolidatedEventList!#REF!,"AAAAAG1vwWo=")</f>
        <v>#REF!</v>
      </c>
      <c r="DD62" t="e">
        <f>AND(ConsolidatedEventList!#REF!,"AAAAAG1vwWs=")</f>
        <v>#REF!</v>
      </c>
      <c r="DE62" t="e">
        <f>IF(ConsolidatedEventList!#REF!,"AAAAAG1vwWw=",0)</f>
        <v>#REF!</v>
      </c>
      <c r="DF62" t="e">
        <f>AND(ConsolidatedEventList!#REF!,"AAAAAG1vwW0=")</f>
        <v>#REF!</v>
      </c>
      <c r="DG62" t="e">
        <f>AND(ConsolidatedEventList!#REF!,"AAAAAG1vwW4=")</f>
        <v>#REF!</v>
      </c>
      <c r="DH62" t="e">
        <f>AND(ConsolidatedEventList!#REF!,"AAAAAG1vwW8=")</f>
        <v>#REF!</v>
      </c>
      <c r="DI62" t="e">
        <f>AND(ConsolidatedEventList!#REF!,"AAAAAG1vwXA=")</f>
        <v>#REF!</v>
      </c>
      <c r="DJ62" t="e">
        <f>AND(ConsolidatedEventList!#REF!,"AAAAAG1vwXE=")</f>
        <v>#REF!</v>
      </c>
      <c r="DK62" t="e">
        <f>AND(ConsolidatedEventList!#REF!,"AAAAAG1vwXI=")</f>
        <v>#REF!</v>
      </c>
      <c r="DL62" t="e">
        <f>AND(ConsolidatedEventList!#REF!,"AAAAAG1vwXM=")</f>
        <v>#REF!</v>
      </c>
      <c r="DM62" t="e">
        <f>AND(ConsolidatedEventList!#REF!,"AAAAAG1vwXQ=")</f>
        <v>#REF!</v>
      </c>
      <c r="DN62" t="e">
        <f>IF(ConsolidatedEventList!#REF!,"AAAAAG1vwXU=",0)</f>
        <v>#REF!</v>
      </c>
      <c r="DO62" t="e">
        <f>AND(ConsolidatedEventList!#REF!,"AAAAAG1vwXY=")</f>
        <v>#REF!</v>
      </c>
      <c r="DP62" t="e">
        <f>AND(ConsolidatedEventList!#REF!,"AAAAAG1vwXc=")</f>
        <v>#REF!</v>
      </c>
      <c r="DQ62" t="e">
        <f>AND(ConsolidatedEventList!#REF!,"AAAAAG1vwXg=")</f>
        <v>#REF!</v>
      </c>
      <c r="DR62" t="e">
        <f>AND(ConsolidatedEventList!#REF!,"AAAAAG1vwXk=")</f>
        <v>#REF!</v>
      </c>
      <c r="DS62" t="e">
        <f>AND(ConsolidatedEventList!#REF!,"AAAAAG1vwXo=")</f>
        <v>#REF!</v>
      </c>
      <c r="DT62" t="e">
        <f>AND(ConsolidatedEventList!#REF!,"AAAAAG1vwXs=")</f>
        <v>#REF!</v>
      </c>
      <c r="DU62" t="e">
        <f>AND(ConsolidatedEventList!#REF!,"AAAAAG1vwXw=")</f>
        <v>#REF!</v>
      </c>
      <c r="DV62" t="e">
        <f>AND(ConsolidatedEventList!#REF!,"AAAAAG1vwX0=")</f>
        <v>#REF!</v>
      </c>
      <c r="DW62" t="e">
        <f>IF(ConsolidatedEventList!#REF!,"AAAAAG1vwX4=",0)</f>
        <v>#REF!</v>
      </c>
      <c r="DX62" t="e">
        <f>AND(ConsolidatedEventList!#REF!,"AAAAAG1vwX8=")</f>
        <v>#REF!</v>
      </c>
      <c r="DY62" t="e">
        <f>AND(ConsolidatedEventList!#REF!,"AAAAAG1vwYA=")</f>
        <v>#REF!</v>
      </c>
      <c r="DZ62" t="e">
        <f>AND(ConsolidatedEventList!#REF!,"AAAAAG1vwYE=")</f>
        <v>#REF!</v>
      </c>
      <c r="EA62" t="e">
        <f>AND(ConsolidatedEventList!#REF!,"AAAAAG1vwYI=")</f>
        <v>#REF!</v>
      </c>
      <c r="EB62" t="e">
        <f>AND(ConsolidatedEventList!#REF!,"AAAAAG1vwYM=")</f>
        <v>#REF!</v>
      </c>
      <c r="EC62" t="e">
        <f>AND(ConsolidatedEventList!#REF!,"AAAAAG1vwYQ=")</f>
        <v>#REF!</v>
      </c>
      <c r="ED62" t="e">
        <f>AND(ConsolidatedEventList!#REF!,"AAAAAG1vwYU=")</f>
        <v>#REF!</v>
      </c>
      <c r="EE62" t="e">
        <f>AND(ConsolidatedEventList!#REF!,"AAAAAG1vwYY=")</f>
        <v>#REF!</v>
      </c>
      <c r="EF62" t="e">
        <f>IF(ConsolidatedEventList!#REF!,"AAAAAG1vwYc=",0)</f>
        <v>#REF!</v>
      </c>
      <c r="EG62" t="e">
        <f>AND(ConsolidatedEventList!#REF!,"AAAAAG1vwYg=")</f>
        <v>#REF!</v>
      </c>
      <c r="EH62" t="e">
        <f>AND(ConsolidatedEventList!#REF!,"AAAAAG1vwYk=")</f>
        <v>#REF!</v>
      </c>
      <c r="EI62" t="e">
        <f>AND(ConsolidatedEventList!#REF!,"AAAAAG1vwYo=")</f>
        <v>#REF!</v>
      </c>
      <c r="EJ62" t="e">
        <f>AND(ConsolidatedEventList!#REF!,"AAAAAG1vwYs=")</f>
        <v>#REF!</v>
      </c>
      <c r="EK62" t="e">
        <f>AND(ConsolidatedEventList!#REF!,"AAAAAG1vwYw=")</f>
        <v>#REF!</v>
      </c>
      <c r="EL62" t="e">
        <f>AND(ConsolidatedEventList!#REF!,"AAAAAG1vwY0=")</f>
        <v>#REF!</v>
      </c>
      <c r="EM62" t="e">
        <f>AND(ConsolidatedEventList!#REF!,"AAAAAG1vwY4=")</f>
        <v>#REF!</v>
      </c>
      <c r="EN62" t="e">
        <f>AND(ConsolidatedEventList!#REF!,"AAAAAG1vwY8=")</f>
        <v>#REF!</v>
      </c>
      <c r="EO62" t="e">
        <f>IF(ConsolidatedEventList!#REF!,"AAAAAG1vwZA=",0)</f>
        <v>#REF!</v>
      </c>
      <c r="EP62" t="e">
        <f>AND(ConsolidatedEventList!#REF!,"AAAAAG1vwZE=")</f>
        <v>#REF!</v>
      </c>
      <c r="EQ62" t="e">
        <f>AND(ConsolidatedEventList!#REF!,"AAAAAG1vwZI=")</f>
        <v>#REF!</v>
      </c>
      <c r="ER62" t="e">
        <f>AND(ConsolidatedEventList!#REF!,"AAAAAG1vwZM=")</f>
        <v>#REF!</v>
      </c>
      <c r="ES62" t="e">
        <f>AND(ConsolidatedEventList!#REF!,"AAAAAG1vwZQ=")</f>
        <v>#REF!</v>
      </c>
      <c r="ET62" t="e">
        <f>AND(ConsolidatedEventList!#REF!,"AAAAAG1vwZU=")</f>
        <v>#REF!</v>
      </c>
      <c r="EU62" t="e">
        <f>AND(ConsolidatedEventList!#REF!,"AAAAAG1vwZY=")</f>
        <v>#REF!</v>
      </c>
      <c r="EV62" t="e">
        <f>AND(ConsolidatedEventList!#REF!,"AAAAAG1vwZc=")</f>
        <v>#REF!</v>
      </c>
      <c r="EW62" t="e">
        <f>AND(ConsolidatedEventList!#REF!,"AAAAAG1vwZg=")</f>
        <v>#REF!</v>
      </c>
      <c r="EX62" t="e">
        <f>IF(ConsolidatedEventList!#REF!,"AAAAAG1vwZk=",0)</f>
        <v>#REF!</v>
      </c>
      <c r="EY62" t="e">
        <f>AND(ConsolidatedEventList!#REF!,"AAAAAG1vwZo=")</f>
        <v>#REF!</v>
      </c>
      <c r="EZ62" t="e">
        <f>AND(ConsolidatedEventList!#REF!,"AAAAAG1vwZs=")</f>
        <v>#REF!</v>
      </c>
      <c r="FA62" t="e">
        <f>AND(ConsolidatedEventList!#REF!,"AAAAAG1vwZw=")</f>
        <v>#REF!</v>
      </c>
      <c r="FB62" t="e">
        <f>AND(ConsolidatedEventList!#REF!,"AAAAAG1vwZ0=")</f>
        <v>#REF!</v>
      </c>
      <c r="FC62" t="e">
        <f>AND(ConsolidatedEventList!#REF!,"AAAAAG1vwZ4=")</f>
        <v>#REF!</v>
      </c>
      <c r="FD62" t="e">
        <f>AND(ConsolidatedEventList!#REF!,"AAAAAG1vwZ8=")</f>
        <v>#REF!</v>
      </c>
      <c r="FE62" t="e">
        <f>AND(ConsolidatedEventList!#REF!,"AAAAAG1vwaA=")</f>
        <v>#REF!</v>
      </c>
      <c r="FF62" t="e">
        <f>AND(ConsolidatedEventList!#REF!,"AAAAAG1vwaE=")</f>
        <v>#REF!</v>
      </c>
      <c r="FG62" t="e">
        <f>IF(ConsolidatedEventList!#REF!,"AAAAAG1vwaI=",0)</f>
        <v>#REF!</v>
      </c>
      <c r="FH62" t="e">
        <f>AND(ConsolidatedEventList!#REF!,"AAAAAG1vwaM=")</f>
        <v>#REF!</v>
      </c>
      <c r="FI62" t="e">
        <f>AND(ConsolidatedEventList!#REF!,"AAAAAG1vwaQ=")</f>
        <v>#REF!</v>
      </c>
      <c r="FJ62" t="e">
        <f>AND(ConsolidatedEventList!#REF!,"AAAAAG1vwaU=")</f>
        <v>#REF!</v>
      </c>
      <c r="FK62" t="e">
        <f>AND(ConsolidatedEventList!#REF!,"AAAAAG1vwaY=")</f>
        <v>#REF!</v>
      </c>
      <c r="FL62" t="e">
        <f>AND(ConsolidatedEventList!#REF!,"AAAAAG1vwac=")</f>
        <v>#REF!</v>
      </c>
      <c r="FM62" t="e">
        <f>AND(ConsolidatedEventList!#REF!,"AAAAAG1vwag=")</f>
        <v>#REF!</v>
      </c>
      <c r="FN62" t="e">
        <f>AND(ConsolidatedEventList!#REF!,"AAAAAG1vwak=")</f>
        <v>#REF!</v>
      </c>
      <c r="FO62" t="e">
        <f>AND(ConsolidatedEventList!#REF!,"AAAAAG1vwao=")</f>
        <v>#REF!</v>
      </c>
      <c r="FP62" t="e">
        <f>IF(ConsolidatedEventList!#REF!,"AAAAAG1vwas=",0)</f>
        <v>#REF!</v>
      </c>
      <c r="FQ62" t="e">
        <f>AND(ConsolidatedEventList!#REF!,"AAAAAG1vwaw=")</f>
        <v>#REF!</v>
      </c>
      <c r="FR62" t="e">
        <f>AND(ConsolidatedEventList!#REF!,"AAAAAG1vwa0=")</f>
        <v>#REF!</v>
      </c>
      <c r="FS62" t="e">
        <f>AND(ConsolidatedEventList!#REF!,"AAAAAG1vwa4=")</f>
        <v>#REF!</v>
      </c>
      <c r="FT62" t="e">
        <f>AND(ConsolidatedEventList!#REF!,"AAAAAG1vwa8=")</f>
        <v>#REF!</v>
      </c>
      <c r="FU62" t="e">
        <f>AND(ConsolidatedEventList!#REF!,"AAAAAG1vwbA=")</f>
        <v>#REF!</v>
      </c>
      <c r="FV62" t="e">
        <f>AND(ConsolidatedEventList!#REF!,"AAAAAG1vwbE=")</f>
        <v>#REF!</v>
      </c>
      <c r="FW62" t="e">
        <f>AND(ConsolidatedEventList!#REF!,"AAAAAG1vwbI=")</f>
        <v>#REF!</v>
      </c>
      <c r="FX62" t="e">
        <f>AND(ConsolidatedEventList!#REF!,"AAAAAG1vwbM=")</f>
        <v>#REF!</v>
      </c>
      <c r="FY62" t="e">
        <f>IF(ConsolidatedEventList!#REF!,"AAAAAG1vwbQ=",0)</f>
        <v>#REF!</v>
      </c>
      <c r="FZ62" t="e">
        <f>AND(ConsolidatedEventList!#REF!,"AAAAAG1vwbU=")</f>
        <v>#REF!</v>
      </c>
      <c r="GA62" t="e">
        <f>AND(ConsolidatedEventList!#REF!,"AAAAAG1vwbY=")</f>
        <v>#REF!</v>
      </c>
      <c r="GB62" t="e">
        <f>AND(ConsolidatedEventList!#REF!,"AAAAAG1vwbc=")</f>
        <v>#REF!</v>
      </c>
      <c r="GC62" t="e">
        <f>AND(ConsolidatedEventList!#REF!,"AAAAAG1vwbg=")</f>
        <v>#REF!</v>
      </c>
      <c r="GD62" t="e">
        <f>AND(ConsolidatedEventList!#REF!,"AAAAAG1vwbk=")</f>
        <v>#REF!</v>
      </c>
      <c r="GE62" t="e">
        <f>AND(ConsolidatedEventList!#REF!,"AAAAAG1vwbo=")</f>
        <v>#REF!</v>
      </c>
      <c r="GF62" t="e">
        <f>AND(ConsolidatedEventList!#REF!,"AAAAAG1vwbs=")</f>
        <v>#REF!</v>
      </c>
      <c r="GG62" t="e">
        <f>AND(ConsolidatedEventList!#REF!,"AAAAAG1vwbw=")</f>
        <v>#REF!</v>
      </c>
      <c r="GH62" t="e">
        <f>IF(ConsolidatedEventList!#REF!,"AAAAAG1vwb0=",0)</f>
        <v>#REF!</v>
      </c>
      <c r="GI62" t="e">
        <f>AND(ConsolidatedEventList!#REF!,"AAAAAG1vwb4=")</f>
        <v>#REF!</v>
      </c>
      <c r="GJ62" t="e">
        <f>AND(ConsolidatedEventList!#REF!,"AAAAAG1vwb8=")</f>
        <v>#REF!</v>
      </c>
      <c r="GK62" t="e">
        <f>AND(ConsolidatedEventList!#REF!,"AAAAAG1vwcA=")</f>
        <v>#REF!</v>
      </c>
      <c r="GL62" t="e">
        <f>AND(ConsolidatedEventList!#REF!,"AAAAAG1vwcE=")</f>
        <v>#REF!</v>
      </c>
      <c r="GM62" t="e">
        <f>AND(ConsolidatedEventList!#REF!,"AAAAAG1vwcI=")</f>
        <v>#REF!</v>
      </c>
      <c r="GN62" t="e">
        <f>AND(ConsolidatedEventList!#REF!,"AAAAAG1vwcM=")</f>
        <v>#REF!</v>
      </c>
      <c r="GO62" t="e">
        <f>AND(ConsolidatedEventList!#REF!,"AAAAAG1vwcQ=")</f>
        <v>#REF!</v>
      </c>
      <c r="GP62" t="e">
        <f>AND(ConsolidatedEventList!#REF!,"AAAAAG1vwcU=")</f>
        <v>#REF!</v>
      </c>
      <c r="GQ62" t="e">
        <f>IF(ConsolidatedEventList!#REF!,"AAAAAG1vwcY=",0)</f>
        <v>#REF!</v>
      </c>
      <c r="GR62" t="e">
        <f>AND(ConsolidatedEventList!#REF!,"AAAAAG1vwcc=")</f>
        <v>#REF!</v>
      </c>
      <c r="GS62" t="e">
        <f>AND(ConsolidatedEventList!#REF!,"AAAAAG1vwcg=")</f>
        <v>#REF!</v>
      </c>
      <c r="GT62" t="e">
        <f>AND(ConsolidatedEventList!#REF!,"AAAAAG1vwck=")</f>
        <v>#REF!</v>
      </c>
      <c r="GU62" t="e">
        <f>AND(ConsolidatedEventList!#REF!,"AAAAAG1vwco=")</f>
        <v>#REF!</v>
      </c>
      <c r="GV62" t="e">
        <f>AND(ConsolidatedEventList!#REF!,"AAAAAG1vwcs=")</f>
        <v>#REF!</v>
      </c>
      <c r="GW62" t="e">
        <f>AND(ConsolidatedEventList!#REF!,"AAAAAG1vwcw=")</f>
        <v>#REF!</v>
      </c>
      <c r="GX62" t="e">
        <f>AND(ConsolidatedEventList!#REF!,"AAAAAG1vwc0=")</f>
        <v>#REF!</v>
      </c>
      <c r="GY62" t="e">
        <f>AND(ConsolidatedEventList!#REF!,"AAAAAG1vwc4=")</f>
        <v>#REF!</v>
      </c>
      <c r="GZ62" t="e">
        <f>IF(ConsolidatedEventList!#REF!,"AAAAAG1vwc8=",0)</f>
        <v>#REF!</v>
      </c>
      <c r="HA62" t="e">
        <f>AND(ConsolidatedEventList!#REF!,"AAAAAG1vwdA=")</f>
        <v>#REF!</v>
      </c>
      <c r="HB62" t="e">
        <f>AND(ConsolidatedEventList!#REF!,"AAAAAG1vwdE=")</f>
        <v>#REF!</v>
      </c>
      <c r="HC62" t="e">
        <f>AND(ConsolidatedEventList!#REF!,"AAAAAG1vwdI=")</f>
        <v>#REF!</v>
      </c>
      <c r="HD62" t="e">
        <f>AND(ConsolidatedEventList!#REF!,"AAAAAG1vwdM=")</f>
        <v>#REF!</v>
      </c>
      <c r="HE62" t="e">
        <f>AND(ConsolidatedEventList!#REF!,"AAAAAG1vwdQ=")</f>
        <v>#REF!</v>
      </c>
      <c r="HF62" t="e">
        <f>AND(ConsolidatedEventList!#REF!,"AAAAAG1vwdU=")</f>
        <v>#REF!</v>
      </c>
      <c r="HG62" t="e">
        <f>AND(ConsolidatedEventList!#REF!,"AAAAAG1vwdY=")</f>
        <v>#REF!</v>
      </c>
      <c r="HH62" t="e">
        <f>AND(ConsolidatedEventList!#REF!,"AAAAAG1vwdc=")</f>
        <v>#REF!</v>
      </c>
      <c r="HI62" t="e">
        <f>IF(ConsolidatedEventList!#REF!,"AAAAAG1vwdg=",0)</f>
        <v>#REF!</v>
      </c>
      <c r="HJ62" t="e">
        <f>AND(ConsolidatedEventList!#REF!,"AAAAAG1vwdk=")</f>
        <v>#REF!</v>
      </c>
      <c r="HK62" t="e">
        <f>AND(ConsolidatedEventList!#REF!,"AAAAAG1vwdo=")</f>
        <v>#REF!</v>
      </c>
      <c r="HL62" t="e">
        <f>AND(ConsolidatedEventList!#REF!,"AAAAAG1vwds=")</f>
        <v>#REF!</v>
      </c>
      <c r="HM62" t="e">
        <f>AND(ConsolidatedEventList!#REF!,"AAAAAG1vwdw=")</f>
        <v>#REF!</v>
      </c>
      <c r="HN62" t="e">
        <f>AND(ConsolidatedEventList!#REF!,"AAAAAG1vwd0=")</f>
        <v>#REF!</v>
      </c>
      <c r="HO62" t="e">
        <f>AND(ConsolidatedEventList!#REF!,"AAAAAG1vwd4=")</f>
        <v>#REF!</v>
      </c>
      <c r="HP62" t="e">
        <f>AND(ConsolidatedEventList!#REF!,"AAAAAG1vwd8=")</f>
        <v>#REF!</v>
      </c>
      <c r="HQ62" t="e">
        <f>AND(ConsolidatedEventList!#REF!,"AAAAAG1vweA=")</f>
        <v>#REF!</v>
      </c>
      <c r="HR62" t="e">
        <f>IF(ConsolidatedEventList!#REF!,"AAAAAG1vweE=",0)</f>
        <v>#REF!</v>
      </c>
      <c r="HS62" t="e">
        <f>AND(ConsolidatedEventList!#REF!,"AAAAAG1vweI=")</f>
        <v>#REF!</v>
      </c>
      <c r="HT62" t="e">
        <f>AND(ConsolidatedEventList!#REF!,"AAAAAG1vweM=")</f>
        <v>#REF!</v>
      </c>
      <c r="HU62" t="e">
        <f>AND(ConsolidatedEventList!#REF!,"AAAAAG1vweQ=")</f>
        <v>#REF!</v>
      </c>
      <c r="HV62" t="e">
        <f>AND(ConsolidatedEventList!#REF!,"AAAAAG1vweU=")</f>
        <v>#REF!</v>
      </c>
      <c r="HW62" t="e">
        <f>AND(ConsolidatedEventList!#REF!,"AAAAAG1vweY=")</f>
        <v>#REF!</v>
      </c>
      <c r="HX62" t="e">
        <f>AND(ConsolidatedEventList!#REF!,"AAAAAG1vwec=")</f>
        <v>#REF!</v>
      </c>
      <c r="HY62" t="e">
        <f>AND(ConsolidatedEventList!#REF!,"AAAAAG1vweg=")</f>
        <v>#REF!</v>
      </c>
      <c r="HZ62" t="e">
        <f>AND(ConsolidatedEventList!#REF!,"AAAAAG1vwek=")</f>
        <v>#REF!</v>
      </c>
      <c r="IA62" t="e">
        <f>IF(ConsolidatedEventList!#REF!,"AAAAAG1vweo=",0)</f>
        <v>#REF!</v>
      </c>
      <c r="IB62" t="e">
        <f>AND(ConsolidatedEventList!#REF!,"AAAAAG1vwes=")</f>
        <v>#REF!</v>
      </c>
      <c r="IC62" t="e">
        <f>AND(ConsolidatedEventList!#REF!,"AAAAAG1vwew=")</f>
        <v>#REF!</v>
      </c>
      <c r="ID62" t="e">
        <f>AND(ConsolidatedEventList!#REF!,"AAAAAG1vwe0=")</f>
        <v>#REF!</v>
      </c>
      <c r="IE62" t="e">
        <f>AND(ConsolidatedEventList!#REF!,"AAAAAG1vwe4=")</f>
        <v>#REF!</v>
      </c>
      <c r="IF62" t="e">
        <f>AND(ConsolidatedEventList!#REF!,"AAAAAG1vwe8=")</f>
        <v>#REF!</v>
      </c>
      <c r="IG62" t="e">
        <f>AND(ConsolidatedEventList!#REF!,"AAAAAG1vwfA=")</f>
        <v>#REF!</v>
      </c>
      <c r="IH62" t="e">
        <f>AND(ConsolidatedEventList!#REF!,"AAAAAG1vwfE=")</f>
        <v>#REF!</v>
      </c>
      <c r="II62" t="e">
        <f>AND(ConsolidatedEventList!#REF!,"AAAAAG1vwfI=")</f>
        <v>#REF!</v>
      </c>
      <c r="IJ62" t="e">
        <f>IF(ConsolidatedEventList!#REF!,"AAAAAG1vwfM=",0)</f>
        <v>#REF!</v>
      </c>
      <c r="IK62" t="e">
        <f>AND(ConsolidatedEventList!#REF!,"AAAAAG1vwfQ=")</f>
        <v>#REF!</v>
      </c>
      <c r="IL62" t="e">
        <f>AND(ConsolidatedEventList!#REF!,"AAAAAG1vwfU=")</f>
        <v>#REF!</v>
      </c>
      <c r="IM62" t="e">
        <f>AND(ConsolidatedEventList!#REF!,"AAAAAG1vwfY=")</f>
        <v>#REF!</v>
      </c>
      <c r="IN62" t="e">
        <f>AND(ConsolidatedEventList!#REF!,"AAAAAG1vwfc=")</f>
        <v>#REF!</v>
      </c>
      <c r="IO62" t="e">
        <f>AND(ConsolidatedEventList!#REF!,"AAAAAG1vwfg=")</f>
        <v>#REF!</v>
      </c>
      <c r="IP62" t="e">
        <f>AND(ConsolidatedEventList!#REF!,"AAAAAG1vwfk=")</f>
        <v>#REF!</v>
      </c>
      <c r="IQ62" t="e">
        <f>AND(ConsolidatedEventList!#REF!,"AAAAAG1vwfo=")</f>
        <v>#REF!</v>
      </c>
      <c r="IR62" t="e">
        <f>AND(ConsolidatedEventList!#REF!,"AAAAAG1vwfs=")</f>
        <v>#REF!</v>
      </c>
      <c r="IS62" t="e">
        <f>IF(ConsolidatedEventList!#REF!,"AAAAAG1vwfw=",0)</f>
        <v>#REF!</v>
      </c>
      <c r="IT62" t="e">
        <f>AND(ConsolidatedEventList!#REF!,"AAAAAG1vwf0=")</f>
        <v>#REF!</v>
      </c>
      <c r="IU62" t="e">
        <f>AND(ConsolidatedEventList!#REF!,"AAAAAG1vwf4=")</f>
        <v>#REF!</v>
      </c>
      <c r="IV62" t="e">
        <f>AND(ConsolidatedEventList!#REF!,"AAAAAG1vwf8=")</f>
        <v>#REF!</v>
      </c>
    </row>
    <row r="63" spans="1:256" x14ac:dyDescent="0.25">
      <c r="A63" t="e">
        <f>AND(ConsolidatedEventList!#REF!,"AAAAAGf/YwA=")</f>
        <v>#REF!</v>
      </c>
      <c r="B63" t="e">
        <f>AND(ConsolidatedEventList!#REF!,"AAAAAGf/YwE=")</f>
        <v>#REF!</v>
      </c>
      <c r="C63" t="e">
        <f>AND(ConsolidatedEventList!#REF!,"AAAAAGf/YwI=")</f>
        <v>#REF!</v>
      </c>
      <c r="D63" t="e">
        <f>AND(ConsolidatedEventList!#REF!,"AAAAAGf/YwM=")</f>
        <v>#REF!</v>
      </c>
      <c r="E63" t="e">
        <f>AND(ConsolidatedEventList!#REF!,"AAAAAGf/YwQ=")</f>
        <v>#REF!</v>
      </c>
      <c r="F63" t="e">
        <f>IF(ConsolidatedEventList!#REF!,"AAAAAGf/YwU=",0)</f>
        <v>#REF!</v>
      </c>
      <c r="G63" t="e">
        <f>AND(ConsolidatedEventList!#REF!,"AAAAAGf/YwY=")</f>
        <v>#REF!</v>
      </c>
      <c r="H63" t="e">
        <f>AND(ConsolidatedEventList!#REF!,"AAAAAGf/Ywc=")</f>
        <v>#REF!</v>
      </c>
      <c r="I63" t="e">
        <f>AND(ConsolidatedEventList!#REF!,"AAAAAGf/Ywg=")</f>
        <v>#REF!</v>
      </c>
      <c r="J63" t="e">
        <f>AND(ConsolidatedEventList!#REF!,"AAAAAGf/Ywk=")</f>
        <v>#REF!</v>
      </c>
      <c r="K63" t="e">
        <f>AND(ConsolidatedEventList!#REF!,"AAAAAGf/Ywo=")</f>
        <v>#REF!</v>
      </c>
      <c r="L63" t="e">
        <f>AND(ConsolidatedEventList!#REF!,"AAAAAGf/Yws=")</f>
        <v>#REF!</v>
      </c>
      <c r="M63" t="e">
        <f>AND(ConsolidatedEventList!#REF!,"AAAAAGf/Yww=")</f>
        <v>#REF!</v>
      </c>
      <c r="N63" t="e">
        <f>AND(ConsolidatedEventList!#REF!,"AAAAAGf/Yw0=")</f>
        <v>#REF!</v>
      </c>
      <c r="O63" t="e">
        <f>IF(ConsolidatedEventList!#REF!,"AAAAAGf/Yw4=",0)</f>
        <v>#REF!</v>
      </c>
      <c r="P63" t="e">
        <f>AND(ConsolidatedEventList!#REF!,"AAAAAGf/Yw8=")</f>
        <v>#REF!</v>
      </c>
      <c r="Q63" t="e">
        <f>AND(ConsolidatedEventList!#REF!,"AAAAAGf/YxA=")</f>
        <v>#REF!</v>
      </c>
      <c r="R63" t="e">
        <f>AND(ConsolidatedEventList!#REF!,"AAAAAGf/YxE=")</f>
        <v>#REF!</v>
      </c>
      <c r="S63" t="e">
        <f>AND(ConsolidatedEventList!#REF!,"AAAAAGf/YxI=")</f>
        <v>#REF!</v>
      </c>
      <c r="T63" t="e">
        <f>AND(ConsolidatedEventList!#REF!,"AAAAAGf/YxM=")</f>
        <v>#REF!</v>
      </c>
      <c r="U63" t="e">
        <f>AND(ConsolidatedEventList!#REF!,"AAAAAGf/YxQ=")</f>
        <v>#REF!</v>
      </c>
      <c r="V63" t="e">
        <f>AND(ConsolidatedEventList!#REF!,"AAAAAGf/YxU=")</f>
        <v>#REF!</v>
      </c>
      <c r="W63" t="e">
        <f>AND(ConsolidatedEventList!#REF!,"AAAAAGf/YxY=")</f>
        <v>#REF!</v>
      </c>
      <c r="X63" t="e">
        <f>IF(ConsolidatedEventList!#REF!,"AAAAAGf/Yxc=",0)</f>
        <v>#REF!</v>
      </c>
      <c r="Y63" t="e">
        <f>AND(ConsolidatedEventList!#REF!,"AAAAAGf/Yxg=")</f>
        <v>#REF!</v>
      </c>
      <c r="Z63" t="e">
        <f>AND(ConsolidatedEventList!#REF!,"AAAAAGf/Yxk=")</f>
        <v>#REF!</v>
      </c>
      <c r="AA63" t="e">
        <f>AND(ConsolidatedEventList!#REF!,"AAAAAGf/Yxo=")</f>
        <v>#REF!</v>
      </c>
      <c r="AB63" t="e">
        <f>AND(ConsolidatedEventList!#REF!,"AAAAAGf/Yxs=")</f>
        <v>#REF!</v>
      </c>
      <c r="AC63" t="e">
        <f>AND(ConsolidatedEventList!#REF!,"AAAAAGf/Yxw=")</f>
        <v>#REF!</v>
      </c>
      <c r="AD63" t="e">
        <f>AND(ConsolidatedEventList!#REF!,"AAAAAGf/Yx0=")</f>
        <v>#REF!</v>
      </c>
      <c r="AE63" t="e">
        <f>AND(ConsolidatedEventList!#REF!,"AAAAAGf/Yx4=")</f>
        <v>#REF!</v>
      </c>
      <c r="AF63" t="e">
        <f>AND(ConsolidatedEventList!#REF!,"AAAAAGf/Yx8=")</f>
        <v>#REF!</v>
      </c>
      <c r="AG63" t="e">
        <f>IF(ConsolidatedEventList!#REF!,"AAAAAGf/YyA=",0)</f>
        <v>#REF!</v>
      </c>
      <c r="AH63" t="e">
        <f>AND(ConsolidatedEventList!#REF!,"AAAAAGf/YyE=")</f>
        <v>#REF!</v>
      </c>
      <c r="AI63" t="e">
        <f>AND(ConsolidatedEventList!#REF!,"AAAAAGf/YyI=")</f>
        <v>#REF!</v>
      </c>
      <c r="AJ63" t="e">
        <f>AND(ConsolidatedEventList!#REF!,"AAAAAGf/YyM=")</f>
        <v>#REF!</v>
      </c>
      <c r="AK63" t="e">
        <f>AND(ConsolidatedEventList!#REF!,"AAAAAGf/YyQ=")</f>
        <v>#REF!</v>
      </c>
      <c r="AL63" t="e">
        <f>AND(ConsolidatedEventList!#REF!,"AAAAAGf/YyU=")</f>
        <v>#REF!</v>
      </c>
      <c r="AM63" t="e">
        <f>AND(ConsolidatedEventList!#REF!,"AAAAAGf/YyY=")</f>
        <v>#REF!</v>
      </c>
      <c r="AN63" t="e">
        <f>AND(ConsolidatedEventList!#REF!,"AAAAAGf/Yyc=")</f>
        <v>#REF!</v>
      </c>
      <c r="AO63" t="e">
        <f>AND(ConsolidatedEventList!#REF!,"AAAAAGf/Yyg=")</f>
        <v>#REF!</v>
      </c>
      <c r="AP63" t="e">
        <f>IF(ConsolidatedEventList!#REF!,"AAAAAGf/Yyk=",0)</f>
        <v>#REF!</v>
      </c>
      <c r="AQ63" t="e">
        <f>AND(ConsolidatedEventList!#REF!,"AAAAAGf/Yyo=")</f>
        <v>#REF!</v>
      </c>
      <c r="AR63" t="e">
        <f>AND(ConsolidatedEventList!#REF!,"AAAAAGf/Yys=")</f>
        <v>#REF!</v>
      </c>
      <c r="AS63" t="e">
        <f>AND(ConsolidatedEventList!#REF!,"AAAAAGf/Yyw=")</f>
        <v>#REF!</v>
      </c>
      <c r="AT63" t="e">
        <f>AND(ConsolidatedEventList!#REF!,"AAAAAGf/Yy0=")</f>
        <v>#REF!</v>
      </c>
      <c r="AU63" t="e">
        <f>AND(ConsolidatedEventList!#REF!,"AAAAAGf/Yy4=")</f>
        <v>#REF!</v>
      </c>
      <c r="AV63" t="e">
        <f>AND(ConsolidatedEventList!#REF!,"AAAAAGf/Yy8=")</f>
        <v>#REF!</v>
      </c>
      <c r="AW63" t="e">
        <f>AND(ConsolidatedEventList!#REF!,"AAAAAGf/YzA=")</f>
        <v>#REF!</v>
      </c>
      <c r="AX63" t="e">
        <f>AND(ConsolidatedEventList!#REF!,"AAAAAGf/YzE=")</f>
        <v>#REF!</v>
      </c>
      <c r="AY63" t="e">
        <f>IF(ConsolidatedEventList!#REF!,"AAAAAGf/YzI=",0)</f>
        <v>#REF!</v>
      </c>
      <c r="AZ63" t="e">
        <f>AND(ConsolidatedEventList!#REF!,"AAAAAGf/YzM=")</f>
        <v>#REF!</v>
      </c>
      <c r="BA63" t="e">
        <f>AND(ConsolidatedEventList!#REF!,"AAAAAGf/YzQ=")</f>
        <v>#REF!</v>
      </c>
      <c r="BB63" t="e">
        <f>AND(ConsolidatedEventList!#REF!,"AAAAAGf/YzU=")</f>
        <v>#REF!</v>
      </c>
      <c r="BC63" t="e">
        <f>AND(ConsolidatedEventList!#REF!,"AAAAAGf/YzY=")</f>
        <v>#REF!</v>
      </c>
      <c r="BD63" t="e">
        <f>AND(ConsolidatedEventList!#REF!,"AAAAAGf/Yzc=")</f>
        <v>#REF!</v>
      </c>
      <c r="BE63" t="e">
        <f>AND(ConsolidatedEventList!#REF!,"AAAAAGf/Yzg=")</f>
        <v>#REF!</v>
      </c>
      <c r="BF63" t="e">
        <f>AND(ConsolidatedEventList!#REF!,"AAAAAGf/Yzk=")</f>
        <v>#REF!</v>
      </c>
      <c r="BG63" t="e">
        <f>AND(ConsolidatedEventList!#REF!,"AAAAAGf/Yzo=")</f>
        <v>#REF!</v>
      </c>
      <c r="BH63" t="e">
        <f>IF(ConsolidatedEventList!#REF!,"AAAAAGf/Yzs=",0)</f>
        <v>#REF!</v>
      </c>
      <c r="BI63" t="e">
        <f>AND(ConsolidatedEventList!#REF!,"AAAAAGf/Yzw=")</f>
        <v>#REF!</v>
      </c>
      <c r="BJ63" t="e">
        <f>AND(ConsolidatedEventList!#REF!,"AAAAAGf/Yz0=")</f>
        <v>#REF!</v>
      </c>
      <c r="BK63" t="e">
        <f>AND(ConsolidatedEventList!#REF!,"AAAAAGf/Yz4=")</f>
        <v>#REF!</v>
      </c>
      <c r="BL63" t="e">
        <f>AND(ConsolidatedEventList!#REF!,"AAAAAGf/Yz8=")</f>
        <v>#REF!</v>
      </c>
      <c r="BM63" t="e">
        <f>AND(ConsolidatedEventList!#REF!,"AAAAAGf/Y0A=")</f>
        <v>#REF!</v>
      </c>
      <c r="BN63" t="e">
        <f>AND(ConsolidatedEventList!#REF!,"AAAAAGf/Y0E=")</f>
        <v>#REF!</v>
      </c>
      <c r="BO63" t="e">
        <f>AND(ConsolidatedEventList!#REF!,"AAAAAGf/Y0I=")</f>
        <v>#REF!</v>
      </c>
      <c r="BP63" t="e">
        <f>AND(ConsolidatedEventList!#REF!,"AAAAAGf/Y0M=")</f>
        <v>#REF!</v>
      </c>
      <c r="BQ63" t="e">
        <f>IF(ConsolidatedEventList!#REF!,"AAAAAGf/Y0Q=",0)</f>
        <v>#REF!</v>
      </c>
      <c r="BR63" t="e">
        <f>AND(ConsolidatedEventList!#REF!,"AAAAAGf/Y0U=")</f>
        <v>#REF!</v>
      </c>
      <c r="BS63" t="e">
        <f>AND(ConsolidatedEventList!#REF!,"AAAAAGf/Y0Y=")</f>
        <v>#REF!</v>
      </c>
      <c r="BT63" t="e">
        <f>AND(ConsolidatedEventList!#REF!,"AAAAAGf/Y0c=")</f>
        <v>#REF!</v>
      </c>
      <c r="BU63" t="e">
        <f>AND(ConsolidatedEventList!#REF!,"AAAAAGf/Y0g=")</f>
        <v>#REF!</v>
      </c>
      <c r="BV63" t="e">
        <f>AND(ConsolidatedEventList!#REF!,"AAAAAGf/Y0k=")</f>
        <v>#REF!</v>
      </c>
      <c r="BW63" t="e">
        <f>AND(ConsolidatedEventList!#REF!,"AAAAAGf/Y0o=")</f>
        <v>#REF!</v>
      </c>
      <c r="BX63" t="e">
        <f>AND(ConsolidatedEventList!#REF!,"AAAAAGf/Y0s=")</f>
        <v>#REF!</v>
      </c>
      <c r="BY63" t="e">
        <f>AND(ConsolidatedEventList!#REF!,"AAAAAGf/Y0w=")</f>
        <v>#REF!</v>
      </c>
      <c r="BZ63" t="e">
        <f>IF(ConsolidatedEventList!#REF!,"AAAAAGf/Y00=",0)</f>
        <v>#REF!</v>
      </c>
      <c r="CA63" t="e">
        <f>AND(ConsolidatedEventList!#REF!,"AAAAAGf/Y04=")</f>
        <v>#REF!</v>
      </c>
      <c r="CB63" t="e">
        <f>AND(ConsolidatedEventList!#REF!,"AAAAAGf/Y08=")</f>
        <v>#REF!</v>
      </c>
      <c r="CC63" t="e">
        <f>AND(ConsolidatedEventList!#REF!,"AAAAAGf/Y1A=")</f>
        <v>#REF!</v>
      </c>
      <c r="CD63" t="e">
        <f>AND(ConsolidatedEventList!#REF!,"AAAAAGf/Y1E=")</f>
        <v>#REF!</v>
      </c>
      <c r="CE63" t="e">
        <f>AND(ConsolidatedEventList!#REF!,"AAAAAGf/Y1I=")</f>
        <v>#REF!</v>
      </c>
      <c r="CF63" t="e">
        <f>AND(ConsolidatedEventList!#REF!,"AAAAAGf/Y1M=")</f>
        <v>#REF!</v>
      </c>
      <c r="CG63" t="e">
        <f>AND(ConsolidatedEventList!#REF!,"AAAAAGf/Y1Q=")</f>
        <v>#REF!</v>
      </c>
      <c r="CH63" t="e">
        <f>AND(ConsolidatedEventList!#REF!,"AAAAAGf/Y1U=")</f>
        <v>#REF!</v>
      </c>
      <c r="CI63" t="e">
        <f>IF(ConsolidatedEventList!#REF!,"AAAAAGf/Y1Y=",0)</f>
        <v>#REF!</v>
      </c>
      <c r="CJ63" t="e">
        <f>AND(ConsolidatedEventList!#REF!,"AAAAAGf/Y1c=")</f>
        <v>#REF!</v>
      </c>
      <c r="CK63" t="e">
        <f>AND(ConsolidatedEventList!#REF!,"AAAAAGf/Y1g=")</f>
        <v>#REF!</v>
      </c>
      <c r="CL63" t="e">
        <f>AND(ConsolidatedEventList!#REF!,"AAAAAGf/Y1k=")</f>
        <v>#REF!</v>
      </c>
      <c r="CM63" t="e">
        <f>AND(ConsolidatedEventList!#REF!,"AAAAAGf/Y1o=")</f>
        <v>#REF!</v>
      </c>
      <c r="CN63" t="e">
        <f>AND(ConsolidatedEventList!#REF!,"AAAAAGf/Y1s=")</f>
        <v>#REF!</v>
      </c>
      <c r="CO63" t="e">
        <f>AND(ConsolidatedEventList!#REF!,"AAAAAGf/Y1w=")</f>
        <v>#REF!</v>
      </c>
      <c r="CP63" t="e">
        <f>AND(ConsolidatedEventList!#REF!,"AAAAAGf/Y10=")</f>
        <v>#REF!</v>
      </c>
      <c r="CQ63" t="e">
        <f>AND(ConsolidatedEventList!#REF!,"AAAAAGf/Y14=")</f>
        <v>#REF!</v>
      </c>
      <c r="CR63" t="e">
        <f>IF(ConsolidatedEventList!#REF!,"AAAAAGf/Y18=",0)</f>
        <v>#REF!</v>
      </c>
      <c r="CS63" t="e">
        <f>AND(ConsolidatedEventList!#REF!,"AAAAAGf/Y2A=")</f>
        <v>#REF!</v>
      </c>
      <c r="CT63" t="e">
        <f>AND(ConsolidatedEventList!#REF!,"AAAAAGf/Y2E=")</f>
        <v>#REF!</v>
      </c>
      <c r="CU63" t="e">
        <f>AND(ConsolidatedEventList!#REF!,"AAAAAGf/Y2I=")</f>
        <v>#REF!</v>
      </c>
      <c r="CV63" t="e">
        <f>AND(ConsolidatedEventList!#REF!,"AAAAAGf/Y2M=")</f>
        <v>#REF!</v>
      </c>
      <c r="CW63" t="e">
        <f>AND(ConsolidatedEventList!#REF!,"AAAAAGf/Y2Q=")</f>
        <v>#REF!</v>
      </c>
      <c r="CX63" t="e">
        <f>AND(ConsolidatedEventList!#REF!,"AAAAAGf/Y2U=")</f>
        <v>#REF!</v>
      </c>
      <c r="CY63" t="e">
        <f>AND(ConsolidatedEventList!#REF!,"AAAAAGf/Y2Y=")</f>
        <v>#REF!</v>
      </c>
      <c r="CZ63" t="e">
        <f>AND(ConsolidatedEventList!#REF!,"AAAAAGf/Y2c=")</f>
        <v>#REF!</v>
      </c>
      <c r="DA63" t="e">
        <f>IF(ConsolidatedEventList!#REF!,"AAAAAGf/Y2g=",0)</f>
        <v>#REF!</v>
      </c>
      <c r="DB63" t="e">
        <f>AND(ConsolidatedEventList!#REF!,"AAAAAGf/Y2k=")</f>
        <v>#REF!</v>
      </c>
      <c r="DC63" t="e">
        <f>AND(ConsolidatedEventList!#REF!,"AAAAAGf/Y2o=")</f>
        <v>#REF!</v>
      </c>
      <c r="DD63" t="e">
        <f>AND(ConsolidatedEventList!#REF!,"AAAAAGf/Y2s=")</f>
        <v>#REF!</v>
      </c>
      <c r="DE63" t="e">
        <f>AND(ConsolidatedEventList!#REF!,"AAAAAGf/Y2w=")</f>
        <v>#REF!</v>
      </c>
      <c r="DF63" t="e">
        <f>AND(ConsolidatedEventList!#REF!,"AAAAAGf/Y20=")</f>
        <v>#REF!</v>
      </c>
      <c r="DG63" t="e">
        <f>AND(ConsolidatedEventList!#REF!,"AAAAAGf/Y24=")</f>
        <v>#REF!</v>
      </c>
      <c r="DH63" t="e">
        <f>AND(ConsolidatedEventList!#REF!,"AAAAAGf/Y28=")</f>
        <v>#REF!</v>
      </c>
      <c r="DI63" t="e">
        <f>AND(ConsolidatedEventList!#REF!,"AAAAAGf/Y3A=")</f>
        <v>#REF!</v>
      </c>
      <c r="DJ63" t="e">
        <f>IF(ConsolidatedEventList!#REF!,"AAAAAGf/Y3E=",0)</f>
        <v>#REF!</v>
      </c>
      <c r="DK63" t="e">
        <f>AND(ConsolidatedEventList!#REF!,"AAAAAGf/Y3I=")</f>
        <v>#REF!</v>
      </c>
      <c r="DL63" t="e">
        <f>AND(ConsolidatedEventList!#REF!,"AAAAAGf/Y3M=")</f>
        <v>#REF!</v>
      </c>
      <c r="DM63" t="e">
        <f>AND(ConsolidatedEventList!#REF!,"AAAAAGf/Y3Q=")</f>
        <v>#REF!</v>
      </c>
      <c r="DN63" t="e">
        <f>AND(ConsolidatedEventList!#REF!,"AAAAAGf/Y3U=")</f>
        <v>#REF!</v>
      </c>
      <c r="DO63" t="e">
        <f>AND(ConsolidatedEventList!#REF!,"AAAAAGf/Y3Y=")</f>
        <v>#REF!</v>
      </c>
      <c r="DP63" t="e">
        <f>AND(ConsolidatedEventList!#REF!,"AAAAAGf/Y3c=")</f>
        <v>#REF!</v>
      </c>
      <c r="DQ63" t="e">
        <f>AND(ConsolidatedEventList!#REF!,"AAAAAGf/Y3g=")</f>
        <v>#REF!</v>
      </c>
      <c r="DR63" t="e">
        <f>AND(ConsolidatedEventList!#REF!,"AAAAAGf/Y3k=")</f>
        <v>#REF!</v>
      </c>
      <c r="DS63" t="e">
        <f>IF(ConsolidatedEventList!#REF!,"AAAAAGf/Y3o=",0)</f>
        <v>#REF!</v>
      </c>
      <c r="DT63" t="e">
        <f>AND(ConsolidatedEventList!#REF!,"AAAAAGf/Y3s=")</f>
        <v>#REF!</v>
      </c>
      <c r="DU63" t="e">
        <f>AND(ConsolidatedEventList!#REF!,"AAAAAGf/Y3w=")</f>
        <v>#REF!</v>
      </c>
      <c r="DV63" t="e">
        <f>AND(ConsolidatedEventList!#REF!,"AAAAAGf/Y30=")</f>
        <v>#REF!</v>
      </c>
      <c r="DW63" t="e">
        <f>AND(ConsolidatedEventList!#REF!,"AAAAAGf/Y34=")</f>
        <v>#REF!</v>
      </c>
      <c r="DX63" t="e">
        <f>AND(ConsolidatedEventList!#REF!,"AAAAAGf/Y38=")</f>
        <v>#REF!</v>
      </c>
      <c r="DY63" t="e">
        <f>AND(ConsolidatedEventList!#REF!,"AAAAAGf/Y4A=")</f>
        <v>#REF!</v>
      </c>
      <c r="DZ63" t="e">
        <f>AND(ConsolidatedEventList!#REF!,"AAAAAGf/Y4E=")</f>
        <v>#REF!</v>
      </c>
      <c r="EA63" t="e">
        <f>AND(ConsolidatedEventList!#REF!,"AAAAAGf/Y4I=")</f>
        <v>#REF!</v>
      </c>
      <c r="EB63" t="e">
        <f>IF(ConsolidatedEventList!#REF!,"AAAAAGf/Y4M=",0)</f>
        <v>#REF!</v>
      </c>
      <c r="EC63" t="e">
        <f>AND(ConsolidatedEventList!#REF!,"AAAAAGf/Y4Q=")</f>
        <v>#REF!</v>
      </c>
      <c r="ED63" t="e">
        <f>AND(ConsolidatedEventList!#REF!,"AAAAAGf/Y4U=")</f>
        <v>#REF!</v>
      </c>
      <c r="EE63" t="e">
        <f>AND(ConsolidatedEventList!#REF!,"AAAAAGf/Y4Y=")</f>
        <v>#REF!</v>
      </c>
      <c r="EF63" t="e">
        <f>AND(ConsolidatedEventList!#REF!,"AAAAAGf/Y4c=")</f>
        <v>#REF!</v>
      </c>
      <c r="EG63" t="e">
        <f>AND(ConsolidatedEventList!#REF!,"AAAAAGf/Y4g=")</f>
        <v>#REF!</v>
      </c>
      <c r="EH63" t="e">
        <f>AND(ConsolidatedEventList!#REF!,"AAAAAGf/Y4k=")</f>
        <v>#REF!</v>
      </c>
      <c r="EI63" t="e">
        <f>AND(ConsolidatedEventList!#REF!,"AAAAAGf/Y4o=")</f>
        <v>#REF!</v>
      </c>
      <c r="EJ63" t="e">
        <f>AND(ConsolidatedEventList!#REF!,"AAAAAGf/Y4s=")</f>
        <v>#REF!</v>
      </c>
      <c r="EK63" t="e">
        <f>IF(ConsolidatedEventList!#REF!,"AAAAAGf/Y4w=",0)</f>
        <v>#REF!</v>
      </c>
      <c r="EL63" t="e">
        <f>AND(ConsolidatedEventList!#REF!,"AAAAAGf/Y40=")</f>
        <v>#REF!</v>
      </c>
      <c r="EM63" t="e">
        <f>AND(ConsolidatedEventList!#REF!,"AAAAAGf/Y44=")</f>
        <v>#REF!</v>
      </c>
      <c r="EN63" t="e">
        <f>AND(ConsolidatedEventList!#REF!,"AAAAAGf/Y48=")</f>
        <v>#REF!</v>
      </c>
      <c r="EO63" t="e">
        <f>AND(ConsolidatedEventList!#REF!,"AAAAAGf/Y5A=")</f>
        <v>#REF!</v>
      </c>
      <c r="EP63" t="e">
        <f>AND(ConsolidatedEventList!#REF!,"AAAAAGf/Y5E=")</f>
        <v>#REF!</v>
      </c>
      <c r="EQ63" t="e">
        <f>AND(ConsolidatedEventList!#REF!,"AAAAAGf/Y5I=")</f>
        <v>#REF!</v>
      </c>
      <c r="ER63" t="e">
        <f>AND(ConsolidatedEventList!#REF!,"AAAAAGf/Y5M=")</f>
        <v>#REF!</v>
      </c>
      <c r="ES63" t="e">
        <f>AND(ConsolidatedEventList!#REF!,"AAAAAGf/Y5Q=")</f>
        <v>#REF!</v>
      </c>
      <c r="ET63" t="e">
        <f>IF(ConsolidatedEventList!#REF!,"AAAAAGf/Y5U=",0)</f>
        <v>#REF!</v>
      </c>
      <c r="EU63" t="e">
        <f>AND(ConsolidatedEventList!#REF!,"AAAAAGf/Y5Y=")</f>
        <v>#REF!</v>
      </c>
      <c r="EV63" t="e">
        <f>AND(ConsolidatedEventList!#REF!,"AAAAAGf/Y5c=")</f>
        <v>#REF!</v>
      </c>
      <c r="EW63" t="e">
        <f>AND(ConsolidatedEventList!#REF!,"AAAAAGf/Y5g=")</f>
        <v>#REF!</v>
      </c>
      <c r="EX63" t="e">
        <f>AND(ConsolidatedEventList!#REF!,"AAAAAGf/Y5k=")</f>
        <v>#REF!</v>
      </c>
      <c r="EY63" t="e">
        <f>AND(ConsolidatedEventList!#REF!,"AAAAAGf/Y5o=")</f>
        <v>#REF!</v>
      </c>
      <c r="EZ63" t="e">
        <f>AND(ConsolidatedEventList!#REF!,"AAAAAGf/Y5s=")</f>
        <v>#REF!</v>
      </c>
      <c r="FA63" t="e">
        <f>AND(ConsolidatedEventList!#REF!,"AAAAAGf/Y5w=")</f>
        <v>#REF!</v>
      </c>
      <c r="FB63" t="e">
        <f>AND(ConsolidatedEventList!#REF!,"AAAAAGf/Y50=")</f>
        <v>#REF!</v>
      </c>
      <c r="FC63" t="e">
        <f>IF(ConsolidatedEventList!#REF!,"AAAAAGf/Y54=",0)</f>
        <v>#REF!</v>
      </c>
      <c r="FD63" t="e">
        <f>AND(ConsolidatedEventList!#REF!,"AAAAAGf/Y58=")</f>
        <v>#REF!</v>
      </c>
      <c r="FE63" t="e">
        <f>AND(ConsolidatedEventList!#REF!,"AAAAAGf/Y6A=")</f>
        <v>#REF!</v>
      </c>
      <c r="FF63" t="e">
        <f>AND(ConsolidatedEventList!#REF!,"AAAAAGf/Y6E=")</f>
        <v>#REF!</v>
      </c>
      <c r="FG63" t="e">
        <f>AND(ConsolidatedEventList!#REF!,"AAAAAGf/Y6I=")</f>
        <v>#REF!</v>
      </c>
      <c r="FH63" t="e">
        <f>AND(ConsolidatedEventList!#REF!,"AAAAAGf/Y6M=")</f>
        <v>#REF!</v>
      </c>
      <c r="FI63" t="e">
        <f>AND(ConsolidatedEventList!#REF!,"AAAAAGf/Y6Q=")</f>
        <v>#REF!</v>
      </c>
      <c r="FJ63" t="e">
        <f>AND(ConsolidatedEventList!#REF!,"AAAAAGf/Y6U=")</f>
        <v>#REF!</v>
      </c>
      <c r="FK63" t="e">
        <f>AND(ConsolidatedEventList!#REF!,"AAAAAGf/Y6Y=")</f>
        <v>#REF!</v>
      </c>
      <c r="FL63" t="e">
        <f>IF(ConsolidatedEventList!#REF!,"AAAAAGf/Y6c=",0)</f>
        <v>#REF!</v>
      </c>
      <c r="FM63" t="e">
        <f>AND(ConsolidatedEventList!#REF!,"AAAAAGf/Y6g=")</f>
        <v>#REF!</v>
      </c>
      <c r="FN63" t="e">
        <f>AND(ConsolidatedEventList!#REF!,"AAAAAGf/Y6k=")</f>
        <v>#REF!</v>
      </c>
      <c r="FO63" t="e">
        <f>AND(ConsolidatedEventList!#REF!,"AAAAAGf/Y6o=")</f>
        <v>#REF!</v>
      </c>
      <c r="FP63" t="e">
        <f>AND(ConsolidatedEventList!#REF!,"AAAAAGf/Y6s=")</f>
        <v>#REF!</v>
      </c>
      <c r="FQ63" t="e">
        <f>AND(ConsolidatedEventList!#REF!,"AAAAAGf/Y6w=")</f>
        <v>#REF!</v>
      </c>
      <c r="FR63" t="e">
        <f>AND(ConsolidatedEventList!#REF!,"AAAAAGf/Y60=")</f>
        <v>#REF!</v>
      </c>
      <c r="FS63" t="e">
        <f>AND(ConsolidatedEventList!#REF!,"AAAAAGf/Y64=")</f>
        <v>#REF!</v>
      </c>
      <c r="FT63" t="e">
        <f>AND(ConsolidatedEventList!#REF!,"AAAAAGf/Y68=")</f>
        <v>#REF!</v>
      </c>
      <c r="FU63" t="e">
        <f>IF(ConsolidatedEventList!#REF!,"AAAAAGf/Y7A=",0)</f>
        <v>#REF!</v>
      </c>
      <c r="FV63" t="e">
        <f>AND(ConsolidatedEventList!#REF!,"AAAAAGf/Y7E=")</f>
        <v>#REF!</v>
      </c>
      <c r="FW63" t="e">
        <f>AND(ConsolidatedEventList!#REF!,"AAAAAGf/Y7I=")</f>
        <v>#REF!</v>
      </c>
      <c r="FX63" t="e">
        <f>AND(ConsolidatedEventList!#REF!,"AAAAAGf/Y7M=")</f>
        <v>#REF!</v>
      </c>
      <c r="FY63" t="e">
        <f>AND(ConsolidatedEventList!#REF!,"AAAAAGf/Y7Q=")</f>
        <v>#REF!</v>
      </c>
      <c r="FZ63" t="e">
        <f>AND(ConsolidatedEventList!#REF!,"AAAAAGf/Y7U=")</f>
        <v>#REF!</v>
      </c>
      <c r="GA63" t="e">
        <f>AND(ConsolidatedEventList!#REF!,"AAAAAGf/Y7Y=")</f>
        <v>#REF!</v>
      </c>
      <c r="GB63" t="e">
        <f>AND(ConsolidatedEventList!#REF!,"AAAAAGf/Y7c=")</f>
        <v>#REF!</v>
      </c>
      <c r="GC63" t="e">
        <f>AND(ConsolidatedEventList!#REF!,"AAAAAGf/Y7g=")</f>
        <v>#REF!</v>
      </c>
      <c r="GD63" t="e">
        <f>IF(ConsolidatedEventList!#REF!,"AAAAAGf/Y7k=",0)</f>
        <v>#REF!</v>
      </c>
      <c r="GE63" t="e">
        <f>AND(ConsolidatedEventList!#REF!,"AAAAAGf/Y7o=")</f>
        <v>#REF!</v>
      </c>
      <c r="GF63" t="e">
        <f>AND(ConsolidatedEventList!#REF!,"AAAAAGf/Y7s=")</f>
        <v>#REF!</v>
      </c>
      <c r="GG63" t="e">
        <f>AND(ConsolidatedEventList!#REF!,"AAAAAGf/Y7w=")</f>
        <v>#REF!</v>
      </c>
      <c r="GH63" t="e">
        <f>AND(ConsolidatedEventList!#REF!,"AAAAAGf/Y70=")</f>
        <v>#REF!</v>
      </c>
      <c r="GI63" t="e">
        <f>AND(ConsolidatedEventList!#REF!,"AAAAAGf/Y74=")</f>
        <v>#REF!</v>
      </c>
      <c r="GJ63" t="e">
        <f>AND(ConsolidatedEventList!#REF!,"AAAAAGf/Y78=")</f>
        <v>#REF!</v>
      </c>
      <c r="GK63" t="e">
        <f>AND(ConsolidatedEventList!#REF!,"AAAAAGf/Y8A=")</f>
        <v>#REF!</v>
      </c>
      <c r="GL63" t="e">
        <f>AND(ConsolidatedEventList!#REF!,"AAAAAGf/Y8E=")</f>
        <v>#REF!</v>
      </c>
      <c r="GM63" t="e">
        <f>IF(ConsolidatedEventList!#REF!,"AAAAAGf/Y8I=",0)</f>
        <v>#REF!</v>
      </c>
      <c r="GN63" t="e">
        <f>AND(ConsolidatedEventList!#REF!,"AAAAAGf/Y8M=")</f>
        <v>#REF!</v>
      </c>
      <c r="GO63" t="e">
        <f>AND(ConsolidatedEventList!#REF!,"AAAAAGf/Y8Q=")</f>
        <v>#REF!</v>
      </c>
      <c r="GP63" t="e">
        <f>AND(ConsolidatedEventList!#REF!,"AAAAAGf/Y8U=")</f>
        <v>#REF!</v>
      </c>
      <c r="GQ63" t="e">
        <f>AND(ConsolidatedEventList!#REF!,"AAAAAGf/Y8Y=")</f>
        <v>#REF!</v>
      </c>
      <c r="GR63" t="e">
        <f>AND(ConsolidatedEventList!#REF!,"AAAAAGf/Y8c=")</f>
        <v>#REF!</v>
      </c>
      <c r="GS63" t="e">
        <f>AND(ConsolidatedEventList!#REF!,"AAAAAGf/Y8g=")</f>
        <v>#REF!</v>
      </c>
      <c r="GT63" t="e">
        <f>AND(ConsolidatedEventList!#REF!,"AAAAAGf/Y8k=")</f>
        <v>#REF!</v>
      </c>
      <c r="GU63" t="e">
        <f>AND(ConsolidatedEventList!#REF!,"AAAAAGf/Y8o=")</f>
        <v>#REF!</v>
      </c>
      <c r="GV63" t="e">
        <f>IF(ConsolidatedEventList!#REF!,"AAAAAGf/Y8s=",0)</f>
        <v>#REF!</v>
      </c>
      <c r="GW63" t="e">
        <f>AND(ConsolidatedEventList!#REF!,"AAAAAGf/Y8w=")</f>
        <v>#REF!</v>
      </c>
      <c r="GX63" t="e">
        <f>AND(ConsolidatedEventList!#REF!,"AAAAAGf/Y80=")</f>
        <v>#REF!</v>
      </c>
      <c r="GY63" t="e">
        <f>AND(ConsolidatedEventList!#REF!,"AAAAAGf/Y84=")</f>
        <v>#REF!</v>
      </c>
      <c r="GZ63" t="e">
        <f>AND(ConsolidatedEventList!#REF!,"AAAAAGf/Y88=")</f>
        <v>#REF!</v>
      </c>
      <c r="HA63" t="e">
        <f>AND(ConsolidatedEventList!#REF!,"AAAAAGf/Y9A=")</f>
        <v>#REF!</v>
      </c>
      <c r="HB63" t="e">
        <f>AND(ConsolidatedEventList!#REF!,"AAAAAGf/Y9E=")</f>
        <v>#REF!</v>
      </c>
      <c r="HC63" t="e">
        <f>AND(ConsolidatedEventList!#REF!,"AAAAAGf/Y9I=")</f>
        <v>#REF!</v>
      </c>
      <c r="HD63" t="e">
        <f>AND(ConsolidatedEventList!#REF!,"AAAAAGf/Y9M=")</f>
        <v>#REF!</v>
      </c>
      <c r="HE63" t="e">
        <f>IF(ConsolidatedEventList!#REF!,"AAAAAGf/Y9Q=",0)</f>
        <v>#REF!</v>
      </c>
      <c r="HF63" t="e">
        <f>AND(ConsolidatedEventList!#REF!,"AAAAAGf/Y9U=")</f>
        <v>#REF!</v>
      </c>
      <c r="HG63" t="e">
        <f>AND(ConsolidatedEventList!#REF!,"AAAAAGf/Y9Y=")</f>
        <v>#REF!</v>
      </c>
      <c r="HH63" t="e">
        <f>AND(ConsolidatedEventList!#REF!,"AAAAAGf/Y9c=")</f>
        <v>#REF!</v>
      </c>
      <c r="HI63" t="e">
        <f>AND(ConsolidatedEventList!#REF!,"AAAAAGf/Y9g=")</f>
        <v>#REF!</v>
      </c>
      <c r="HJ63" t="e">
        <f>AND(ConsolidatedEventList!#REF!,"AAAAAGf/Y9k=")</f>
        <v>#REF!</v>
      </c>
      <c r="HK63" t="e">
        <f>AND(ConsolidatedEventList!#REF!,"AAAAAGf/Y9o=")</f>
        <v>#REF!</v>
      </c>
      <c r="HL63" t="e">
        <f>AND(ConsolidatedEventList!#REF!,"AAAAAGf/Y9s=")</f>
        <v>#REF!</v>
      </c>
      <c r="HM63" t="e">
        <f>AND(ConsolidatedEventList!#REF!,"AAAAAGf/Y9w=")</f>
        <v>#REF!</v>
      </c>
      <c r="HN63" t="e">
        <f>IF(ConsolidatedEventList!#REF!,"AAAAAGf/Y90=",0)</f>
        <v>#REF!</v>
      </c>
      <c r="HO63" t="e">
        <f>AND(ConsolidatedEventList!#REF!,"AAAAAGf/Y94=")</f>
        <v>#REF!</v>
      </c>
      <c r="HP63" t="e">
        <f>AND(ConsolidatedEventList!#REF!,"AAAAAGf/Y98=")</f>
        <v>#REF!</v>
      </c>
      <c r="HQ63" t="e">
        <f>AND(ConsolidatedEventList!#REF!,"AAAAAGf/Y+A=")</f>
        <v>#REF!</v>
      </c>
      <c r="HR63" t="e">
        <f>AND(ConsolidatedEventList!#REF!,"AAAAAGf/Y+E=")</f>
        <v>#REF!</v>
      </c>
      <c r="HS63" t="e">
        <f>AND(ConsolidatedEventList!#REF!,"AAAAAGf/Y+I=")</f>
        <v>#REF!</v>
      </c>
      <c r="HT63" t="e">
        <f>AND(ConsolidatedEventList!#REF!,"AAAAAGf/Y+M=")</f>
        <v>#REF!</v>
      </c>
      <c r="HU63" t="e">
        <f>AND(ConsolidatedEventList!#REF!,"AAAAAGf/Y+Q=")</f>
        <v>#REF!</v>
      </c>
      <c r="HV63" t="e">
        <f>AND(ConsolidatedEventList!#REF!,"AAAAAGf/Y+U=")</f>
        <v>#REF!</v>
      </c>
      <c r="HW63" t="e">
        <f>IF(ConsolidatedEventList!#REF!,"AAAAAGf/Y+Y=",0)</f>
        <v>#REF!</v>
      </c>
      <c r="HX63" t="e">
        <f>AND(ConsolidatedEventList!#REF!,"AAAAAGf/Y+c=")</f>
        <v>#REF!</v>
      </c>
      <c r="HY63" t="e">
        <f>AND(ConsolidatedEventList!#REF!,"AAAAAGf/Y+g=")</f>
        <v>#REF!</v>
      </c>
      <c r="HZ63" t="e">
        <f>AND(ConsolidatedEventList!#REF!,"AAAAAGf/Y+k=")</f>
        <v>#REF!</v>
      </c>
      <c r="IA63" t="e">
        <f>AND(ConsolidatedEventList!#REF!,"AAAAAGf/Y+o=")</f>
        <v>#REF!</v>
      </c>
      <c r="IB63" t="e">
        <f>AND(ConsolidatedEventList!#REF!,"AAAAAGf/Y+s=")</f>
        <v>#REF!</v>
      </c>
      <c r="IC63" t="e">
        <f>AND(ConsolidatedEventList!#REF!,"AAAAAGf/Y+w=")</f>
        <v>#REF!</v>
      </c>
      <c r="ID63" t="e">
        <f>AND(ConsolidatedEventList!#REF!,"AAAAAGf/Y+0=")</f>
        <v>#REF!</v>
      </c>
      <c r="IE63" t="e">
        <f>AND(ConsolidatedEventList!#REF!,"AAAAAGf/Y+4=")</f>
        <v>#REF!</v>
      </c>
      <c r="IF63" t="e">
        <f>IF(ConsolidatedEventList!#REF!,"AAAAAGf/Y+8=",0)</f>
        <v>#REF!</v>
      </c>
      <c r="IG63" t="e">
        <f>AND(ConsolidatedEventList!#REF!,"AAAAAGf/Y/A=")</f>
        <v>#REF!</v>
      </c>
      <c r="IH63" t="e">
        <f>AND(ConsolidatedEventList!#REF!,"AAAAAGf/Y/E=")</f>
        <v>#REF!</v>
      </c>
      <c r="II63" t="e">
        <f>AND(ConsolidatedEventList!#REF!,"AAAAAGf/Y/I=")</f>
        <v>#REF!</v>
      </c>
      <c r="IJ63" t="e">
        <f>AND(ConsolidatedEventList!#REF!,"AAAAAGf/Y/M=")</f>
        <v>#REF!</v>
      </c>
      <c r="IK63" t="e">
        <f>AND(ConsolidatedEventList!#REF!,"AAAAAGf/Y/Q=")</f>
        <v>#REF!</v>
      </c>
      <c r="IL63" t="e">
        <f>AND(ConsolidatedEventList!#REF!,"AAAAAGf/Y/U=")</f>
        <v>#REF!</v>
      </c>
      <c r="IM63" t="e">
        <f>AND(ConsolidatedEventList!#REF!,"AAAAAGf/Y/Y=")</f>
        <v>#REF!</v>
      </c>
      <c r="IN63" t="e">
        <f>AND(ConsolidatedEventList!#REF!,"AAAAAGf/Y/c=")</f>
        <v>#REF!</v>
      </c>
      <c r="IO63" t="e">
        <f>IF(ConsolidatedEventList!#REF!,"AAAAAGf/Y/g=",0)</f>
        <v>#REF!</v>
      </c>
      <c r="IP63" t="e">
        <f>AND(ConsolidatedEventList!#REF!,"AAAAAGf/Y/k=")</f>
        <v>#REF!</v>
      </c>
      <c r="IQ63" t="e">
        <f>AND(ConsolidatedEventList!#REF!,"AAAAAGf/Y/o=")</f>
        <v>#REF!</v>
      </c>
      <c r="IR63" t="e">
        <f>AND(ConsolidatedEventList!#REF!,"AAAAAGf/Y/s=")</f>
        <v>#REF!</v>
      </c>
      <c r="IS63" t="e">
        <f>AND(ConsolidatedEventList!#REF!,"AAAAAGf/Y/w=")</f>
        <v>#REF!</v>
      </c>
      <c r="IT63" t="e">
        <f>AND(ConsolidatedEventList!#REF!,"AAAAAGf/Y/0=")</f>
        <v>#REF!</v>
      </c>
      <c r="IU63" t="e">
        <f>AND(ConsolidatedEventList!#REF!,"AAAAAGf/Y/4=")</f>
        <v>#REF!</v>
      </c>
      <c r="IV63" t="e">
        <f>AND(ConsolidatedEventList!#REF!,"AAAAAGf/Y/8=")</f>
        <v>#REF!</v>
      </c>
    </row>
    <row r="64" spans="1:256" x14ac:dyDescent="0.25">
      <c r="A64" t="e">
        <f>AND(ConsolidatedEventList!#REF!,"AAAAAF7/SQA=")</f>
        <v>#REF!</v>
      </c>
      <c r="B64" t="e">
        <f>IF(ConsolidatedEventList!#REF!,"AAAAAF7/SQE=",0)</f>
        <v>#REF!</v>
      </c>
      <c r="C64" t="e">
        <f>AND(ConsolidatedEventList!#REF!,"AAAAAF7/SQI=")</f>
        <v>#REF!</v>
      </c>
      <c r="D64" t="e">
        <f>AND(ConsolidatedEventList!#REF!,"AAAAAF7/SQM=")</f>
        <v>#REF!</v>
      </c>
      <c r="E64" t="e">
        <f>AND(ConsolidatedEventList!#REF!,"AAAAAF7/SQQ=")</f>
        <v>#REF!</v>
      </c>
      <c r="F64" t="e">
        <f>AND(ConsolidatedEventList!#REF!,"AAAAAF7/SQU=")</f>
        <v>#REF!</v>
      </c>
      <c r="G64" t="e">
        <f>AND(ConsolidatedEventList!#REF!,"AAAAAF7/SQY=")</f>
        <v>#REF!</v>
      </c>
      <c r="H64" t="e">
        <f>AND(ConsolidatedEventList!#REF!,"AAAAAF7/SQc=")</f>
        <v>#REF!</v>
      </c>
      <c r="I64" t="e">
        <f>AND(ConsolidatedEventList!#REF!,"AAAAAF7/SQg=")</f>
        <v>#REF!</v>
      </c>
      <c r="J64" t="e">
        <f>AND(ConsolidatedEventList!#REF!,"AAAAAF7/SQk=")</f>
        <v>#REF!</v>
      </c>
      <c r="K64" t="e">
        <f>IF(ConsolidatedEventList!#REF!,"AAAAAF7/SQo=",0)</f>
        <v>#REF!</v>
      </c>
      <c r="L64" t="e">
        <f>AND(ConsolidatedEventList!#REF!,"AAAAAF7/SQs=")</f>
        <v>#REF!</v>
      </c>
      <c r="M64" t="e">
        <f>AND(ConsolidatedEventList!#REF!,"AAAAAF7/SQw=")</f>
        <v>#REF!</v>
      </c>
      <c r="N64" t="e">
        <f>AND(ConsolidatedEventList!#REF!,"AAAAAF7/SQ0=")</f>
        <v>#REF!</v>
      </c>
      <c r="O64" t="e">
        <f>AND(ConsolidatedEventList!#REF!,"AAAAAF7/SQ4=")</f>
        <v>#REF!</v>
      </c>
      <c r="P64" t="e">
        <f>AND(ConsolidatedEventList!#REF!,"AAAAAF7/SQ8=")</f>
        <v>#REF!</v>
      </c>
      <c r="Q64" t="e">
        <f>AND(ConsolidatedEventList!#REF!,"AAAAAF7/SRA=")</f>
        <v>#REF!</v>
      </c>
      <c r="R64" t="e">
        <f>AND(ConsolidatedEventList!#REF!,"AAAAAF7/SRE=")</f>
        <v>#REF!</v>
      </c>
      <c r="S64" t="e">
        <f>AND(ConsolidatedEventList!#REF!,"AAAAAF7/SRI=")</f>
        <v>#REF!</v>
      </c>
      <c r="T64" t="e">
        <f>IF(ConsolidatedEventList!#REF!,"AAAAAF7/SRM=",0)</f>
        <v>#REF!</v>
      </c>
      <c r="U64" t="e">
        <f>AND(ConsolidatedEventList!#REF!,"AAAAAF7/SRQ=")</f>
        <v>#REF!</v>
      </c>
      <c r="V64" t="e">
        <f>AND(ConsolidatedEventList!#REF!,"AAAAAF7/SRU=")</f>
        <v>#REF!</v>
      </c>
      <c r="W64" t="e">
        <f>AND(ConsolidatedEventList!#REF!,"AAAAAF7/SRY=")</f>
        <v>#REF!</v>
      </c>
      <c r="X64" t="e">
        <f>AND(ConsolidatedEventList!#REF!,"AAAAAF7/SRc=")</f>
        <v>#REF!</v>
      </c>
      <c r="Y64" t="e">
        <f>AND(ConsolidatedEventList!#REF!,"AAAAAF7/SRg=")</f>
        <v>#REF!</v>
      </c>
      <c r="Z64" t="e">
        <f>AND(ConsolidatedEventList!#REF!,"AAAAAF7/SRk=")</f>
        <v>#REF!</v>
      </c>
      <c r="AA64" t="e">
        <f>AND(ConsolidatedEventList!#REF!,"AAAAAF7/SRo=")</f>
        <v>#REF!</v>
      </c>
      <c r="AB64" t="e">
        <f>AND(ConsolidatedEventList!#REF!,"AAAAAF7/SRs=")</f>
        <v>#REF!</v>
      </c>
      <c r="AC64" t="e">
        <f>IF(ConsolidatedEventList!#REF!,"AAAAAF7/SRw=",0)</f>
        <v>#REF!</v>
      </c>
      <c r="AD64" t="e">
        <f>AND(ConsolidatedEventList!#REF!,"AAAAAF7/SR0=")</f>
        <v>#REF!</v>
      </c>
      <c r="AE64" t="e">
        <f>AND(ConsolidatedEventList!#REF!,"AAAAAF7/SR4=")</f>
        <v>#REF!</v>
      </c>
      <c r="AF64" t="e">
        <f>AND(ConsolidatedEventList!#REF!,"AAAAAF7/SR8=")</f>
        <v>#REF!</v>
      </c>
      <c r="AG64" t="e">
        <f>AND(ConsolidatedEventList!#REF!,"AAAAAF7/SSA=")</f>
        <v>#REF!</v>
      </c>
      <c r="AH64" t="e">
        <f>AND(ConsolidatedEventList!#REF!,"AAAAAF7/SSE=")</f>
        <v>#REF!</v>
      </c>
      <c r="AI64" t="e">
        <f>AND(ConsolidatedEventList!#REF!,"AAAAAF7/SSI=")</f>
        <v>#REF!</v>
      </c>
      <c r="AJ64" t="e">
        <f>AND(ConsolidatedEventList!#REF!,"AAAAAF7/SSM=")</f>
        <v>#REF!</v>
      </c>
      <c r="AK64" t="e">
        <f>AND(ConsolidatedEventList!#REF!,"AAAAAF7/SSQ=")</f>
        <v>#REF!</v>
      </c>
      <c r="AL64" t="e">
        <f>IF(ConsolidatedEventList!#REF!,"AAAAAF7/SSU=",0)</f>
        <v>#REF!</v>
      </c>
      <c r="AM64" t="e">
        <f>AND(ConsolidatedEventList!#REF!,"AAAAAF7/SSY=")</f>
        <v>#REF!</v>
      </c>
      <c r="AN64" t="e">
        <f>AND(ConsolidatedEventList!#REF!,"AAAAAF7/SSc=")</f>
        <v>#REF!</v>
      </c>
      <c r="AO64" t="e">
        <f>AND(ConsolidatedEventList!#REF!,"AAAAAF7/SSg=")</f>
        <v>#REF!</v>
      </c>
      <c r="AP64" t="e">
        <f>AND(ConsolidatedEventList!#REF!,"AAAAAF7/SSk=")</f>
        <v>#REF!</v>
      </c>
      <c r="AQ64" t="e">
        <f>AND(ConsolidatedEventList!#REF!,"AAAAAF7/SSo=")</f>
        <v>#REF!</v>
      </c>
      <c r="AR64" t="e">
        <f>AND(ConsolidatedEventList!#REF!,"AAAAAF7/SSs=")</f>
        <v>#REF!</v>
      </c>
      <c r="AS64" t="e">
        <f>AND(ConsolidatedEventList!#REF!,"AAAAAF7/SSw=")</f>
        <v>#REF!</v>
      </c>
      <c r="AT64" t="e">
        <f>AND(ConsolidatedEventList!#REF!,"AAAAAF7/SS0=")</f>
        <v>#REF!</v>
      </c>
      <c r="AU64" t="e">
        <f>IF(ConsolidatedEventList!#REF!,"AAAAAF7/SS4=",0)</f>
        <v>#REF!</v>
      </c>
      <c r="AV64" t="e">
        <f>AND(ConsolidatedEventList!#REF!,"AAAAAF7/SS8=")</f>
        <v>#REF!</v>
      </c>
      <c r="AW64" t="e">
        <f>AND(ConsolidatedEventList!#REF!,"AAAAAF7/STA=")</f>
        <v>#REF!</v>
      </c>
      <c r="AX64" t="e">
        <f>AND(ConsolidatedEventList!#REF!,"AAAAAF7/STE=")</f>
        <v>#REF!</v>
      </c>
      <c r="AY64" t="e">
        <f>AND(ConsolidatedEventList!#REF!,"AAAAAF7/STI=")</f>
        <v>#REF!</v>
      </c>
      <c r="AZ64" t="e">
        <f>AND(ConsolidatedEventList!#REF!,"AAAAAF7/STM=")</f>
        <v>#REF!</v>
      </c>
      <c r="BA64" t="e">
        <f>AND(ConsolidatedEventList!#REF!,"AAAAAF7/STQ=")</f>
        <v>#REF!</v>
      </c>
      <c r="BB64" t="e">
        <f>AND(ConsolidatedEventList!#REF!,"AAAAAF7/STU=")</f>
        <v>#REF!</v>
      </c>
      <c r="BC64" t="e">
        <f>AND(ConsolidatedEventList!#REF!,"AAAAAF7/STY=")</f>
        <v>#REF!</v>
      </c>
      <c r="BD64" t="e">
        <f>IF(ConsolidatedEventList!#REF!,"AAAAAF7/STc=",0)</f>
        <v>#REF!</v>
      </c>
      <c r="BE64" t="e">
        <f>AND(ConsolidatedEventList!#REF!,"AAAAAF7/STg=")</f>
        <v>#REF!</v>
      </c>
      <c r="BF64" t="e">
        <f>AND(ConsolidatedEventList!#REF!,"AAAAAF7/STk=")</f>
        <v>#REF!</v>
      </c>
      <c r="BG64" t="e">
        <f>AND(ConsolidatedEventList!#REF!,"AAAAAF7/STo=")</f>
        <v>#REF!</v>
      </c>
      <c r="BH64" t="e">
        <f>AND(ConsolidatedEventList!#REF!,"AAAAAF7/STs=")</f>
        <v>#REF!</v>
      </c>
      <c r="BI64" t="e">
        <f>AND(ConsolidatedEventList!#REF!,"AAAAAF7/STw=")</f>
        <v>#REF!</v>
      </c>
      <c r="BJ64" t="e">
        <f>AND(ConsolidatedEventList!#REF!,"AAAAAF7/ST0=")</f>
        <v>#REF!</v>
      </c>
      <c r="BK64" t="e">
        <f>AND(ConsolidatedEventList!#REF!,"AAAAAF7/ST4=")</f>
        <v>#REF!</v>
      </c>
      <c r="BL64" t="e">
        <f>AND(ConsolidatedEventList!#REF!,"AAAAAF7/ST8=")</f>
        <v>#REF!</v>
      </c>
      <c r="BM64" t="e">
        <f>IF(ConsolidatedEventList!#REF!,"AAAAAF7/SUA=",0)</f>
        <v>#REF!</v>
      </c>
      <c r="BN64" t="e">
        <f>AND(ConsolidatedEventList!#REF!,"AAAAAF7/SUE=")</f>
        <v>#REF!</v>
      </c>
      <c r="BO64" t="e">
        <f>AND(ConsolidatedEventList!#REF!,"AAAAAF7/SUI=")</f>
        <v>#REF!</v>
      </c>
      <c r="BP64" t="e">
        <f>AND(ConsolidatedEventList!#REF!,"AAAAAF7/SUM=")</f>
        <v>#REF!</v>
      </c>
      <c r="BQ64" t="e">
        <f>AND(ConsolidatedEventList!#REF!,"AAAAAF7/SUQ=")</f>
        <v>#REF!</v>
      </c>
      <c r="BR64" t="e">
        <f>AND(ConsolidatedEventList!#REF!,"AAAAAF7/SUU=")</f>
        <v>#REF!</v>
      </c>
      <c r="BS64" t="e">
        <f>AND(ConsolidatedEventList!#REF!,"AAAAAF7/SUY=")</f>
        <v>#REF!</v>
      </c>
      <c r="BT64" t="e">
        <f>AND(ConsolidatedEventList!#REF!,"AAAAAF7/SUc=")</f>
        <v>#REF!</v>
      </c>
      <c r="BU64" t="e">
        <f>AND(ConsolidatedEventList!#REF!,"AAAAAF7/SUg=")</f>
        <v>#REF!</v>
      </c>
      <c r="BV64" t="e">
        <f>IF(ConsolidatedEventList!#REF!,"AAAAAF7/SUk=",0)</f>
        <v>#REF!</v>
      </c>
      <c r="BW64" t="e">
        <f>AND(ConsolidatedEventList!#REF!,"AAAAAF7/SUo=")</f>
        <v>#REF!</v>
      </c>
      <c r="BX64" t="e">
        <f>AND(ConsolidatedEventList!#REF!,"AAAAAF7/SUs=")</f>
        <v>#REF!</v>
      </c>
      <c r="BY64" t="e">
        <f>AND(ConsolidatedEventList!#REF!,"AAAAAF7/SUw=")</f>
        <v>#REF!</v>
      </c>
      <c r="BZ64" t="e">
        <f>AND(ConsolidatedEventList!#REF!,"AAAAAF7/SU0=")</f>
        <v>#REF!</v>
      </c>
      <c r="CA64" t="e">
        <f>AND(ConsolidatedEventList!#REF!,"AAAAAF7/SU4=")</f>
        <v>#REF!</v>
      </c>
      <c r="CB64" t="e">
        <f>AND(ConsolidatedEventList!#REF!,"AAAAAF7/SU8=")</f>
        <v>#REF!</v>
      </c>
      <c r="CC64" t="e">
        <f>AND(ConsolidatedEventList!#REF!,"AAAAAF7/SVA=")</f>
        <v>#REF!</v>
      </c>
      <c r="CD64" t="e">
        <f>AND(ConsolidatedEventList!#REF!,"AAAAAF7/SVE=")</f>
        <v>#REF!</v>
      </c>
      <c r="CE64" t="e">
        <f>IF(ConsolidatedEventList!#REF!,"AAAAAF7/SVI=",0)</f>
        <v>#REF!</v>
      </c>
      <c r="CF64" t="e">
        <f>AND(ConsolidatedEventList!#REF!,"AAAAAF7/SVM=")</f>
        <v>#REF!</v>
      </c>
      <c r="CG64" t="e">
        <f>AND(ConsolidatedEventList!#REF!,"AAAAAF7/SVQ=")</f>
        <v>#REF!</v>
      </c>
      <c r="CH64" t="e">
        <f>AND(ConsolidatedEventList!#REF!,"AAAAAF7/SVU=")</f>
        <v>#REF!</v>
      </c>
      <c r="CI64" t="e">
        <f>AND(ConsolidatedEventList!#REF!,"AAAAAF7/SVY=")</f>
        <v>#REF!</v>
      </c>
      <c r="CJ64" t="e">
        <f>AND(ConsolidatedEventList!#REF!,"AAAAAF7/SVc=")</f>
        <v>#REF!</v>
      </c>
      <c r="CK64" t="e">
        <f>AND(ConsolidatedEventList!#REF!,"AAAAAF7/SVg=")</f>
        <v>#REF!</v>
      </c>
      <c r="CL64" t="e">
        <f>AND(ConsolidatedEventList!#REF!,"AAAAAF7/SVk=")</f>
        <v>#REF!</v>
      </c>
      <c r="CM64" t="e">
        <f>AND(ConsolidatedEventList!#REF!,"AAAAAF7/SVo=")</f>
        <v>#REF!</v>
      </c>
      <c r="CN64" t="e">
        <f>IF(ConsolidatedEventList!#REF!,"AAAAAF7/SVs=",0)</f>
        <v>#REF!</v>
      </c>
      <c r="CO64" t="e">
        <f>AND(ConsolidatedEventList!#REF!,"AAAAAF7/SVw=")</f>
        <v>#REF!</v>
      </c>
      <c r="CP64" t="e">
        <f>AND(ConsolidatedEventList!#REF!,"AAAAAF7/SV0=")</f>
        <v>#REF!</v>
      </c>
      <c r="CQ64" t="e">
        <f>AND(ConsolidatedEventList!#REF!,"AAAAAF7/SV4=")</f>
        <v>#REF!</v>
      </c>
      <c r="CR64" t="e">
        <f>AND(ConsolidatedEventList!#REF!,"AAAAAF7/SV8=")</f>
        <v>#REF!</v>
      </c>
      <c r="CS64" t="e">
        <f>AND(ConsolidatedEventList!#REF!,"AAAAAF7/SWA=")</f>
        <v>#REF!</v>
      </c>
      <c r="CT64" t="e">
        <f>AND(ConsolidatedEventList!#REF!,"AAAAAF7/SWE=")</f>
        <v>#REF!</v>
      </c>
      <c r="CU64" t="e">
        <f>AND(ConsolidatedEventList!#REF!,"AAAAAF7/SWI=")</f>
        <v>#REF!</v>
      </c>
      <c r="CV64" t="e">
        <f>AND(ConsolidatedEventList!#REF!,"AAAAAF7/SWM=")</f>
        <v>#REF!</v>
      </c>
      <c r="CW64" t="e">
        <f>IF(ConsolidatedEventList!#REF!,"AAAAAF7/SWQ=",0)</f>
        <v>#REF!</v>
      </c>
      <c r="CX64" t="e">
        <f>AND(ConsolidatedEventList!#REF!,"AAAAAF7/SWU=")</f>
        <v>#REF!</v>
      </c>
      <c r="CY64" t="e">
        <f>AND(ConsolidatedEventList!#REF!,"AAAAAF7/SWY=")</f>
        <v>#REF!</v>
      </c>
      <c r="CZ64" t="e">
        <f>AND(ConsolidatedEventList!#REF!,"AAAAAF7/SWc=")</f>
        <v>#REF!</v>
      </c>
      <c r="DA64" t="e">
        <f>AND(ConsolidatedEventList!#REF!,"AAAAAF7/SWg=")</f>
        <v>#REF!</v>
      </c>
      <c r="DB64" t="e">
        <f>AND(ConsolidatedEventList!#REF!,"AAAAAF7/SWk=")</f>
        <v>#REF!</v>
      </c>
      <c r="DC64" t="e">
        <f>AND(ConsolidatedEventList!#REF!,"AAAAAF7/SWo=")</f>
        <v>#REF!</v>
      </c>
      <c r="DD64" t="e">
        <f>AND(ConsolidatedEventList!#REF!,"AAAAAF7/SWs=")</f>
        <v>#REF!</v>
      </c>
      <c r="DE64" t="e">
        <f>AND(ConsolidatedEventList!#REF!,"AAAAAF7/SWw=")</f>
        <v>#REF!</v>
      </c>
      <c r="DF64" t="e">
        <f>IF(ConsolidatedEventList!#REF!,"AAAAAF7/SW0=",0)</f>
        <v>#REF!</v>
      </c>
      <c r="DG64" t="e">
        <f>AND(ConsolidatedEventList!#REF!,"AAAAAF7/SW4=")</f>
        <v>#REF!</v>
      </c>
      <c r="DH64" t="e">
        <f>AND(ConsolidatedEventList!#REF!,"AAAAAF7/SW8=")</f>
        <v>#REF!</v>
      </c>
      <c r="DI64" t="e">
        <f>AND(ConsolidatedEventList!#REF!,"AAAAAF7/SXA=")</f>
        <v>#REF!</v>
      </c>
      <c r="DJ64" t="e">
        <f>AND(ConsolidatedEventList!#REF!,"AAAAAF7/SXE=")</f>
        <v>#REF!</v>
      </c>
      <c r="DK64" t="e">
        <f>AND(ConsolidatedEventList!#REF!,"AAAAAF7/SXI=")</f>
        <v>#REF!</v>
      </c>
      <c r="DL64" t="e">
        <f>AND(ConsolidatedEventList!#REF!,"AAAAAF7/SXM=")</f>
        <v>#REF!</v>
      </c>
      <c r="DM64" t="e">
        <f>AND(ConsolidatedEventList!#REF!,"AAAAAF7/SXQ=")</f>
        <v>#REF!</v>
      </c>
      <c r="DN64" t="e">
        <f>AND(ConsolidatedEventList!#REF!,"AAAAAF7/SXU=")</f>
        <v>#REF!</v>
      </c>
      <c r="DO64" t="e">
        <f>IF(ConsolidatedEventList!#REF!,"AAAAAF7/SXY=",0)</f>
        <v>#REF!</v>
      </c>
      <c r="DP64" t="e">
        <f>AND(ConsolidatedEventList!#REF!,"AAAAAF7/SXc=")</f>
        <v>#REF!</v>
      </c>
      <c r="DQ64" t="e">
        <f>AND(ConsolidatedEventList!#REF!,"AAAAAF7/SXg=")</f>
        <v>#REF!</v>
      </c>
      <c r="DR64" t="e">
        <f>AND(ConsolidatedEventList!#REF!,"AAAAAF7/SXk=")</f>
        <v>#REF!</v>
      </c>
      <c r="DS64" t="e">
        <f>AND(ConsolidatedEventList!#REF!,"AAAAAF7/SXo=")</f>
        <v>#REF!</v>
      </c>
      <c r="DT64" t="e">
        <f>AND(ConsolidatedEventList!#REF!,"AAAAAF7/SXs=")</f>
        <v>#REF!</v>
      </c>
      <c r="DU64" t="e">
        <f>AND(ConsolidatedEventList!#REF!,"AAAAAF7/SXw=")</f>
        <v>#REF!</v>
      </c>
      <c r="DV64" t="e">
        <f>AND(ConsolidatedEventList!#REF!,"AAAAAF7/SX0=")</f>
        <v>#REF!</v>
      </c>
      <c r="DW64" t="e">
        <f>AND(ConsolidatedEventList!#REF!,"AAAAAF7/SX4=")</f>
        <v>#REF!</v>
      </c>
      <c r="DX64" t="e">
        <f>IF(ConsolidatedEventList!#REF!,"AAAAAF7/SX8=",0)</f>
        <v>#REF!</v>
      </c>
      <c r="DY64" t="e">
        <f>AND(ConsolidatedEventList!#REF!,"AAAAAF7/SYA=")</f>
        <v>#REF!</v>
      </c>
      <c r="DZ64" t="e">
        <f>AND(ConsolidatedEventList!#REF!,"AAAAAF7/SYE=")</f>
        <v>#REF!</v>
      </c>
      <c r="EA64" t="e">
        <f>AND(ConsolidatedEventList!#REF!,"AAAAAF7/SYI=")</f>
        <v>#REF!</v>
      </c>
      <c r="EB64" t="e">
        <f>AND(ConsolidatedEventList!#REF!,"AAAAAF7/SYM=")</f>
        <v>#REF!</v>
      </c>
      <c r="EC64" t="e">
        <f>AND(ConsolidatedEventList!#REF!,"AAAAAF7/SYQ=")</f>
        <v>#REF!</v>
      </c>
      <c r="ED64" t="e">
        <f>AND(ConsolidatedEventList!#REF!,"AAAAAF7/SYU=")</f>
        <v>#REF!</v>
      </c>
      <c r="EE64" t="e">
        <f>AND(ConsolidatedEventList!#REF!,"AAAAAF7/SYY=")</f>
        <v>#REF!</v>
      </c>
      <c r="EF64" t="e">
        <f>AND(ConsolidatedEventList!#REF!,"AAAAAF7/SYc=")</f>
        <v>#REF!</v>
      </c>
      <c r="EG64" t="e">
        <f>IF(ConsolidatedEventList!#REF!,"AAAAAF7/SYg=",0)</f>
        <v>#REF!</v>
      </c>
      <c r="EH64" t="e">
        <f>AND(ConsolidatedEventList!#REF!,"AAAAAF7/SYk=")</f>
        <v>#REF!</v>
      </c>
      <c r="EI64" t="e">
        <f>AND(ConsolidatedEventList!#REF!,"AAAAAF7/SYo=")</f>
        <v>#REF!</v>
      </c>
      <c r="EJ64" t="e">
        <f>AND(ConsolidatedEventList!#REF!,"AAAAAF7/SYs=")</f>
        <v>#REF!</v>
      </c>
      <c r="EK64" t="e">
        <f>AND(ConsolidatedEventList!#REF!,"AAAAAF7/SYw=")</f>
        <v>#REF!</v>
      </c>
      <c r="EL64" t="e">
        <f>AND(ConsolidatedEventList!#REF!,"AAAAAF7/SY0=")</f>
        <v>#REF!</v>
      </c>
      <c r="EM64" t="e">
        <f>AND(ConsolidatedEventList!#REF!,"AAAAAF7/SY4=")</f>
        <v>#REF!</v>
      </c>
      <c r="EN64" t="e">
        <f>AND(ConsolidatedEventList!#REF!,"AAAAAF7/SY8=")</f>
        <v>#REF!</v>
      </c>
      <c r="EO64" t="e">
        <f>AND(ConsolidatedEventList!#REF!,"AAAAAF7/SZA=")</f>
        <v>#REF!</v>
      </c>
      <c r="EP64" t="e">
        <f>IF(ConsolidatedEventList!#REF!,"AAAAAF7/SZE=",0)</f>
        <v>#REF!</v>
      </c>
      <c r="EQ64" t="e">
        <f>AND(ConsolidatedEventList!#REF!,"AAAAAF7/SZI=")</f>
        <v>#REF!</v>
      </c>
      <c r="ER64" t="e">
        <f>AND(ConsolidatedEventList!#REF!,"AAAAAF7/SZM=")</f>
        <v>#REF!</v>
      </c>
      <c r="ES64" t="e">
        <f>AND(ConsolidatedEventList!#REF!,"AAAAAF7/SZQ=")</f>
        <v>#REF!</v>
      </c>
      <c r="ET64" t="e">
        <f>AND(ConsolidatedEventList!#REF!,"AAAAAF7/SZU=")</f>
        <v>#REF!</v>
      </c>
      <c r="EU64" t="e">
        <f>AND(ConsolidatedEventList!#REF!,"AAAAAF7/SZY=")</f>
        <v>#REF!</v>
      </c>
      <c r="EV64" t="e">
        <f>AND(ConsolidatedEventList!#REF!,"AAAAAF7/SZc=")</f>
        <v>#REF!</v>
      </c>
      <c r="EW64" t="e">
        <f>AND(ConsolidatedEventList!#REF!,"AAAAAF7/SZg=")</f>
        <v>#REF!</v>
      </c>
      <c r="EX64" t="e">
        <f>AND(ConsolidatedEventList!#REF!,"AAAAAF7/SZk=")</f>
        <v>#REF!</v>
      </c>
      <c r="EY64" t="e">
        <f>IF(ConsolidatedEventList!#REF!,"AAAAAF7/SZo=",0)</f>
        <v>#REF!</v>
      </c>
      <c r="EZ64" t="e">
        <f>AND(ConsolidatedEventList!#REF!,"AAAAAF7/SZs=")</f>
        <v>#REF!</v>
      </c>
      <c r="FA64" t="e">
        <f>AND(ConsolidatedEventList!#REF!,"AAAAAF7/SZw=")</f>
        <v>#REF!</v>
      </c>
      <c r="FB64" t="e">
        <f>AND(ConsolidatedEventList!#REF!,"AAAAAF7/SZ0=")</f>
        <v>#REF!</v>
      </c>
      <c r="FC64" t="e">
        <f>AND(ConsolidatedEventList!#REF!,"AAAAAF7/SZ4=")</f>
        <v>#REF!</v>
      </c>
      <c r="FD64" t="e">
        <f>AND(ConsolidatedEventList!#REF!,"AAAAAF7/SZ8=")</f>
        <v>#REF!</v>
      </c>
      <c r="FE64" t="e">
        <f>AND(ConsolidatedEventList!#REF!,"AAAAAF7/SaA=")</f>
        <v>#REF!</v>
      </c>
      <c r="FF64" t="e">
        <f>AND(ConsolidatedEventList!#REF!,"AAAAAF7/SaE=")</f>
        <v>#REF!</v>
      </c>
      <c r="FG64" t="e">
        <f>AND(ConsolidatedEventList!#REF!,"AAAAAF7/SaI=")</f>
        <v>#REF!</v>
      </c>
      <c r="FH64" t="e">
        <f>IF(ConsolidatedEventList!#REF!,"AAAAAF7/SaM=",0)</f>
        <v>#REF!</v>
      </c>
      <c r="FI64" t="e">
        <f>AND(ConsolidatedEventList!#REF!,"AAAAAF7/SaQ=")</f>
        <v>#REF!</v>
      </c>
      <c r="FJ64" t="e">
        <f>AND(ConsolidatedEventList!#REF!,"AAAAAF7/SaU=")</f>
        <v>#REF!</v>
      </c>
      <c r="FK64" t="e">
        <f>AND(ConsolidatedEventList!#REF!,"AAAAAF7/SaY=")</f>
        <v>#REF!</v>
      </c>
      <c r="FL64" t="e">
        <f>AND(ConsolidatedEventList!#REF!,"AAAAAF7/Sac=")</f>
        <v>#REF!</v>
      </c>
      <c r="FM64" t="e">
        <f>AND(ConsolidatedEventList!#REF!,"AAAAAF7/Sag=")</f>
        <v>#REF!</v>
      </c>
      <c r="FN64" t="e">
        <f>AND(ConsolidatedEventList!#REF!,"AAAAAF7/Sak=")</f>
        <v>#REF!</v>
      </c>
      <c r="FO64" t="e">
        <f>AND(ConsolidatedEventList!#REF!,"AAAAAF7/Sao=")</f>
        <v>#REF!</v>
      </c>
      <c r="FP64" t="e">
        <f>AND(ConsolidatedEventList!#REF!,"AAAAAF7/Sas=")</f>
        <v>#REF!</v>
      </c>
      <c r="FQ64" t="e">
        <f>IF(ConsolidatedEventList!#REF!,"AAAAAF7/Saw=",0)</f>
        <v>#REF!</v>
      </c>
      <c r="FR64" t="e">
        <f>AND(ConsolidatedEventList!#REF!,"AAAAAF7/Sa0=")</f>
        <v>#REF!</v>
      </c>
      <c r="FS64" t="e">
        <f>AND(ConsolidatedEventList!#REF!,"AAAAAF7/Sa4=")</f>
        <v>#REF!</v>
      </c>
      <c r="FT64" t="e">
        <f>AND(ConsolidatedEventList!#REF!,"AAAAAF7/Sa8=")</f>
        <v>#REF!</v>
      </c>
      <c r="FU64" t="e">
        <f>AND(ConsolidatedEventList!#REF!,"AAAAAF7/SbA=")</f>
        <v>#REF!</v>
      </c>
      <c r="FV64" t="e">
        <f>AND(ConsolidatedEventList!#REF!,"AAAAAF7/SbE=")</f>
        <v>#REF!</v>
      </c>
      <c r="FW64" t="e">
        <f>AND(ConsolidatedEventList!#REF!,"AAAAAF7/SbI=")</f>
        <v>#REF!</v>
      </c>
      <c r="FX64" t="e">
        <f>AND(ConsolidatedEventList!#REF!,"AAAAAF7/SbM=")</f>
        <v>#REF!</v>
      </c>
      <c r="FY64" t="e">
        <f>AND(ConsolidatedEventList!#REF!,"AAAAAF7/SbQ=")</f>
        <v>#REF!</v>
      </c>
      <c r="FZ64" t="e">
        <f>IF(ConsolidatedEventList!#REF!,"AAAAAF7/SbU=",0)</f>
        <v>#REF!</v>
      </c>
      <c r="GA64" t="e">
        <f>AND(ConsolidatedEventList!#REF!,"AAAAAF7/SbY=")</f>
        <v>#REF!</v>
      </c>
      <c r="GB64" t="e">
        <f>AND(ConsolidatedEventList!#REF!,"AAAAAF7/Sbc=")</f>
        <v>#REF!</v>
      </c>
      <c r="GC64" t="e">
        <f>AND(ConsolidatedEventList!#REF!,"AAAAAF7/Sbg=")</f>
        <v>#REF!</v>
      </c>
      <c r="GD64" t="e">
        <f>AND(ConsolidatedEventList!#REF!,"AAAAAF7/Sbk=")</f>
        <v>#REF!</v>
      </c>
      <c r="GE64" t="e">
        <f>AND(ConsolidatedEventList!#REF!,"AAAAAF7/Sbo=")</f>
        <v>#REF!</v>
      </c>
      <c r="GF64" t="e">
        <f>AND(ConsolidatedEventList!#REF!,"AAAAAF7/Sbs=")</f>
        <v>#REF!</v>
      </c>
      <c r="GG64" t="e">
        <f>AND(ConsolidatedEventList!#REF!,"AAAAAF7/Sbw=")</f>
        <v>#REF!</v>
      </c>
      <c r="GH64" t="e">
        <f>AND(ConsolidatedEventList!#REF!,"AAAAAF7/Sb0=")</f>
        <v>#REF!</v>
      </c>
      <c r="GI64" t="e">
        <f>IF(ConsolidatedEventList!#REF!,"AAAAAF7/Sb4=",0)</f>
        <v>#REF!</v>
      </c>
      <c r="GJ64" t="e">
        <f>AND(ConsolidatedEventList!#REF!,"AAAAAF7/Sb8=")</f>
        <v>#REF!</v>
      </c>
      <c r="GK64" t="e">
        <f>AND(ConsolidatedEventList!#REF!,"AAAAAF7/ScA=")</f>
        <v>#REF!</v>
      </c>
      <c r="GL64" t="e">
        <f>AND(ConsolidatedEventList!#REF!,"AAAAAF7/ScE=")</f>
        <v>#REF!</v>
      </c>
      <c r="GM64" t="e">
        <f>AND(ConsolidatedEventList!#REF!,"AAAAAF7/ScI=")</f>
        <v>#REF!</v>
      </c>
      <c r="GN64" t="e">
        <f>AND(ConsolidatedEventList!#REF!,"AAAAAF7/ScM=")</f>
        <v>#REF!</v>
      </c>
      <c r="GO64" t="e">
        <f>AND(ConsolidatedEventList!#REF!,"AAAAAF7/ScQ=")</f>
        <v>#REF!</v>
      </c>
      <c r="GP64" t="e">
        <f>AND(ConsolidatedEventList!#REF!,"AAAAAF7/ScU=")</f>
        <v>#REF!</v>
      </c>
      <c r="GQ64" t="e">
        <f>AND(ConsolidatedEventList!#REF!,"AAAAAF7/ScY=")</f>
        <v>#REF!</v>
      </c>
      <c r="GR64" t="e">
        <f>IF(ConsolidatedEventList!#REF!,"AAAAAF7/Scc=",0)</f>
        <v>#REF!</v>
      </c>
      <c r="GS64" t="e">
        <f>AND(ConsolidatedEventList!#REF!,"AAAAAF7/Scg=")</f>
        <v>#REF!</v>
      </c>
      <c r="GT64" t="e">
        <f>AND(ConsolidatedEventList!#REF!,"AAAAAF7/Sck=")</f>
        <v>#REF!</v>
      </c>
      <c r="GU64" t="e">
        <f>AND(ConsolidatedEventList!#REF!,"AAAAAF7/Sco=")</f>
        <v>#REF!</v>
      </c>
      <c r="GV64" t="e">
        <f>AND(ConsolidatedEventList!#REF!,"AAAAAF7/Scs=")</f>
        <v>#REF!</v>
      </c>
      <c r="GW64" t="e">
        <f>AND(ConsolidatedEventList!#REF!,"AAAAAF7/Scw=")</f>
        <v>#REF!</v>
      </c>
      <c r="GX64" t="e">
        <f>AND(ConsolidatedEventList!#REF!,"AAAAAF7/Sc0=")</f>
        <v>#REF!</v>
      </c>
      <c r="GY64" t="e">
        <f>AND(ConsolidatedEventList!#REF!,"AAAAAF7/Sc4=")</f>
        <v>#REF!</v>
      </c>
      <c r="GZ64" t="e">
        <f>AND(ConsolidatedEventList!#REF!,"AAAAAF7/Sc8=")</f>
        <v>#REF!</v>
      </c>
      <c r="HA64" t="e">
        <f>IF(ConsolidatedEventList!#REF!,"AAAAAF7/SdA=",0)</f>
        <v>#REF!</v>
      </c>
      <c r="HB64" t="e">
        <f>AND(ConsolidatedEventList!#REF!,"AAAAAF7/SdE=")</f>
        <v>#REF!</v>
      </c>
      <c r="HC64" t="e">
        <f>AND(ConsolidatedEventList!#REF!,"AAAAAF7/SdI=")</f>
        <v>#REF!</v>
      </c>
      <c r="HD64" t="e">
        <f>AND(ConsolidatedEventList!#REF!,"AAAAAF7/SdM=")</f>
        <v>#REF!</v>
      </c>
      <c r="HE64" t="e">
        <f>AND(ConsolidatedEventList!#REF!,"AAAAAF7/SdQ=")</f>
        <v>#REF!</v>
      </c>
      <c r="HF64" t="e">
        <f>AND(ConsolidatedEventList!#REF!,"AAAAAF7/SdU=")</f>
        <v>#REF!</v>
      </c>
      <c r="HG64" t="e">
        <f>AND(ConsolidatedEventList!#REF!,"AAAAAF7/SdY=")</f>
        <v>#REF!</v>
      </c>
      <c r="HH64" t="e">
        <f>AND(ConsolidatedEventList!#REF!,"AAAAAF7/Sdc=")</f>
        <v>#REF!</v>
      </c>
      <c r="HI64" t="e">
        <f>AND(ConsolidatedEventList!#REF!,"AAAAAF7/Sdg=")</f>
        <v>#REF!</v>
      </c>
      <c r="HJ64" t="e">
        <f>IF(ConsolidatedEventList!#REF!,"AAAAAF7/Sdk=",0)</f>
        <v>#REF!</v>
      </c>
      <c r="HK64" t="e">
        <f>AND(ConsolidatedEventList!#REF!,"AAAAAF7/Sdo=")</f>
        <v>#REF!</v>
      </c>
      <c r="HL64" t="e">
        <f>AND(ConsolidatedEventList!#REF!,"AAAAAF7/Sds=")</f>
        <v>#REF!</v>
      </c>
      <c r="HM64" t="e">
        <f>AND(ConsolidatedEventList!#REF!,"AAAAAF7/Sdw=")</f>
        <v>#REF!</v>
      </c>
      <c r="HN64" t="e">
        <f>AND(ConsolidatedEventList!#REF!,"AAAAAF7/Sd0=")</f>
        <v>#REF!</v>
      </c>
      <c r="HO64" t="e">
        <f>AND(ConsolidatedEventList!#REF!,"AAAAAF7/Sd4=")</f>
        <v>#REF!</v>
      </c>
      <c r="HP64" t="e">
        <f>AND(ConsolidatedEventList!#REF!,"AAAAAF7/Sd8=")</f>
        <v>#REF!</v>
      </c>
      <c r="HQ64" t="e">
        <f>AND(ConsolidatedEventList!#REF!,"AAAAAF7/SeA=")</f>
        <v>#REF!</v>
      </c>
      <c r="HR64" t="e">
        <f>AND(ConsolidatedEventList!#REF!,"AAAAAF7/SeE=")</f>
        <v>#REF!</v>
      </c>
      <c r="HS64" t="e">
        <f>IF(ConsolidatedEventList!#REF!,"AAAAAF7/SeI=",0)</f>
        <v>#REF!</v>
      </c>
      <c r="HT64" t="e">
        <f>AND(ConsolidatedEventList!#REF!,"AAAAAF7/SeM=")</f>
        <v>#REF!</v>
      </c>
      <c r="HU64" t="e">
        <f>AND(ConsolidatedEventList!#REF!,"AAAAAF7/SeQ=")</f>
        <v>#REF!</v>
      </c>
      <c r="HV64" t="e">
        <f>AND(ConsolidatedEventList!#REF!,"AAAAAF7/SeU=")</f>
        <v>#REF!</v>
      </c>
      <c r="HW64" t="e">
        <f>AND(ConsolidatedEventList!#REF!,"AAAAAF7/SeY=")</f>
        <v>#REF!</v>
      </c>
      <c r="HX64" t="e">
        <f>AND(ConsolidatedEventList!#REF!,"AAAAAF7/Sec=")</f>
        <v>#REF!</v>
      </c>
      <c r="HY64" t="e">
        <f>AND(ConsolidatedEventList!#REF!,"AAAAAF7/Seg=")</f>
        <v>#REF!</v>
      </c>
      <c r="HZ64" t="e">
        <f>AND(ConsolidatedEventList!#REF!,"AAAAAF7/Sek=")</f>
        <v>#REF!</v>
      </c>
      <c r="IA64" t="e">
        <f>AND(ConsolidatedEventList!#REF!,"AAAAAF7/Seo=")</f>
        <v>#REF!</v>
      </c>
      <c r="IB64" t="e">
        <f>IF(ConsolidatedEventList!#REF!,"AAAAAF7/Ses=",0)</f>
        <v>#REF!</v>
      </c>
      <c r="IC64" t="e">
        <f>AND(ConsolidatedEventList!#REF!,"AAAAAF7/Sew=")</f>
        <v>#REF!</v>
      </c>
      <c r="ID64" t="e">
        <f>AND(ConsolidatedEventList!#REF!,"AAAAAF7/Se0=")</f>
        <v>#REF!</v>
      </c>
      <c r="IE64" t="e">
        <f>AND(ConsolidatedEventList!#REF!,"AAAAAF7/Se4=")</f>
        <v>#REF!</v>
      </c>
      <c r="IF64" t="e">
        <f>AND(ConsolidatedEventList!#REF!,"AAAAAF7/Se8=")</f>
        <v>#REF!</v>
      </c>
      <c r="IG64" t="e">
        <f>AND(ConsolidatedEventList!#REF!,"AAAAAF7/SfA=")</f>
        <v>#REF!</v>
      </c>
      <c r="IH64" t="e">
        <f>AND(ConsolidatedEventList!#REF!,"AAAAAF7/SfE=")</f>
        <v>#REF!</v>
      </c>
      <c r="II64" t="e">
        <f>AND(ConsolidatedEventList!#REF!,"AAAAAF7/SfI=")</f>
        <v>#REF!</v>
      </c>
      <c r="IJ64" t="e">
        <f>AND(ConsolidatedEventList!#REF!,"AAAAAF7/SfM=")</f>
        <v>#REF!</v>
      </c>
      <c r="IK64" t="e">
        <f>IF(ConsolidatedEventList!#REF!,"AAAAAF7/SfQ=",0)</f>
        <v>#REF!</v>
      </c>
      <c r="IL64" t="e">
        <f>AND(ConsolidatedEventList!#REF!,"AAAAAF7/SfU=")</f>
        <v>#REF!</v>
      </c>
      <c r="IM64" t="e">
        <f>AND(ConsolidatedEventList!#REF!,"AAAAAF7/SfY=")</f>
        <v>#REF!</v>
      </c>
      <c r="IN64" t="e">
        <f>AND(ConsolidatedEventList!#REF!,"AAAAAF7/Sfc=")</f>
        <v>#REF!</v>
      </c>
      <c r="IO64" t="e">
        <f>AND(ConsolidatedEventList!#REF!,"AAAAAF7/Sfg=")</f>
        <v>#REF!</v>
      </c>
      <c r="IP64" t="e">
        <f>AND(ConsolidatedEventList!#REF!,"AAAAAF7/Sfk=")</f>
        <v>#REF!</v>
      </c>
      <c r="IQ64" t="e">
        <f>AND(ConsolidatedEventList!#REF!,"AAAAAF7/Sfo=")</f>
        <v>#REF!</v>
      </c>
      <c r="IR64" t="e">
        <f>AND(ConsolidatedEventList!#REF!,"AAAAAF7/Sfs=")</f>
        <v>#REF!</v>
      </c>
      <c r="IS64" t="e">
        <f>AND(ConsolidatedEventList!#REF!,"AAAAAF7/Sfw=")</f>
        <v>#REF!</v>
      </c>
      <c r="IT64" t="e">
        <f>IF(ConsolidatedEventList!#REF!,"AAAAAF7/Sf0=",0)</f>
        <v>#REF!</v>
      </c>
      <c r="IU64" t="e">
        <f>AND(ConsolidatedEventList!#REF!,"AAAAAF7/Sf4=")</f>
        <v>#REF!</v>
      </c>
      <c r="IV64" t="e">
        <f>AND(ConsolidatedEventList!#REF!,"AAAAAF7/Sf8=")</f>
        <v>#REF!</v>
      </c>
    </row>
    <row r="65" spans="1:256" x14ac:dyDescent="0.25">
      <c r="A65" t="e">
        <f>AND(ConsolidatedEventList!#REF!,"AAAAAHfj/gA=")</f>
        <v>#REF!</v>
      </c>
      <c r="B65" t="e">
        <f>AND(ConsolidatedEventList!#REF!,"AAAAAHfj/gE=")</f>
        <v>#REF!</v>
      </c>
      <c r="C65" t="e">
        <f>AND(ConsolidatedEventList!#REF!,"AAAAAHfj/gI=")</f>
        <v>#REF!</v>
      </c>
      <c r="D65" t="e">
        <f>AND(ConsolidatedEventList!#REF!,"AAAAAHfj/gM=")</f>
        <v>#REF!</v>
      </c>
      <c r="E65" t="e">
        <f>AND(ConsolidatedEventList!#REF!,"AAAAAHfj/gQ=")</f>
        <v>#REF!</v>
      </c>
      <c r="F65" t="e">
        <f>AND(ConsolidatedEventList!#REF!,"AAAAAHfj/gU=")</f>
        <v>#REF!</v>
      </c>
      <c r="G65" t="e">
        <f>IF(ConsolidatedEventList!#REF!,"AAAAAHfj/gY=",0)</f>
        <v>#REF!</v>
      </c>
      <c r="H65" t="e">
        <f>AND(ConsolidatedEventList!#REF!,"AAAAAHfj/gc=")</f>
        <v>#REF!</v>
      </c>
      <c r="I65" t="e">
        <f>AND(ConsolidatedEventList!#REF!,"AAAAAHfj/gg=")</f>
        <v>#REF!</v>
      </c>
      <c r="J65" t="e">
        <f>AND(ConsolidatedEventList!#REF!,"AAAAAHfj/gk=")</f>
        <v>#REF!</v>
      </c>
      <c r="K65" t="e">
        <f>AND(ConsolidatedEventList!#REF!,"AAAAAHfj/go=")</f>
        <v>#REF!</v>
      </c>
      <c r="L65" t="e">
        <f>AND(ConsolidatedEventList!#REF!,"AAAAAHfj/gs=")</f>
        <v>#REF!</v>
      </c>
      <c r="M65" t="e">
        <f>AND(ConsolidatedEventList!#REF!,"AAAAAHfj/gw=")</f>
        <v>#REF!</v>
      </c>
      <c r="N65" t="e">
        <f>AND(ConsolidatedEventList!#REF!,"AAAAAHfj/g0=")</f>
        <v>#REF!</v>
      </c>
      <c r="O65" t="e">
        <f>AND(ConsolidatedEventList!#REF!,"AAAAAHfj/g4=")</f>
        <v>#REF!</v>
      </c>
      <c r="P65" t="e">
        <f>IF(ConsolidatedEventList!#REF!,"AAAAAHfj/g8=",0)</f>
        <v>#REF!</v>
      </c>
      <c r="Q65" t="e">
        <f>AND(ConsolidatedEventList!#REF!,"AAAAAHfj/hA=")</f>
        <v>#REF!</v>
      </c>
      <c r="R65" t="e">
        <f>AND(ConsolidatedEventList!#REF!,"AAAAAHfj/hE=")</f>
        <v>#REF!</v>
      </c>
      <c r="S65" t="e">
        <f>AND(ConsolidatedEventList!#REF!,"AAAAAHfj/hI=")</f>
        <v>#REF!</v>
      </c>
      <c r="T65" t="e">
        <f>AND(ConsolidatedEventList!#REF!,"AAAAAHfj/hM=")</f>
        <v>#REF!</v>
      </c>
      <c r="U65" t="e">
        <f>AND(ConsolidatedEventList!#REF!,"AAAAAHfj/hQ=")</f>
        <v>#REF!</v>
      </c>
      <c r="V65" t="e">
        <f>AND(ConsolidatedEventList!#REF!,"AAAAAHfj/hU=")</f>
        <v>#REF!</v>
      </c>
      <c r="W65" t="e">
        <f>AND(ConsolidatedEventList!#REF!,"AAAAAHfj/hY=")</f>
        <v>#REF!</v>
      </c>
      <c r="X65" t="e">
        <f>AND(ConsolidatedEventList!#REF!,"AAAAAHfj/hc=")</f>
        <v>#REF!</v>
      </c>
      <c r="Y65" t="e">
        <f>IF(ConsolidatedEventList!#REF!,"AAAAAHfj/hg=",0)</f>
        <v>#REF!</v>
      </c>
      <c r="Z65" t="e">
        <f>AND(ConsolidatedEventList!#REF!,"AAAAAHfj/hk=")</f>
        <v>#REF!</v>
      </c>
      <c r="AA65" t="e">
        <f>AND(ConsolidatedEventList!#REF!,"AAAAAHfj/ho=")</f>
        <v>#REF!</v>
      </c>
      <c r="AB65" t="e">
        <f>AND(ConsolidatedEventList!#REF!,"AAAAAHfj/hs=")</f>
        <v>#REF!</v>
      </c>
      <c r="AC65" t="e">
        <f>AND(ConsolidatedEventList!#REF!,"AAAAAHfj/hw=")</f>
        <v>#REF!</v>
      </c>
      <c r="AD65" t="e">
        <f>AND(ConsolidatedEventList!#REF!,"AAAAAHfj/h0=")</f>
        <v>#REF!</v>
      </c>
      <c r="AE65" t="e">
        <f>AND(ConsolidatedEventList!#REF!,"AAAAAHfj/h4=")</f>
        <v>#REF!</v>
      </c>
      <c r="AF65" t="e">
        <f>AND(ConsolidatedEventList!#REF!,"AAAAAHfj/h8=")</f>
        <v>#REF!</v>
      </c>
      <c r="AG65" t="e">
        <f>AND(ConsolidatedEventList!#REF!,"AAAAAHfj/iA=")</f>
        <v>#REF!</v>
      </c>
      <c r="AH65" t="e">
        <f>IF(ConsolidatedEventList!#REF!,"AAAAAHfj/iE=",0)</f>
        <v>#REF!</v>
      </c>
      <c r="AI65" t="e">
        <f>AND(ConsolidatedEventList!#REF!,"AAAAAHfj/iI=")</f>
        <v>#REF!</v>
      </c>
      <c r="AJ65" t="e">
        <f>AND(ConsolidatedEventList!#REF!,"AAAAAHfj/iM=")</f>
        <v>#REF!</v>
      </c>
      <c r="AK65" t="e">
        <f>AND(ConsolidatedEventList!#REF!,"AAAAAHfj/iQ=")</f>
        <v>#REF!</v>
      </c>
      <c r="AL65" t="e">
        <f>AND(ConsolidatedEventList!#REF!,"AAAAAHfj/iU=")</f>
        <v>#REF!</v>
      </c>
      <c r="AM65" t="e">
        <f>AND(ConsolidatedEventList!#REF!,"AAAAAHfj/iY=")</f>
        <v>#REF!</v>
      </c>
      <c r="AN65" t="e">
        <f>AND(ConsolidatedEventList!#REF!,"AAAAAHfj/ic=")</f>
        <v>#REF!</v>
      </c>
      <c r="AO65" t="e">
        <f>AND(ConsolidatedEventList!#REF!,"AAAAAHfj/ig=")</f>
        <v>#REF!</v>
      </c>
      <c r="AP65" t="e">
        <f>AND(ConsolidatedEventList!#REF!,"AAAAAHfj/ik=")</f>
        <v>#REF!</v>
      </c>
      <c r="AQ65" t="e">
        <f>IF(ConsolidatedEventList!#REF!,"AAAAAHfj/io=",0)</f>
        <v>#REF!</v>
      </c>
      <c r="AR65" t="e">
        <f>AND(ConsolidatedEventList!#REF!,"AAAAAHfj/is=")</f>
        <v>#REF!</v>
      </c>
      <c r="AS65" t="e">
        <f>AND(ConsolidatedEventList!#REF!,"AAAAAHfj/iw=")</f>
        <v>#REF!</v>
      </c>
      <c r="AT65" t="e">
        <f>AND(ConsolidatedEventList!#REF!,"AAAAAHfj/i0=")</f>
        <v>#REF!</v>
      </c>
      <c r="AU65" t="e">
        <f>AND(ConsolidatedEventList!#REF!,"AAAAAHfj/i4=")</f>
        <v>#REF!</v>
      </c>
      <c r="AV65" t="e">
        <f>AND(ConsolidatedEventList!#REF!,"AAAAAHfj/i8=")</f>
        <v>#REF!</v>
      </c>
      <c r="AW65" t="e">
        <f>AND(ConsolidatedEventList!#REF!,"AAAAAHfj/jA=")</f>
        <v>#REF!</v>
      </c>
      <c r="AX65" t="e">
        <f>AND(ConsolidatedEventList!#REF!,"AAAAAHfj/jE=")</f>
        <v>#REF!</v>
      </c>
      <c r="AY65" t="e">
        <f>AND(ConsolidatedEventList!#REF!,"AAAAAHfj/jI=")</f>
        <v>#REF!</v>
      </c>
      <c r="AZ65" t="e">
        <f>IF(ConsolidatedEventList!#REF!,"AAAAAHfj/jM=",0)</f>
        <v>#REF!</v>
      </c>
      <c r="BA65" t="e">
        <f>AND(ConsolidatedEventList!#REF!,"AAAAAHfj/jQ=")</f>
        <v>#REF!</v>
      </c>
      <c r="BB65" t="e">
        <f>AND(ConsolidatedEventList!#REF!,"AAAAAHfj/jU=")</f>
        <v>#REF!</v>
      </c>
      <c r="BC65" t="e">
        <f>AND(ConsolidatedEventList!#REF!,"AAAAAHfj/jY=")</f>
        <v>#REF!</v>
      </c>
      <c r="BD65" t="e">
        <f>AND(ConsolidatedEventList!#REF!,"AAAAAHfj/jc=")</f>
        <v>#REF!</v>
      </c>
      <c r="BE65" t="e">
        <f>AND(ConsolidatedEventList!#REF!,"AAAAAHfj/jg=")</f>
        <v>#REF!</v>
      </c>
      <c r="BF65" t="e">
        <f>AND(ConsolidatedEventList!#REF!,"AAAAAHfj/jk=")</f>
        <v>#REF!</v>
      </c>
      <c r="BG65" t="e">
        <f>AND(ConsolidatedEventList!#REF!,"AAAAAHfj/jo=")</f>
        <v>#REF!</v>
      </c>
      <c r="BH65" t="e">
        <f>AND(ConsolidatedEventList!#REF!,"AAAAAHfj/js=")</f>
        <v>#REF!</v>
      </c>
      <c r="BI65" t="e">
        <f>IF(ConsolidatedEventList!#REF!,"AAAAAHfj/jw=",0)</f>
        <v>#REF!</v>
      </c>
      <c r="BJ65" t="e">
        <f>AND(ConsolidatedEventList!#REF!,"AAAAAHfj/j0=")</f>
        <v>#REF!</v>
      </c>
      <c r="BK65" t="e">
        <f>AND(ConsolidatedEventList!#REF!,"AAAAAHfj/j4=")</f>
        <v>#REF!</v>
      </c>
      <c r="BL65" t="e">
        <f>AND(ConsolidatedEventList!#REF!,"AAAAAHfj/j8=")</f>
        <v>#REF!</v>
      </c>
      <c r="BM65" t="e">
        <f>AND(ConsolidatedEventList!#REF!,"AAAAAHfj/kA=")</f>
        <v>#REF!</v>
      </c>
      <c r="BN65" t="e">
        <f>AND(ConsolidatedEventList!#REF!,"AAAAAHfj/kE=")</f>
        <v>#REF!</v>
      </c>
      <c r="BO65" t="e">
        <f>AND(ConsolidatedEventList!#REF!,"AAAAAHfj/kI=")</f>
        <v>#REF!</v>
      </c>
      <c r="BP65" t="e">
        <f>AND(ConsolidatedEventList!#REF!,"AAAAAHfj/kM=")</f>
        <v>#REF!</v>
      </c>
      <c r="BQ65" t="e">
        <f>AND(ConsolidatedEventList!#REF!,"AAAAAHfj/kQ=")</f>
        <v>#REF!</v>
      </c>
      <c r="BR65" t="e">
        <f>IF(ConsolidatedEventList!#REF!,"AAAAAHfj/kU=",0)</f>
        <v>#REF!</v>
      </c>
      <c r="BS65" t="e">
        <f>AND(ConsolidatedEventList!#REF!,"AAAAAHfj/kY=")</f>
        <v>#REF!</v>
      </c>
      <c r="BT65" t="e">
        <f>AND(ConsolidatedEventList!#REF!,"AAAAAHfj/kc=")</f>
        <v>#REF!</v>
      </c>
      <c r="BU65" t="e">
        <f>AND(ConsolidatedEventList!#REF!,"AAAAAHfj/kg=")</f>
        <v>#REF!</v>
      </c>
      <c r="BV65" t="e">
        <f>AND(ConsolidatedEventList!#REF!,"AAAAAHfj/kk=")</f>
        <v>#REF!</v>
      </c>
      <c r="BW65" t="e">
        <f>AND(ConsolidatedEventList!#REF!,"AAAAAHfj/ko=")</f>
        <v>#REF!</v>
      </c>
      <c r="BX65" t="e">
        <f>AND(ConsolidatedEventList!#REF!,"AAAAAHfj/ks=")</f>
        <v>#REF!</v>
      </c>
      <c r="BY65" t="e">
        <f>AND(ConsolidatedEventList!#REF!,"AAAAAHfj/kw=")</f>
        <v>#REF!</v>
      </c>
      <c r="BZ65" t="e">
        <f>AND(ConsolidatedEventList!#REF!,"AAAAAHfj/k0=")</f>
        <v>#REF!</v>
      </c>
      <c r="CA65" t="e">
        <f>IF(ConsolidatedEventList!#REF!,"AAAAAHfj/k4=",0)</f>
        <v>#REF!</v>
      </c>
      <c r="CB65" t="e">
        <f>AND(ConsolidatedEventList!#REF!,"AAAAAHfj/k8=")</f>
        <v>#REF!</v>
      </c>
      <c r="CC65" t="e">
        <f>AND(ConsolidatedEventList!#REF!,"AAAAAHfj/lA=")</f>
        <v>#REF!</v>
      </c>
      <c r="CD65" t="e">
        <f>AND(ConsolidatedEventList!#REF!,"AAAAAHfj/lE=")</f>
        <v>#REF!</v>
      </c>
      <c r="CE65" t="e">
        <f>AND(ConsolidatedEventList!#REF!,"AAAAAHfj/lI=")</f>
        <v>#REF!</v>
      </c>
      <c r="CF65" t="e">
        <f>AND(ConsolidatedEventList!#REF!,"AAAAAHfj/lM=")</f>
        <v>#REF!</v>
      </c>
      <c r="CG65" t="e">
        <f>AND(ConsolidatedEventList!#REF!,"AAAAAHfj/lQ=")</f>
        <v>#REF!</v>
      </c>
      <c r="CH65" t="e">
        <f>AND(ConsolidatedEventList!#REF!,"AAAAAHfj/lU=")</f>
        <v>#REF!</v>
      </c>
      <c r="CI65" t="e">
        <f>AND(ConsolidatedEventList!#REF!,"AAAAAHfj/lY=")</f>
        <v>#REF!</v>
      </c>
      <c r="CJ65" t="e">
        <f>IF(ConsolidatedEventList!#REF!,"AAAAAHfj/lc=",0)</f>
        <v>#REF!</v>
      </c>
      <c r="CK65" t="e">
        <f>AND(ConsolidatedEventList!#REF!,"AAAAAHfj/lg=")</f>
        <v>#REF!</v>
      </c>
      <c r="CL65" t="e">
        <f>AND(ConsolidatedEventList!#REF!,"AAAAAHfj/lk=")</f>
        <v>#REF!</v>
      </c>
      <c r="CM65" t="e">
        <f>AND(ConsolidatedEventList!#REF!,"AAAAAHfj/lo=")</f>
        <v>#REF!</v>
      </c>
      <c r="CN65" t="e">
        <f>AND(ConsolidatedEventList!#REF!,"AAAAAHfj/ls=")</f>
        <v>#REF!</v>
      </c>
      <c r="CO65" t="e">
        <f>AND(ConsolidatedEventList!#REF!,"AAAAAHfj/lw=")</f>
        <v>#REF!</v>
      </c>
      <c r="CP65" t="e">
        <f>AND(ConsolidatedEventList!#REF!,"AAAAAHfj/l0=")</f>
        <v>#REF!</v>
      </c>
      <c r="CQ65" t="e">
        <f>AND(ConsolidatedEventList!#REF!,"AAAAAHfj/l4=")</f>
        <v>#REF!</v>
      </c>
      <c r="CR65" t="e">
        <f>AND(ConsolidatedEventList!#REF!,"AAAAAHfj/l8=")</f>
        <v>#REF!</v>
      </c>
      <c r="CS65" t="e">
        <f>IF(ConsolidatedEventList!#REF!,"AAAAAHfj/mA=",0)</f>
        <v>#REF!</v>
      </c>
      <c r="CT65" t="e">
        <f>AND(ConsolidatedEventList!#REF!,"AAAAAHfj/mE=")</f>
        <v>#REF!</v>
      </c>
      <c r="CU65" t="e">
        <f>AND(ConsolidatedEventList!#REF!,"AAAAAHfj/mI=")</f>
        <v>#REF!</v>
      </c>
      <c r="CV65" t="e">
        <f>AND(ConsolidatedEventList!#REF!,"AAAAAHfj/mM=")</f>
        <v>#REF!</v>
      </c>
      <c r="CW65" t="e">
        <f>AND(ConsolidatedEventList!#REF!,"AAAAAHfj/mQ=")</f>
        <v>#REF!</v>
      </c>
      <c r="CX65" t="e">
        <f>AND(ConsolidatedEventList!#REF!,"AAAAAHfj/mU=")</f>
        <v>#REF!</v>
      </c>
      <c r="CY65" t="e">
        <f>AND(ConsolidatedEventList!#REF!,"AAAAAHfj/mY=")</f>
        <v>#REF!</v>
      </c>
      <c r="CZ65" t="e">
        <f>AND(ConsolidatedEventList!#REF!,"AAAAAHfj/mc=")</f>
        <v>#REF!</v>
      </c>
      <c r="DA65" t="e">
        <f>AND(ConsolidatedEventList!#REF!,"AAAAAHfj/mg=")</f>
        <v>#REF!</v>
      </c>
      <c r="DB65" t="e">
        <f>IF(ConsolidatedEventList!#REF!,"AAAAAHfj/mk=",0)</f>
        <v>#REF!</v>
      </c>
      <c r="DC65" t="e">
        <f>AND(ConsolidatedEventList!#REF!,"AAAAAHfj/mo=")</f>
        <v>#REF!</v>
      </c>
      <c r="DD65" t="e">
        <f>AND(ConsolidatedEventList!#REF!,"AAAAAHfj/ms=")</f>
        <v>#REF!</v>
      </c>
      <c r="DE65" t="e">
        <f>AND(ConsolidatedEventList!#REF!,"AAAAAHfj/mw=")</f>
        <v>#REF!</v>
      </c>
      <c r="DF65" t="e">
        <f>AND(ConsolidatedEventList!#REF!,"AAAAAHfj/m0=")</f>
        <v>#REF!</v>
      </c>
      <c r="DG65" t="e">
        <f>AND(ConsolidatedEventList!#REF!,"AAAAAHfj/m4=")</f>
        <v>#REF!</v>
      </c>
      <c r="DH65" t="e">
        <f>AND(ConsolidatedEventList!#REF!,"AAAAAHfj/m8=")</f>
        <v>#REF!</v>
      </c>
      <c r="DI65" t="e">
        <f>AND(ConsolidatedEventList!#REF!,"AAAAAHfj/nA=")</f>
        <v>#REF!</v>
      </c>
      <c r="DJ65" t="e">
        <f>AND(ConsolidatedEventList!#REF!,"AAAAAHfj/nE=")</f>
        <v>#REF!</v>
      </c>
      <c r="DK65" t="e">
        <f>IF(ConsolidatedEventList!#REF!,"AAAAAHfj/nI=",0)</f>
        <v>#REF!</v>
      </c>
      <c r="DL65" t="e">
        <f>AND(ConsolidatedEventList!#REF!,"AAAAAHfj/nM=")</f>
        <v>#REF!</v>
      </c>
      <c r="DM65" t="e">
        <f>AND(ConsolidatedEventList!#REF!,"AAAAAHfj/nQ=")</f>
        <v>#REF!</v>
      </c>
      <c r="DN65" t="e">
        <f>AND(ConsolidatedEventList!#REF!,"AAAAAHfj/nU=")</f>
        <v>#REF!</v>
      </c>
      <c r="DO65" t="e">
        <f>AND(ConsolidatedEventList!#REF!,"AAAAAHfj/nY=")</f>
        <v>#REF!</v>
      </c>
      <c r="DP65" t="e">
        <f>AND(ConsolidatedEventList!#REF!,"AAAAAHfj/nc=")</f>
        <v>#REF!</v>
      </c>
      <c r="DQ65" t="e">
        <f>AND(ConsolidatedEventList!#REF!,"AAAAAHfj/ng=")</f>
        <v>#REF!</v>
      </c>
      <c r="DR65" t="e">
        <f>AND(ConsolidatedEventList!#REF!,"AAAAAHfj/nk=")</f>
        <v>#REF!</v>
      </c>
      <c r="DS65" t="e">
        <f>AND(ConsolidatedEventList!#REF!,"AAAAAHfj/no=")</f>
        <v>#REF!</v>
      </c>
      <c r="DT65" t="e">
        <f>IF(ConsolidatedEventList!#REF!,"AAAAAHfj/ns=",0)</f>
        <v>#REF!</v>
      </c>
      <c r="DU65" t="e">
        <f>AND(ConsolidatedEventList!#REF!,"AAAAAHfj/nw=")</f>
        <v>#REF!</v>
      </c>
      <c r="DV65" t="e">
        <f>AND(ConsolidatedEventList!#REF!,"AAAAAHfj/n0=")</f>
        <v>#REF!</v>
      </c>
      <c r="DW65" t="e">
        <f>AND(ConsolidatedEventList!#REF!,"AAAAAHfj/n4=")</f>
        <v>#REF!</v>
      </c>
      <c r="DX65" t="e">
        <f>AND(ConsolidatedEventList!#REF!,"AAAAAHfj/n8=")</f>
        <v>#REF!</v>
      </c>
      <c r="DY65" t="e">
        <f>AND(ConsolidatedEventList!#REF!,"AAAAAHfj/oA=")</f>
        <v>#REF!</v>
      </c>
      <c r="DZ65" t="e">
        <f>AND(ConsolidatedEventList!#REF!,"AAAAAHfj/oE=")</f>
        <v>#REF!</v>
      </c>
      <c r="EA65" t="e">
        <f>AND(ConsolidatedEventList!#REF!,"AAAAAHfj/oI=")</f>
        <v>#REF!</v>
      </c>
      <c r="EB65" t="e">
        <f>AND(ConsolidatedEventList!#REF!,"AAAAAHfj/oM=")</f>
        <v>#REF!</v>
      </c>
      <c r="EC65" t="e">
        <f>IF(ConsolidatedEventList!#REF!,"AAAAAHfj/oQ=",0)</f>
        <v>#REF!</v>
      </c>
      <c r="ED65" t="e">
        <f>AND(ConsolidatedEventList!#REF!,"AAAAAHfj/oU=")</f>
        <v>#REF!</v>
      </c>
      <c r="EE65" t="e">
        <f>AND(ConsolidatedEventList!#REF!,"AAAAAHfj/oY=")</f>
        <v>#REF!</v>
      </c>
      <c r="EF65" t="e">
        <f>AND(ConsolidatedEventList!#REF!,"AAAAAHfj/oc=")</f>
        <v>#REF!</v>
      </c>
      <c r="EG65" t="e">
        <f>AND(ConsolidatedEventList!#REF!,"AAAAAHfj/og=")</f>
        <v>#REF!</v>
      </c>
      <c r="EH65" t="e">
        <f>AND(ConsolidatedEventList!#REF!,"AAAAAHfj/ok=")</f>
        <v>#REF!</v>
      </c>
      <c r="EI65" t="e">
        <f>AND(ConsolidatedEventList!#REF!,"AAAAAHfj/oo=")</f>
        <v>#REF!</v>
      </c>
      <c r="EJ65" t="e">
        <f>AND(ConsolidatedEventList!#REF!,"AAAAAHfj/os=")</f>
        <v>#REF!</v>
      </c>
      <c r="EK65" t="e">
        <f>AND(ConsolidatedEventList!#REF!,"AAAAAHfj/ow=")</f>
        <v>#REF!</v>
      </c>
      <c r="EL65" t="e">
        <f>IF(ConsolidatedEventList!#REF!,"AAAAAHfj/o0=",0)</f>
        <v>#REF!</v>
      </c>
      <c r="EM65" t="e">
        <f>AND(ConsolidatedEventList!#REF!,"AAAAAHfj/o4=")</f>
        <v>#REF!</v>
      </c>
      <c r="EN65" t="e">
        <f>AND(ConsolidatedEventList!#REF!,"AAAAAHfj/o8=")</f>
        <v>#REF!</v>
      </c>
      <c r="EO65" t="e">
        <f>AND(ConsolidatedEventList!#REF!,"AAAAAHfj/pA=")</f>
        <v>#REF!</v>
      </c>
      <c r="EP65" t="e">
        <f>AND(ConsolidatedEventList!#REF!,"AAAAAHfj/pE=")</f>
        <v>#REF!</v>
      </c>
      <c r="EQ65" t="e">
        <f>AND(ConsolidatedEventList!#REF!,"AAAAAHfj/pI=")</f>
        <v>#REF!</v>
      </c>
      <c r="ER65" t="e">
        <f>AND(ConsolidatedEventList!#REF!,"AAAAAHfj/pM=")</f>
        <v>#REF!</v>
      </c>
      <c r="ES65" t="e">
        <f>AND(ConsolidatedEventList!#REF!,"AAAAAHfj/pQ=")</f>
        <v>#REF!</v>
      </c>
      <c r="ET65" t="e">
        <f>AND(ConsolidatedEventList!#REF!,"AAAAAHfj/pU=")</f>
        <v>#REF!</v>
      </c>
      <c r="EU65" t="e">
        <f>IF(ConsolidatedEventList!#REF!,"AAAAAHfj/pY=",0)</f>
        <v>#REF!</v>
      </c>
      <c r="EV65" t="e">
        <f>AND(ConsolidatedEventList!#REF!,"AAAAAHfj/pc=")</f>
        <v>#REF!</v>
      </c>
      <c r="EW65" t="e">
        <f>AND(ConsolidatedEventList!#REF!,"AAAAAHfj/pg=")</f>
        <v>#REF!</v>
      </c>
      <c r="EX65" t="e">
        <f>AND(ConsolidatedEventList!#REF!,"AAAAAHfj/pk=")</f>
        <v>#REF!</v>
      </c>
      <c r="EY65" t="e">
        <f>AND(ConsolidatedEventList!#REF!,"AAAAAHfj/po=")</f>
        <v>#REF!</v>
      </c>
      <c r="EZ65" t="e">
        <f>AND(ConsolidatedEventList!#REF!,"AAAAAHfj/ps=")</f>
        <v>#REF!</v>
      </c>
      <c r="FA65" t="e">
        <f>AND(ConsolidatedEventList!#REF!,"AAAAAHfj/pw=")</f>
        <v>#REF!</v>
      </c>
      <c r="FB65" t="e">
        <f>AND(ConsolidatedEventList!#REF!,"AAAAAHfj/p0=")</f>
        <v>#REF!</v>
      </c>
      <c r="FC65" t="e">
        <f>AND(ConsolidatedEventList!#REF!,"AAAAAHfj/p4=")</f>
        <v>#REF!</v>
      </c>
      <c r="FD65" t="e">
        <f>IF(ConsolidatedEventList!#REF!,"AAAAAHfj/p8=",0)</f>
        <v>#REF!</v>
      </c>
      <c r="FE65" t="e">
        <f>AND(ConsolidatedEventList!#REF!,"AAAAAHfj/qA=")</f>
        <v>#REF!</v>
      </c>
      <c r="FF65" t="e">
        <f>AND(ConsolidatedEventList!#REF!,"AAAAAHfj/qE=")</f>
        <v>#REF!</v>
      </c>
      <c r="FG65" t="e">
        <f>AND(ConsolidatedEventList!#REF!,"AAAAAHfj/qI=")</f>
        <v>#REF!</v>
      </c>
      <c r="FH65" t="e">
        <f>AND(ConsolidatedEventList!#REF!,"AAAAAHfj/qM=")</f>
        <v>#REF!</v>
      </c>
      <c r="FI65" t="e">
        <f>AND(ConsolidatedEventList!#REF!,"AAAAAHfj/qQ=")</f>
        <v>#REF!</v>
      </c>
      <c r="FJ65" t="e">
        <f>AND(ConsolidatedEventList!#REF!,"AAAAAHfj/qU=")</f>
        <v>#REF!</v>
      </c>
      <c r="FK65" t="e">
        <f>AND(ConsolidatedEventList!#REF!,"AAAAAHfj/qY=")</f>
        <v>#REF!</v>
      </c>
      <c r="FL65" t="e">
        <f>AND(ConsolidatedEventList!#REF!,"AAAAAHfj/qc=")</f>
        <v>#REF!</v>
      </c>
      <c r="FM65" t="e">
        <f>IF(ConsolidatedEventList!#REF!,"AAAAAHfj/qg=",0)</f>
        <v>#REF!</v>
      </c>
      <c r="FN65" t="e">
        <f>AND(ConsolidatedEventList!#REF!,"AAAAAHfj/qk=")</f>
        <v>#REF!</v>
      </c>
      <c r="FO65" t="e">
        <f>AND(ConsolidatedEventList!#REF!,"AAAAAHfj/qo=")</f>
        <v>#REF!</v>
      </c>
      <c r="FP65" t="e">
        <f>AND(ConsolidatedEventList!#REF!,"AAAAAHfj/qs=")</f>
        <v>#REF!</v>
      </c>
      <c r="FQ65" t="e">
        <f>AND(ConsolidatedEventList!#REF!,"AAAAAHfj/qw=")</f>
        <v>#REF!</v>
      </c>
      <c r="FR65" t="e">
        <f>AND(ConsolidatedEventList!#REF!,"AAAAAHfj/q0=")</f>
        <v>#REF!</v>
      </c>
      <c r="FS65" t="e">
        <f>AND(ConsolidatedEventList!#REF!,"AAAAAHfj/q4=")</f>
        <v>#REF!</v>
      </c>
      <c r="FT65" t="e">
        <f>AND(ConsolidatedEventList!#REF!,"AAAAAHfj/q8=")</f>
        <v>#REF!</v>
      </c>
      <c r="FU65" t="e">
        <f>AND(ConsolidatedEventList!#REF!,"AAAAAHfj/rA=")</f>
        <v>#REF!</v>
      </c>
      <c r="FV65" t="e">
        <f>IF(ConsolidatedEventList!#REF!,"AAAAAHfj/rE=",0)</f>
        <v>#REF!</v>
      </c>
      <c r="FW65" t="e">
        <f>AND(ConsolidatedEventList!#REF!,"AAAAAHfj/rI=")</f>
        <v>#REF!</v>
      </c>
      <c r="FX65" t="e">
        <f>AND(ConsolidatedEventList!#REF!,"AAAAAHfj/rM=")</f>
        <v>#REF!</v>
      </c>
      <c r="FY65" t="e">
        <f>AND(ConsolidatedEventList!#REF!,"AAAAAHfj/rQ=")</f>
        <v>#REF!</v>
      </c>
      <c r="FZ65" t="e">
        <f>AND(ConsolidatedEventList!#REF!,"AAAAAHfj/rU=")</f>
        <v>#REF!</v>
      </c>
      <c r="GA65" t="e">
        <f>AND(ConsolidatedEventList!#REF!,"AAAAAHfj/rY=")</f>
        <v>#REF!</v>
      </c>
      <c r="GB65" t="e">
        <f>AND(ConsolidatedEventList!#REF!,"AAAAAHfj/rc=")</f>
        <v>#REF!</v>
      </c>
      <c r="GC65" t="e">
        <f>AND(ConsolidatedEventList!#REF!,"AAAAAHfj/rg=")</f>
        <v>#REF!</v>
      </c>
      <c r="GD65" t="e">
        <f>AND(ConsolidatedEventList!#REF!,"AAAAAHfj/rk=")</f>
        <v>#REF!</v>
      </c>
      <c r="GE65" t="e">
        <f>IF(ConsolidatedEventList!#REF!,"AAAAAHfj/ro=",0)</f>
        <v>#REF!</v>
      </c>
      <c r="GF65" t="e">
        <f>AND(ConsolidatedEventList!#REF!,"AAAAAHfj/rs=")</f>
        <v>#REF!</v>
      </c>
      <c r="GG65" t="e">
        <f>AND(ConsolidatedEventList!#REF!,"AAAAAHfj/rw=")</f>
        <v>#REF!</v>
      </c>
      <c r="GH65" t="e">
        <f>AND(ConsolidatedEventList!#REF!,"AAAAAHfj/r0=")</f>
        <v>#REF!</v>
      </c>
      <c r="GI65" t="e">
        <f>AND(ConsolidatedEventList!#REF!,"AAAAAHfj/r4=")</f>
        <v>#REF!</v>
      </c>
      <c r="GJ65" t="e">
        <f>AND(ConsolidatedEventList!#REF!,"AAAAAHfj/r8=")</f>
        <v>#REF!</v>
      </c>
      <c r="GK65" t="e">
        <f>AND(ConsolidatedEventList!#REF!,"AAAAAHfj/sA=")</f>
        <v>#REF!</v>
      </c>
      <c r="GL65" t="e">
        <f>AND(ConsolidatedEventList!#REF!,"AAAAAHfj/sE=")</f>
        <v>#REF!</v>
      </c>
      <c r="GM65" t="e">
        <f>AND(ConsolidatedEventList!#REF!,"AAAAAHfj/sI=")</f>
        <v>#REF!</v>
      </c>
      <c r="GN65" t="e">
        <f>IF(ConsolidatedEventList!#REF!,"AAAAAHfj/sM=",0)</f>
        <v>#REF!</v>
      </c>
      <c r="GO65" t="e">
        <f>AND(ConsolidatedEventList!#REF!,"AAAAAHfj/sQ=")</f>
        <v>#REF!</v>
      </c>
      <c r="GP65" t="e">
        <f>AND(ConsolidatedEventList!#REF!,"AAAAAHfj/sU=")</f>
        <v>#REF!</v>
      </c>
      <c r="GQ65" t="e">
        <f>AND(ConsolidatedEventList!#REF!,"AAAAAHfj/sY=")</f>
        <v>#REF!</v>
      </c>
      <c r="GR65" t="e">
        <f>AND(ConsolidatedEventList!#REF!,"AAAAAHfj/sc=")</f>
        <v>#REF!</v>
      </c>
      <c r="GS65" t="e">
        <f>AND(ConsolidatedEventList!#REF!,"AAAAAHfj/sg=")</f>
        <v>#REF!</v>
      </c>
      <c r="GT65" t="e">
        <f>AND(ConsolidatedEventList!#REF!,"AAAAAHfj/sk=")</f>
        <v>#REF!</v>
      </c>
      <c r="GU65" t="e">
        <f>AND(ConsolidatedEventList!#REF!,"AAAAAHfj/so=")</f>
        <v>#REF!</v>
      </c>
      <c r="GV65" t="e">
        <f>AND(ConsolidatedEventList!#REF!,"AAAAAHfj/ss=")</f>
        <v>#REF!</v>
      </c>
      <c r="GW65" t="e">
        <f>IF(ConsolidatedEventList!#REF!,"AAAAAHfj/sw=",0)</f>
        <v>#REF!</v>
      </c>
      <c r="GX65" t="e">
        <f>AND(ConsolidatedEventList!#REF!,"AAAAAHfj/s0=")</f>
        <v>#REF!</v>
      </c>
      <c r="GY65" t="e">
        <f>AND(ConsolidatedEventList!#REF!,"AAAAAHfj/s4=")</f>
        <v>#REF!</v>
      </c>
      <c r="GZ65" t="e">
        <f>AND(ConsolidatedEventList!#REF!,"AAAAAHfj/s8=")</f>
        <v>#REF!</v>
      </c>
      <c r="HA65" t="e">
        <f>AND(ConsolidatedEventList!#REF!,"AAAAAHfj/tA=")</f>
        <v>#REF!</v>
      </c>
      <c r="HB65" t="e">
        <f>AND(ConsolidatedEventList!#REF!,"AAAAAHfj/tE=")</f>
        <v>#REF!</v>
      </c>
      <c r="HC65" t="e">
        <f>AND(ConsolidatedEventList!#REF!,"AAAAAHfj/tI=")</f>
        <v>#REF!</v>
      </c>
      <c r="HD65" t="e">
        <f>AND(ConsolidatedEventList!#REF!,"AAAAAHfj/tM=")</f>
        <v>#REF!</v>
      </c>
      <c r="HE65" t="e">
        <f>AND(ConsolidatedEventList!#REF!,"AAAAAHfj/tQ=")</f>
        <v>#REF!</v>
      </c>
      <c r="HF65" t="e">
        <f>IF(ConsolidatedEventList!#REF!,"AAAAAHfj/tU=",0)</f>
        <v>#REF!</v>
      </c>
      <c r="HG65" t="e">
        <f>AND(ConsolidatedEventList!#REF!,"AAAAAHfj/tY=")</f>
        <v>#REF!</v>
      </c>
      <c r="HH65" t="e">
        <f>AND(ConsolidatedEventList!#REF!,"AAAAAHfj/tc=")</f>
        <v>#REF!</v>
      </c>
      <c r="HI65" t="e">
        <f>AND(ConsolidatedEventList!#REF!,"AAAAAHfj/tg=")</f>
        <v>#REF!</v>
      </c>
      <c r="HJ65" t="e">
        <f>AND(ConsolidatedEventList!#REF!,"AAAAAHfj/tk=")</f>
        <v>#REF!</v>
      </c>
      <c r="HK65" t="e">
        <f>AND(ConsolidatedEventList!#REF!,"AAAAAHfj/to=")</f>
        <v>#REF!</v>
      </c>
      <c r="HL65" t="e">
        <f>AND(ConsolidatedEventList!#REF!,"AAAAAHfj/ts=")</f>
        <v>#REF!</v>
      </c>
      <c r="HM65" t="e">
        <f>AND(ConsolidatedEventList!#REF!,"AAAAAHfj/tw=")</f>
        <v>#REF!</v>
      </c>
      <c r="HN65" t="e">
        <f>AND(ConsolidatedEventList!#REF!,"AAAAAHfj/t0=")</f>
        <v>#REF!</v>
      </c>
      <c r="HO65" t="e">
        <f>IF(ConsolidatedEventList!#REF!,"AAAAAHfj/t4=",0)</f>
        <v>#REF!</v>
      </c>
      <c r="HP65" t="e">
        <f>AND(ConsolidatedEventList!#REF!,"AAAAAHfj/t8=")</f>
        <v>#REF!</v>
      </c>
      <c r="HQ65" t="e">
        <f>AND(ConsolidatedEventList!#REF!,"AAAAAHfj/uA=")</f>
        <v>#REF!</v>
      </c>
      <c r="HR65" t="e">
        <f>AND(ConsolidatedEventList!#REF!,"AAAAAHfj/uE=")</f>
        <v>#REF!</v>
      </c>
      <c r="HS65" t="e">
        <f>AND(ConsolidatedEventList!#REF!,"AAAAAHfj/uI=")</f>
        <v>#REF!</v>
      </c>
      <c r="HT65" t="e">
        <f>AND(ConsolidatedEventList!#REF!,"AAAAAHfj/uM=")</f>
        <v>#REF!</v>
      </c>
      <c r="HU65" t="e">
        <f>AND(ConsolidatedEventList!#REF!,"AAAAAHfj/uQ=")</f>
        <v>#REF!</v>
      </c>
      <c r="HV65" t="e">
        <f>AND(ConsolidatedEventList!#REF!,"AAAAAHfj/uU=")</f>
        <v>#REF!</v>
      </c>
      <c r="HW65" t="e">
        <f>AND(ConsolidatedEventList!#REF!,"AAAAAHfj/uY=")</f>
        <v>#REF!</v>
      </c>
      <c r="HX65" t="e">
        <f>IF(ConsolidatedEventList!#REF!,"AAAAAHfj/uc=",0)</f>
        <v>#REF!</v>
      </c>
      <c r="HY65" t="e">
        <f>AND(ConsolidatedEventList!#REF!,"AAAAAHfj/ug=")</f>
        <v>#REF!</v>
      </c>
      <c r="HZ65" t="e">
        <f>AND(ConsolidatedEventList!#REF!,"AAAAAHfj/uk=")</f>
        <v>#REF!</v>
      </c>
      <c r="IA65" t="e">
        <f>AND(ConsolidatedEventList!#REF!,"AAAAAHfj/uo=")</f>
        <v>#REF!</v>
      </c>
      <c r="IB65" t="e">
        <f>AND(ConsolidatedEventList!#REF!,"AAAAAHfj/us=")</f>
        <v>#REF!</v>
      </c>
      <c r="IC65" t="e">
        <f>AND(ConsolidatedEventList!#REF!,"AAAAAHfj/uw=")</f>
        <v>#REF!</v>
      </c>
      <c r="ID65" t="e">
        <f>AND(ConsolidatedEventList!#REF!,"AAAAAHfj/u0=")</f>
        <v>#REF!</v>
      </c>
      <c r="IE65" t="e">
        <f>AND(ConsolidatedEventList!#REF!,"AAAAAHfj/u4=")</f>
        <v>#REF!</v>
      </c>
      <c r="IF65" t="e">
        <f>AND(ConsolidatedEventList!#REF!,"AAAAAHfj/u8=")</f>
        <v>#REF!</v>
      </c>
      <c r="IG65" t="e">
        <f>IF(ConsolidatedEventList!#REF!,"AAAAAHfj/vA=",0)</f>
        <v>#REF!</v>
      </c>
      <c r="IH65" t="e">
        <f>AND(ConsolidatedEventList!#REF!,"AAAAAHfj/vE=")</f>
        <v>#REF!</v>
      </c>
      <c r="II65" t="e">
        <f>AND(ConsolidatedEventList!#REF!,"AAAAAHfj/vI=")</f>
        <v>#REF!</v>
      </c>
      <c r="IJ65" t="e">
        <f>AND(ConsolidatedEventList!#REF!,"AAAAAHfj/vM=")</f>
        <v>#REF!</v>
      </c>
      <c r="IK65" t="e">
        <f>AND(ConsolidatedEventList!#REF!,"AAAAAHfj/vQ=")</f>
        <v>#REF!</v>
      </c>
      <c r="IL65" t="e">
        <f>AND(ConsolidatedEventList!#REF!,"AAAAAHfj/vU=")</f>
        <v>#REF!</v>
      </c>
      <c r="IM65" t="e">
        <f>AND(ConsolidatedEventList!#REF!,"AAAAAHfj/vY=")</f>
        <v>#REF!</v>
      </c>
      <c r="IN65" t="e">
        <f>AND(ConsolidatedEventList!#REF!,"AAAAAHfj/vc=")</f>
        <v>#REF!</v>
      </c>
      <c r="IO65" t="e">
        <f>AND(ConsolidatedEventList!#REF!,"AAAAAHfj/vg=")</f>
        <v>#REF!</v>
      </c>
      <c r="IP65" t="e">
        <f>IF(ConsolidatedEventList!#REF!,"AAAAAHfj/vk=",0)</f>
        <v>#REF!</v>
      </c>
      <c r="IQ65" t="e">
        <f>AND(ConsolidatedEventList!#REF!,"AAAAAHfj/vo=")</f>
        <v>#REF!</v>
      </c>
      <c r="IR65" t="e">
        <f>AND(ConsolidatedEventList!#REF!,"AAAAAHfj/vs=")</f>
        <v>#REF!</v>
      </c>
      <c r="IS65" t="e">
        <f>AND(ConsolidatedEventList!#REF!,"AAAAAHfj/vw=")</f>
        <v>#REF!</v>
      </c>
      <c r="IT65" t="e">
        <f>AND(ConsolidatedEventList!#REF!,"AAAAAHfj/v0=")</f>
        <v>#REF!</v>
      </c>
      <c r="IU65" t="e">
        <f>AND(ConsolidatedEventList!#REF!,"AAAAAHfj/v4=")</f>
        <v>#REF!</v>
      </c>
      <c r="IV65" t="e">
        <f>AND(ConsolidatedEventList!#REF!,"AAAAAHfj/v8=")</f>
        <v>#REF!</v>
      </c>
    </row>
    <row r="66" spans="1:256" x14ac:dyDescent="0.25">
      <c r="A66" t="e">
        <f>AND(ConsolidatedEventList!#REF!,"AAAAAH//pwA=")</f>
        <v>#REF!</v>
      </c>
      <c r="B66" t="e">
        <f>AND(ConsolidatedEventList!#REF!,"AAAAAH//pwE=")</f>
        <v>#REF!</v>
      </c>
      <c r="C66" t="e">
        <f>IF(ConsolidatedEventList!#REF!,"AAAAAH//pwI=",0)</f>
        <v>#REF!</v>
      </c>
      <c r="D66" t="e">
        <f>AND(ConsolidatedEventList!#REF!,"AAAAAH//pwM=")</f>
        <v>#REF!</v>
      </c>
      <c r="E66" t="e">
        <f>AND(ConsolidatedEventList!#REF!,"AAAAAH//pwQ=")</f>
        <v>#REF!</v>
      </c>
      <c r="F66" t="e">
        <f>AND(ConsolidatedEventList!#REF!,"AAAAAH//pwU=")</f>
        <v>#REF!</v>
      </c>
      <c r="G66" t="e">
        <f>AND(ConsolidatedEventList!#REF!,"AAAAAH//pwY=")</f>
        <v>#REF!</v>
      </c>
      <c r="H66" t="e">
        <f>AND(ConsolidatedEventList!#REF!,"AAAAAH//pwc=")</f>
        <v>#REF!</v>
      </c>
      <c r="I66" t="e">
        <f>AND(ConsolidatedEventList!#REF!,"AAAAAH//pwg=")</f>
        <v>#REF!</v>
      </c>
      <c r="J66" t="e">
        <f>AND(ConsolidatedEventList!#REF!,"AAAAAH//pwk=")</f>
        <v>#REF!</v>
      </c>
      <c r="K66" t="e">
        <f>AND(ConsolidatedEventList!#REF!,"AAAAAH//pwo=")</f>
        <v>#REF!</v>
      </c>
      <c r="L66" t="e">
        <f>IF(ConsolidatedEventList!#REF!,"AAAAAH//pws=",0)</f>
        <v>#REF!</v>
      </c>
      <c r="M66" t="e">
        <f>AND(ConsolidatedEventList!#REF!,"AAAAAH//pww=")</f>
        <v>#REF!</v>
      </c>
      <c r="N66" t="e">
        <f>AND(ConsolidatedEventList!#REF!,"AAAAAH//pw0=")</f>
        <v>#REF!</v>
      </c>
      <c r="O66" t="e">
        <f>AND(ConsolidatedEventList!#REF!,"AAAAAH//pw4=")</f>
        <v>#REF!</v>
      </c>
      <c r="P66" t="e">
        <f>AND(ConsolidatedEventList!#REF!,"AAAAAH//pw8=")</f>
        <v>#REF!</v>
      </c>
      <c r="Q66" t="e">
        <f>AND(ConsolidatedEventList!#REF!,"AAAAAH//pxA=")</f>
        <v>#REF!</v>
      </c>
      <c r="R66" t="e">
        <f>AND(ConsolidatedEventList!#REF!,"AAAAAH//pxE=")</f>
        <v>#REF!</v>
      </c>
      <c r="S66" t="e">
        <f>AND(ConsolidatedEventList!#REF!,"AAAAAH//pxI=")</f>
        <v>#REF!</v>
      </c>
      <c r="T66" t="e">
        <f>AND(ConsolidatedEventList!#REF!,"AAAAAH//pxM=")</f>
        <v>#REF!</v>
      </c>
      <c r="U66" t="e">
        <f>IF(ConsolidatedEventList!#REF!,"AAAAAH//pxQ=",0)</f>
        <v>#REF!</v>
      </c>
      <c r="V66" t="e">
        <f>AND(ConsolidatedEventList!#REF!,"AAAAAH//pxU=")</f>
        <v>#REF!</v>
      </c>
      <c r="W66" t="e">
        <f>AND(ConsolidatedEventList!#REF!,"AAAAAH//pxY=")</f>
        <v>#REF!</v>
      </c>
      <c r="X66" t="e">
        <f>AND(ConsolidatedEventList!#REF!,"AAAAAH//pxc=")</f>
        <v>#REF!</v>
      </c>
      <c r="Y66" t="e">
        <f>AND(ConsolidatedEventList!#REF!,"AAAAAH//pxg=")</f>
        <v>#REF!</v>
      </c>
      <c r="Z66" t="e">
        <f>AND(ConsolidatedEventList!#REF!,"AAAAAH//pxk=")</f>
        <v>#REF!</v>
      </c>
      <c r="AA66" t="e">
        <f>AND(ConsolidatedEventList!#REF!,"AAAAAH//pxo=")</f>
        <v>#REF!</v>
      </c>
      <c r="AB66" t="e">
        <f>AND(ConsolidatedEventList!#REF!,"AAAAAH//pxs=")</f>
        <v>#REF!</v>
      </c>
      <c r="AC66" t="e">
        <f>AND(ConsolidatedEventList!#REF!,"AAAAAH//pxw=")</f>
        <v>#REF!</v>
      </c>
      <c r="AD66" t="e">
        <f>IF(ConsolidatedEventList!#REF!,"AAAAAH//px0=",0)</f>
        <v>#REF!</v>
      </c>
      <c r="AE66" t="e">
        <f>AND(ConsolidatedEventList!#REF!,"AAAAAH//px4=")</f>
        <v>#REF!</v>
      </c>
      <c r="AF66" t="e">
        <f>AND(ConsolidatedEventList!#REF!,"AAAAAH//px8=")</f>
        <v>#REF!</v>
      </c>
      <c r="AG66" t="e">
        <f>AND(ConsolidatedEventList!#REF!,"AAAAAH//pyA=")</f>
        <v>#REF!</v>
      </c>
      <c r="AH66" t="e">
        <f>AND(ConsolidatedEventList!#REF!,"AAAAAH//pyE=")</f>
        <v>#REF!</v>
      </c>
      <c r="AI66" t="e">
        <f>AND(ConsolidatedEventList!#REF!,"AAAAAH//pyI=")</f>
        <v>#REF!</v>
      </c>
      <c r="AJ66" t="e">
        <f>AND(ConsolidatedEventList!#REF!,"AAAAAH//pyM=")</f>
        <v>#REF!</v>
      </c>
      <c r="AK66" t="e">
        <f>AND(ConsolidatedEventList!#REF!,"AAAAAH//pyQ=")</f>
        <v>#REF!</v>
      </c>
      <c r="AL66" t="e">
        <f>AND(ConsolidatedEventList!#REF!,"AAAAAH//pyU=")</f>
        <v>#REF!</v>
      </c>
      <c r="AM66" t="e">
        <f>IF(ConsolidatedEventList!#REF!,"AAAAAH//pyY=",0)</f>
        <v>#REF!</v>
      </c>
      <c r="AN66" t="e">
        <f>AND(ConsolidatedEventList!#REF!,"AAAAAH//pyc=")</f>
        <v>#REF!</v>
      </c>
      <c r="AO66" t="e">
        <f>AND(ConsolidatedEventList!#REF!,"AAAAAH//pyg=")</f>
        <v>#REF!</v>
      </c>
      <c r="AP66" t="e">
        <f>AND(ConsolidatedEventList!#REF!,"AAAAAH//pyk=")</f>
        <v>#REF!</v>
      </c>
      <c r="AQ66" t="e">
        <f>AND(ConsolidatedEventList!#REF!,"AAAAAH//pyo=")</f>
        <v>#REF!</v>
      </c>
      <c r="AR66" t="e">
        <f>AND(ConsolidatedEventList!#REF!,"AAAAAH//pys=")</f>
        <v>#REF!</v>
      </c>
      <c r="AS66" t="e">
        <f>AND(ConsolidatedEventList!#REF!,"AAAAAH//pyw=")</f>
        <v>#REF!</v>
      </c>
      <c r="AT66" t="e">
        <f>AND(ConsolidatedEventList!#REF!,"AAAAAH//py0=")</f>
        <v>#REF!</v>
      </c>
      <c r="AU66" t="e">
        <f>AND(ConsolidatedEventList!#REF!,"AAAAAH//py4=")</f>
        <v>#REF!</v>
      </c>
      <c r="AV66" t="e">
        <f>IF(ConsolidatedEventList!#REF!,"AAAAAH//py8=",0)</f>
        <v>#REF!</v>
      </c>
      <c r="AW66" t="e">
        <f>AND(ConsolidatedEventList!#REF!,"AAAAAH//pzA=")</f>
        <v>#REF!</v>
      </c>
      <c r="AX66" t="e">
        <f>AND(ConsolidatedEventList!#REF!,"AAAAAH//pzE=")</f>
        <v>#REF!</v>
      </c>
      <c r="AY66" t="e">
        <f>AND(ConsolidatedEventList!#REF!,"AAAAAH//pzI=")</f>
        <v>#REF!</v>
      </c>
      <c r="AZ66" t="e">
        <f>AND(ConsolidatedEventList!#REF!,"AAAAAH//pzM=")</f>
        <v>#REF!</v>
      </c>
      <c r="BA66" t="e">
        <f>AND(ConsolidatedEventList!#REF!,"AAAAAH//pzQ=")</f>
        <v>#REF!</v>
      </c>
      <c r="BB66" t="e">
        <f>AND(ConsolidatedEventList!#REF!,"AAAAAH//pzU=")</f>
        <v>#REF!</v>
      </c>
      <c r="BC66" t="e">
        <f>AND(ConsolidatedEventList!#REF!,"AAAAAH//pzY=")</f>
        <v>#REF!</v>
      </c>
      <c r="BD66" t="e">
        <f>AND(ConsolidatedEventList!#REF!,"AAAAAH//pzc=")</f>
        <v>#REF!</v>
      </c>
      <c r="BE66" t="e">
        <f>IF(ConsolidatedEventList!#REF!,"AAAAAH//pzg=",0)</f>
        <v>#REF!</v>
      </c>
      <c r="BF66" t="e">
        <f>AND(ConsolidatedEventList!#REF!,"AAAAAH//pzk=")</f>
        <v>#REF!</v>
      </c>
      <c r="BG66" t="e">
        <f>AND(ConsolidatedEventList!#REF!,"AAAAAH//pzo=")</f>
        <v>#REF!</v>
      </c>
      <c r="BH66" t="e">
        <f>AND(ConsolidatedEventList!#REF!,"AAAAAH//pzs=")</f>
        <v>#REF!</v>
      </c>
      <c r="BI66" t="e">
        <f>AND(ConsolidatedEventList!#REF!,"AAAAAH//pzw=")</f>
        <v>#REF!</v>
      </c>
      <c r="BJ66" t="e">
        <f>AND(ConsolidatedEventList!#REF!,"AAAAAH//pz0=")</f>
        <v>#REF!</v>
      </c>
      <c r="BK66" t="e">
        <f>AND(ConsolidatedEventList!#REF!,"AAAAAH//pz4=")</f>
        <v>#REF!</v>
      </c>
      <c r="BL66" t="e">
        <f>AND(ConsolidatedEventList!#REF!,"AAAAAH//pz8=")</f>
        <v>#REF!</v>
      </c>
      <c r="BM66" t="e">
        <f>AND(ConsolidatedEventList!#REF!,"AAAAAH//p0A=")</f>
        <v>#REF!</v>
      </c>
      <c r="BN66" t="e">
        <f>IF(ConsolidatedEventList!#REF!,"AAAAAH//p0E=",0)</f>
        <v>#REF!</v>
      </c>
      <c r="BO66" t="e">
        <f>AND(ConsolidatedEventList!#REF!,"AAAAAH//p0I=")</f>
        <v>#REF!</v>
      </c>
      <c r="BP66" t="e">
        <f>AND(ConsolidatedEventList!#REF!,"AAAAAH//p0M=")</f>
        <v>#REF!</v>
      </c>
      <c r="BQ66" t="e">
        <f>AND(ConsolidatedEventList!#REF!,"AAAAAH//p0Q=")</f>
        <v>#REF!</v>
      </c>
      <c r="BR66" t="e">
        <f>AND(ConsolidatedEventList!#REF!,"AAAAAH//p0U=")</f>
        <v>#REF!</v>
      </c>
      <c r="BS66" t="e">
        <f>AND(ConsolidatedEventList!#REF!,"AAAAAH//p0Y=")</f>
        <v>#REF!</v>
      </c>
      <c r="BT66" t="e">
        <f>AND(ConsolidatedEventList!#REF!,"AAAAAH//p0c=")</f>
        <v>#REF!</v>
      </c>
      <c r="BU66" t="e">
        <f>AND(ConsolidatedEventList!#REF!,"AAAAAH//p0g=")</f>
        <v>#REF!</v>
      </c>
      <c r="BV66" t="e">
        <f>AND(ConsolidatedEventList!#REF!,"AAAAAH//p0k=")</f>
        <v>#REF!</v>
      </c>
      <c r="BW66" t="e">
        <f>IF(ConsolidatedEventList!#REF!,"AAAAAH//p0o=",0)</f>
        <v>#REF!</v>
      </c>
      <c r="BX66" t="e">
        <f>AND(ConsolidatedEventList!#REF!,"AAAAAH//p0s=")</f>
        <v>#REF!</v>
      </c>
      <c r="BY66" t="e">
        <f>AND(ConsolidatedEventList!#REF!,"AAAAAH//p0w=")</f>
        <v>#REF!</v>
      </c>
      <c r="BZ66" t="e">
        <f>AND(ConsolidatedEventList!#REF!,"AAAAAH//p00=")</f>
        <v>#REF!</v>
      </c>
      <c r="CA66" t="e">
        <f>AND(ConsolidatedEventList!#REF!,"AAAAAH//p04=")</f>
        <v>#REF!</v>
      </c>
      <c r="CB66" t="e">
        <f>AND(ConsolidatedEventList!#REF!,"AAAAAH//p08=")</f>
        <v>#REF!</v>
      </c>
      <c r="CC66" t="e">
        <f>AND(ConsolidatedEventList!#REF!,"AAAAAH//p1A=")</f>
        <v>#REF!</v>
      </c>
      <c r="CD66" t="e">
        <f>AND(ConsolidatedEventList!#REF!,"AAAAAH//p1E=")</f>
        <v>#REF!</v>
      </c>
      <c r="CE66" t="e">
        <f>AND(ConsolidatedEventList!#REF!,"AAAAAH//p1I=")</f>
        <v>#REF!</v>
      </c>
      <c r="CF66" t="e">
        <f>IF(ConsolidatedEventList!#REF!,"AAAAAH//p1M=",0)</f>
        <v>#REF!</v>
      </c>
      <c r="CG66" t="e">
        <f>AND(ConsolidatedEventList!#REF!,"AAAAAH//p1Q=")</f>
        <v>#REF!</v>
      </c>
      <c r="CH66" t="e">
        <f>AND(ConsolidatedEventList!#REF!,"AAAAAH//p1U=")</f>
        <v>#REF!</v>
      </c>
      <c r="CI66" t="e">
        <f>AND(ConsolidatedEventList!#REF!,"AAAAAH//p1Y=")</f>
        <v>#REF!</v>
      </c>
      <c r="CJ66" t="e">
        <f>AND(ConsolidatedEventList!#REF!,"AAAAAH//p1c=")</f>
        <v>#REF!</v>
      </c>
      <c r="CK66" t="e">
        <f>AND(ConsolidatedEventList!#REF!,"AAAAAH//p1g=")</f>
        <v>#REF!</v>
      </c>
      <c r="CL66" t="e">
        <f>AND(ConsolidatedEventList!#REF!,"AAAAAH//p1k=")</f>
        <v>#REF!</v>
      </c>
      <c r="CM66" t="e">
        <f>AND(ConsolidatedEventList!#REF!,"AAAAAH//p1o=")</f>
        <v>#REF!</v>
      </c>
      <c r="CN66" t="e">
        <f>AND(ConsolidatedEventList!#REF!,"AAAAAH//p1s=")</f>
        <v>#REF!</v>
      </c>
      <c r="CO66" t="e">
        <f>IF(ConsolidatedEventList!#REF!,"AAAAAH//p1w=",0)</f>
        <v>#REF!</v>
      </c>
      <c r="CP66" t="e">
        <f>AND(ConsolidatedEventList!#REF!,"AAAAAH//p10=")</f>
        <v>#REF!</v>
      </c>
      <c r="CQ66" t="e">
        <f>AND(ConsolidatedEventList!#REF!,"AAAAAH//p14=")</f>
        <v>#REF!</v>
      </c>
      <c r="CR66" t="e">
        <f>AND(ConsolidatedEventList!#REF!,"AAAAAH//p18=")</f>
        <v>#REF!</v>
      </c>
      <c r="CS66" t="e">
        <f>AND(ConsolidatedEventList!#REF!,"AAAAAH//p2A=")</f>
        <v>#REF!</v>
      </c>
      <c r="CT66" t="e">
        <f>AND(ConsolidatedEventList!#REF!,"AAAAAH//p2E=")</f>
        <v>#REF!</v>
      </c>
      <c r="CU66" t="e">
        <f>AND(ConsolidatedEventList!#REF!,"AAAAAH//p2I=")</f>
        <v>#REF!</v>
      </c>
      <c r="CV66" t="e">
        <f>AND(ConsolidatedEventList!#REF!,"AAAAAH//p2M=")</f>
        <v>#REF!</v>
      </c>
      <c r="CW66" t="e">
        <f>AND(ConsolidatedEventList!#REF!,"AAAAAH//p2Q=")</f>
        <v>#REF!</v>
      </c>
      <c r="CX66" t="e">
        <f>IF(ConsolidatedEventList!#REF!,"AAAAAH//p2U=",0)</f>
        <v>#REF!</v>
      </c>
      <c r="CY66" t="e">
        <f>AND(ConsolidatedEventList!#REF!,"AAAAAH//p2Y=")</f>
        <v>#REF!</v>
      </c>
      <c r="CZ66" t="e">
        <f>AND(ConsolidatedEventList!#REF!,"AAAAAH//p2c=")</f>
        <v>#REF!</v>
      </c>
      <c r="DA66" t="e">
        <f>AND(ConsolidatedEventList!#REF!,"AAAAAH//p2g=")</f>
        <v>#REF!</v>
      </c>
      <c r="DB66" t="e">
        <f>AND(ConsolidatedEventList!#REF!,"AAAAAH//p2k=")</f>
        <v>#REF!</v>
      </c>
      <c r="DC66" t="e">
        <f>AND(ConsolidatedEventList!#REF!,"AAAAAH//p2o=")</f>
        <v>#REF!</v>
      </c>
      <c r="DD66" t="e">
        <f>AND(ConsolidatedEventList!#REF!,"AAAAAH//p2s=")</f>
        <v>#REF!</v>
      </c>
      <c r="DE66" t="e">
        <f>AND(ConsolidatedEventList!#REF!,"AAAAAH//p2w=")</f>
        <v>#REF!</v>
      </c>
      <c r="DF66" t="e">
        <f>AND(ConsolidatedEventList!#REF!,"AAAAAH//p20=")</f>
        <v>#REF!</v>
      </c>
      <c r="DG66" t="e">
        <f>IF(ConsolidatedEventList!#REF!,"AAAAAH//p24=",0)</f>
        <v>#REF!</v>
      </c>
      <c r="DH66" t="e">
        <f>AND(ConsolidatedEventList!#REF!,"AAAAAH//p28=")</f>
        <v>#REF!</v>
      </c>
      <c r="DI66" t="e">
        <f>AND(ConsolidatedEventList!#REF!,"AAAAAH//p3A=")</f>
        <v>#REF!</v>
      </c>
      <c r="DJ66" t="e">
        <f>AND(ConsolidatedEventList!#REF!,"AAAAAH//p3E=")</f>
        <v>#REF!</v>
      </c>
      <c r="DK66" t="e">
        <f>AND(ConsolidatedEventList!#REF!,"AAAAAH//p3I=")</f>
        <v>#REF!</v>
      </c>
      <c r="DL66" t="e">
        <f>AND(ConsolidatedEventList!#REF!,"AAAAAH//p3M=")</f>
        <v>#REF!</v>
      </c>
      <c r="DM66" t="e">
        <f>AND(ConsolidatedEventList!#REF!,"AAAAAH//p3Q=")</f>
        <v>#REF!</v>
      </c>
      <c r="DN66" t="e">
        <f>AND(ConsolidatedEventList!#REF!,"AAAAAH//p3U=")</f>
        <v>#REF!</v>
      </c>
      <c r="DO66" t="e">
        <f>AND(ConsolidatedEventList!#REF!,"AAAAAH//p3Y=")</f>
        <v>#REF!</v>
      </c>
      <c r="DP66" t="e">
        <f>IF(ConsolidatedEventList!#REF!,"AAAAAH//p3c=",0)</f>
        <v>#REF!</v>
      </c>
      <c r="DQ66" t="e">
        <f>AND(ConsolidatedEventList!#REF!,"AAAAAH//p3g=")</f>
        <v>#REF!</v>
      </c>
      <c r="DR66" t="e">
        <f>AND(ConsolidatedEventList!#REF!,"AAAAAH//p3k=")</f>
        <v>#REF!</v>
      </c>
      <c r="DS66" t="e">
        <f>AND(ConsolidatedEventList!#REF!,"AAAAAH//p3o=")</f>
        <v>#REF!</v>
      </c>
      <c r="DT66" t="e">
        <f>AND(ConsolidatedEventList!#REF!,"AAAAAH//p3s=")</f>
        <v>#REF!</v>
      </c>
      <c r="DU66" t="e">
        <f>AND(ConsolidatedEventList!#REF!,"AAAAAH//p3w=")</f>
        <v>#REF!</v>
      </c>
      <c r="DV66" t="e">
        <f>AND(ConsolidatedEventList!#REF!,"AAAAAH//p30=")</f>
        <v>#REF!</v>
      </c>
      <c r="DW66" t="e">
        <f>AND(ConsolidatedEventList!#REF!,"AAAAAH//p34=")</f>
        <v>#REF!</v>
      </c>
      <c r="DX66" t="e">
        <f>AND(ConsolidatedEventList!#REF!,"AAAAAH//p38=")</f>
        <v>#REF!</v>
      </c>
      <c r="DY66" t="e">
        <f>IF(ConsolidatedEventList!#REF!,"AAAAAH//p4A=",0)</f>
        <v>#REF!</v>
      </c>
      <c r="DZ66" t="e">
        <f>AND(ConsolidatedEventList!#REF!,"AAAAAH//p4E=")</f>
        <v>#REF!</v>
      </c>
      <c r="EA66" t="e">
        <f>AND(ConsolidatedEventList!#REF!,"AAAAAH//p4I=")</f>
        <v>#REF!</v>
      </c>
      <c r="EB66" t="e">
        <f>AND(ConsolidatedEventList!#REF!,"AAAAAH//p4M=")</f>
        <v>#REF!</v>
      </c>
      <c r="EC66" t="e">
        <f>AND(ConsolidatedEventList!#REF!,"AAAAAH//p4Q=")</f>
        <v>#REF!</v>
      </c>
      <c r="ED66" t="e">
        <f>AND(ConsolidatedEventList!#REF!,"AAAAAH//p4U=")</f>
        <v>#REF!</v>
      </c>
      <c r="EE66" t="e">
        <f>AND(ConsolidatedEventList!#REF!,"AAAAAH//p4Y=")</f>
        <v>#REF!</v>
      </c>
      <c r="EF66" t="e">
        <f>AND(ConsolidatedEventList!#REF!,"AAAAAH//p4c=")</f>
        <v>#REF!</v>
      </c>
      <c r="EG66" t="e">
        <f>AND(ConsolidatedEventList!#REF!,"AAAAAH//p4g=")</f>
        <v>#REF!</v>
      </c>
      <c r="EH66" t="e">
        <f>IF(ConsolidatedEventList!#REF!,"AAAAAH//p4k=",0)</f>
        <v>#REF!</v>
      </c>
      <c r="EI66" t="e">
        <f>AND(ConsolidatedEventList!#REF!,"AAAAAH//p4o=")</f>
        <v>#REF!</v>
      </c>
      <c r="EJ66" t="e">
        <f>AND(ConsolidatedEventList!#REF!,"AAAAAH//p4s=")</f>
        <v>#REF!</v>
      </c>
      <c r="EK66" t="e">
        <f>AND(ConsolidatedEventList!#REF!,"AAAAAH//p4w=")</f>
        <v>#REF!</v>
      </c>
      <c r="EL66" t="e">
        <f>AND(ConsolidatedEventList!#REF!,"AAAAAH//p40=")</f>
        <v>#REF!</v>
      </c>
      <c r="EM66" t="e">
        <f>AND(ConsolidatedEventList!#REF!,"AAAAAH//p44=")</f>
        <v>#REF!</v>
      </c>
      <c r="EN66" t="e">
        <f>AND(ConsolidatedEventList!#REF!,"AAAAAH//p48=")</f>
        <v>#REF!</v>
      </c>
      <c r="EO66" t="e">
        <f>AND(ConsolidatedEventList!#REF!,"AAAAAH//p5A=")</f>
        <v>#REF!</v>
      </c>
      <c r="EP66" t="e">
        <f>AND(ConsolidatedEventList!#REF!,"AAAAAH//p5E=")</f>
        <v>#REF!</v>
      </c>
      <c r="EQ66" t="e">
        <f>IF(ConsolidatedEventList!#REF!,"AAAAAH//p5I=",0)</f>
        <v>#REF!</v>
      </c>
      <c r="ER66" t="e">
        <f>AND(ConsolidatedEventList!#REF!,"AAAAAH//p5M=")</f>
        <v>#REF!</v>
      </c>
      <c r="ES66" t="e">
        <f>AND(ConsolidatedEventList!#REF!,"AAAAAH//p5Q=")</f>
        <v>#REF!</v>
      </c>
      <c r="ET66" t="e">
        <f>AND(ConsolidatedEventList!#REF!,"AAAAAH//p5U=")</f>
        <v>#REF!</v>
      </c>
      <c r="EU66" t="e">
        <f>AND(ConsolidatedEventList!#REF!,"AAAAAH//p5Y=")</f>
        <v>#REF!</v>
      </c>
      <c r="EV66" t="e">
        <f>AND(ConsolidatedEventList!#REF!,"AAAAAH//p5c=")</f>
        <v>#REF!</v>
      </c>
      <c r="EW66" t="e">
        <f>AND(ConsolidatedEventList!#REF!,"AAAAAH//p5g=")</f>
        <v>#REF!</v>
      </c>
      <c r="EX66" t="e">
        <f>AND(ConsolidatedEventList!#REF!,"AAAAAH//p5k=")</f>
        <v>#REF!</v>
      </c>
      <c r="EY66" t="e">
        <f>AND(ConsolidatedEventList!#REF!,"AAAAAH//p5o=")</f>
        <v>#REF!</v>
      </c>
      <c r="EZ66" t="e">
        <f>IF(ConsolidatedEventList!#REF!,"AAAAAH//p5s=",0)</f>
        <v>#REF!</v>
      </c>
      <c r="FA66" t="e">
        <f>AND(ConsolidatedEventList!#REF!,"AAAAAH//p5w=")</f>
        <v>#REF!</v>
      </c>
      <c r="FB66" t="e">
        <f>AND(ConsolidatedEventList!#REF!,"AAAAAH//p50=")</f>
        <v>#REF!</v>
      </c>
      <c r="FC66" t="e">
        <f>AND(ConsolidatedEventList!#REF!,"AAAAAH//p54=")</f>
        <v>#REF!</v>
      </c>
      <c r="FD66" t="e">
        <f>AND(ConsolidatedEventList!#REF!,"AAAAAH//p58=")</f>
        <v>#REF!</v>
      </c>
      <c r="FE66" t="e">
        <f>AND(ConsolidatedEventList!#REF!,"AAAAAH//p6A=")</f>
        <v>#REF!</v>
      </c>
      <c r="FF66" t="e">
        <f>AND(ConsolidatedEventList!#REF!,"AAAAAH//p6E=")</f>
        <v>#REF!</v>
      </c>
      <c r="FG66" t="e">
        <f>AND(ConsolidatedEventList!#REF!,"AAAAAH//p6I=")</f>
        <v>#REF!</v>
      </c>
      <c r="FH66" t="e">
        <f>AND(ConsolidatedEventList!#REF!,"AAAAAH//p6M=")</f>
        <v>#REF!</v>
      </c>
      <c r="FI66" t="e">
        <f>IF(ConsolidatedEventList!#REF!,"AAAAAH//p6Q=",0)</f>
        <v>#REF!</v>
      </c>
      <c r="FJ66" t="e">
        <f>AND(ConsolidatedEventList!#REF!,"AAAAAH//p6U=")</f>
        <v>#REF!</v>
      </c>
      <c r="FK66" t="e">
        <f>AND(ConsolidatedEventList!#REF!,"AAAAAH//p6Y=")</f>
        <v>#REF!</v>
      </c>
      <c r="FL66" t="e">
        <f>AND(ConsolidatedEventList!#REF!,"AAAAAH//p6c=")</f>
        <v>#REF!</v>
      </c>
      <c r="FM66" t="e">
        <f>AND(ConsolidatedEventList!#REF!,"AAAAAH//p6g=")</f>
        <v>#REF!</v>
      </c>
      <c r="FN66" t="e">
        <f>AND(ConsolidatedEventList!#REF!,"AAAAAH//p6k=")</f>
        <v>#REF!</v>
      </c>
      <c r="FO66" t="e">
        <f>AND(ConsolidatedEventList!#REF!,"AAAAAH//p6o=")</f>
        <v>#REF!</v>
      </c>
      <c r="FP66" t="e">
        <f>AND(ConsolidatedEventList!#REF!,"AAAAAH//p6s=")</f>
        <v>#REF!</v>
      </c>
      <c r="FQ66" t="e">
        <f>AND(ConsolidatedEventList!#REF!,"AAAAAH//p6w=")</f>
        <v>#REF!</v>
      </c>
      <c r="FR66" t="e">
        <f>IF(ConsolidatedEventList!#REF!,"AAAAAH//p60=",0)</f>
        <v>#REF!</v>
      </c>
      <c r="FS66" t="e">
        <f>AND(ConsolidatedEventList!#REF!,"AAAAAH//p64=")</f>
        <v>#REF!</v>
      </c>
      <c r="FT66" t="e">
        <f>AND(ConsolidatedEventList!#REF!,"AAAAAH//p68=")</f>
        <v>#REF!</v>
      </c>
      <c r="FU66" t="e">
        <f>AND(ConsolidatedEventList!#REF!,"AAAAAH//p7A=")</f>
        <v>#REF!</v>
      </c>
      <c r="FV66" t="e">
        <f>AND(ConsolidatedEventList!#REF!,"AAAAAH//p7E=")</f>
        <v>#REF!</v>
      </c>
      <c r="FW66" t="e">
        <f>AND(ConsolidatedEventList!#REF!,"AAAAAH//p7I=")</f>
        <v>#REF!</v>
      </c>
      <c r="FX66" t="e">
        <f>AND(ConsolidatedEventList!#REF!,"AAAAAH//p7M=")</f>
        <v>#REF!</v>
      </c>
      <c r="FY66" t="e">
        <f>AND(ConsolidatedEventList!#REF!,"AAAAAH//p7Q=")</f>
        <v>#REF!</v>
      </c>
      <c r="FZ66" t="e">
        <f>AND(ConsolidatedEventList!#REF!,"AAAAAH//p7U=")</f>
        <v>#REF!</v>
      </c>
      <c r="GA66" t="e">
        <f>IF(ConsolidatedEventList!#REF!,"AAAAAH//p7Y=",0)</f>
        <v>#REF!</v>
      </c>
      <c r="GB66" t="e">
        <f>AND(ConsolidatedEventList!#REF!,"AAAAAH//p7c=")</f>
        <v>#REF!</v>
      </c>
      <c r="GC66" t="e">
        <f>AND(ConsolidatedEventList!#REF!,"AAAAAH//p7g=")</f>
        <v>#REF!</v>
      </c>
      <c r="GD66" t="e">
        <f>AND(ConsolidatedEventList!#REF!,"AAAAAH//p7k=")</f>
        <v>#REF!</v>
      </c>
      <c r="GE66" t="e">
        <f>AND(ConsolidatedEventList!#REF!,"AAAAAH//p7o=")</f>
        <v>#REF!</v>
      </c>
      <c r="GF66" t="e">
        <f>AND(ConsolidatedEventList!#REF!,"AAAAAH//p7s=")</f>
        <v>#REF!</v>
      </c>
      <c r="GG66" t="e">
        <f>AND(ConsolidatedEventList!#REF!,"AAAAAH//p7w=")</f>
        <v>#REF!</v>
      </c>
      <c r="GH66" t="e">
        <f>AND(ConsolidatedEventList!#REF!,"AAAAAH//p70=")</f>
        <v>#REF!</v>
      </c>
      <c r="GI66" t="e">
        <f>AND(ConsolidatedEventList!#REF!,"AAAAAH//p74=")</f>
        <v>#REF!</v>
      </c>
      <c r="GJ66" t="e">
        <f>IF(ConsolidatedEventList!#REF!,"AAAAAH//p78=",0)</f>
        <v>#REF!</v>
      </c>
      <c r="GK66" t="e">
        <f>AND(ConsolidatedEventList!#REF!,"AAAAAH//p8A=")</f>
        <v>#REF!</v>
      </c>
      <c r="GL66" t="e">
        <f>AND(ConsolidatedEventList!#REF!,"AAAAAH//p8E=")</f>
        <v>#REF!</v>
      </c>
      <c r="GM66" t="e">
        <f>AND(ConsolidatedEventList!#REF!,"AAAAAH//p8I=")</f>
        <v>#REF!</v>
      </c>
      <c r="GN66" t="e">
        <f>AND(ConsolidatedEventList!#REF!,"AAAAAH//p8M=")</f>
        <v>#REF!</v>
      </c>
      <c r="GO66" t="e">
        <f>AND(ConsolidatedEventList!#REF!,"AAAAAH//p8Q=")</f>
        <v>#REF!</v>
      </c>
      <c r="GP66" t="e">
        <f>AND(ConsolidatedEventList!#REF!,"AAAAAH//p8U=")</f>
        <v>#REF!</v>
      </c>
      <c r="GQ66" t="e">
        <f>AND(ConsolidatedEventList!#REF!,"AAAAAH//p8Y=")</f>
        <v>#REF!</v>
      </c>
      <c r="GR66" t="e">
        <f>AND(ConsolidatedEventList!#REF!,"AAAAAH//p8c=")</f>
        <v>#REF!</v>
      </c>
      <c r="GS66" t="e">
        <f>IF(ConsolidatedEventList!#REF!,"AAAAAH//p8g=",0)</f>
        <v>#REF!</v>
      </c>
      <c r="GT66" t="e">
        <f>AND(ConsolidatedEventList!#REF!,"AAAAAH//p8k=")</f>
        <v>#REF!</v>
      </c>
      <c r="GU66" t="e">
        <f>AND(ConsolidatedEventList!#REF!,"AAAAAH//p8o=")</f>
        <v>#REF!</v>
      </c>
      <c r="GV66" t="e">
        <f>AND(ConsolidatedEventList!#REF!,"AAAAAH//p8s=")</f>
        <v>#REF!</v>
      </c>
      <c r="GW66" t="e">
        <f>AND(ConsolidatedEventList!#REF!,"AAAAAH//p8w=")</f>
        <v>#REF!</v>
      </c>
      <c r="GX66" t="e">
        <f>AND(ConsolidatedEventList!#REF!,"AAAAAH//p80=")</f>
        <v>#REF!</v>
      </c>
      <c r="GY66" t="e">
        <f>AND(ConsolidatedEventList!#REF!,"AAAAAH//p84=")</f>
        <v>#REF!</v>
      </c>
      <c r="GZ66" t="e">
        <f>AND(ConsolidatedEventList!#REF!,"AAAAAH//p88=")</f>
        <v>#REF!</v>
      </c>
      <c r="HA66" t="e">
        <f>AND(ConsolidatedEventList!#REF!,"AAAAAH//p9A=")</f>
        <v>#REF!</v>
      </c>
      <c r="HB66" t="e">
        <f>IF(ConsolidatedEventList!#REF!,"AAAAAH//p9E=",0)</f>
        <v>#REF!</v>
      </c>
      <c r="HC66" t="e">
        <f>AND(ConsolidatedEventList!#REF!,"AAAAAH//p9I=")</f>
        <v>#REF!</v>
      </c>
      <c r="HD66" t="e">
        <f>AND(ConsolidatedEventList!#REF!,"AAAAAH//p9M=")</f>
        <v>#REF!</v>
      </c>
      <c r="HE66" t="e">
        <f>AND(ConsolidatedEventList!#REF!,"AAAAAH//p9Q=")</f>
        <v>#REF!</v>
      </c>
      <c r="HF66" t="e">
        <f>AND(ConsolidatedEventList!#REF!,"AAAAAH//p9U=")</f>
        <v>#REF!</v>
      </c>
      <c r="HG66" t="e">
        <f>AND(ConsolidatedEventList!#REF!,"AAAAAH//p9Y=")</f>
        <v>#REF!</v>
      </c>
      <c r="HH66" t="e">
        <f>AND(ConsolidatedEventList!#REF!,"AAAAAH//p9c=")</f>
        <v>#REF!</v>
      </c>
      <c r="HI66" t="e">
        <f>AND(ConsolidatedEventList!#REF!,"AAAAAH//p9g=")</f>
        <v>#REF!</v>
      </c>
      <c r="HJ66" t="e">
        <f>AND(ConsolidatedEventList!#REF!,"AAAAAH//p9k=")</f>
        <v>#REF!</v>
      </c>
      <c r="HK66" t="e">
        <f>IF(ConsolidatedEventList!#REF!,"AAAAAH//p9o=",0)</f>
        <v>#REF!</v>
      </c>
      <c r="HL66" t="e">
        <f>AND(ConsolidatedEventList!#REF!,"AAAAAH//p9s=")</f>
        <v>#REF!</v>
      </c>
      <c r="HM66" t="e">
        <f>AND(ConsolidatedEventList!#REF!,"AAAAAH//p9w=")</f>
        <v>#REF!</v>
      </c>
      <c r="HN66" t="e">
        <f>AND(ConsolidatedEventList!#REF!,"AAAAAH//p90=")</f>
        <v>#REF!</v>
      </c>
      <c r="HO66" t="e">
        <f>AND(ConsolidatedEventList!#REF!,"AAAAAH//p94=")</f>
        <v>#REF!</v>
      </c>
      <c r="HP66" t="e">
        <f>AND(ConsolidatedEventList!#REF!,"AAAAAH//p98=")</f>
        <v>#REF!</v>
      </c>
      <c r="HQ66" t="e">
        <f>AND(ConsolidatedEventList!#REF!,"AAAAAH//p+A=")</f>
        <v>#REF!</v>
      </c>
      <c r="HR66" t="e">
        <f>AND(ConsolidatedEventList!#REF!,"AAAAAH//p+E=")</f>
        <v>#REF!</v>
      </c>
      <c r="HS66" t="e">
        <f>AND(ConsolidatedEventList!#REF!,"AAAAAH//p+I=")</f>
        <v>#REF!</v>
      </c>
      <c r="HT66" t="e">
        <f>IF(ConsolidatedEventList!#REF!,"AAAAAH//p+M=",0)</f>
        <v>#REF!</v>
      </c>
      <c r="HU66" t="e">
        <f>AND(ConsolidatedEventList!#REF!,"AAAAAH//p+Q=")</f>
        <v>#REF!</v>
      </c>
      <c r="HV66" t="e">
        <f>AND(ConsolidatedEventList!#REF!,"AAAAAH//p+U=")</f>
        <v>#REF!</v>
      </c>
      <c r="HW66" t="e">
        <f>AND(ConsolidatedEventList!#REF!,"AAAAAH//p+Y=")</f>
        <v>#REF!</v>
      </c>
      <c r="HX66" t="e">
        <f>AND(ConsolidatedEventList!#REF!,"AAAAAH//p+c=")</f>
        <v>#REF!</v>
      </c>
      <c r="HY66" t="e">
        <f>AND(ConsolidatedEventList!#REF!,"AAAAAH//p+g=")</f>
        <v>#REF!</v>
      </c>
      <c r="HZ66" t="e">
        <f>AND(ConsolidatedEventList!#REF!,"AAAAAH//p+k=")</f>
        <v>#REF!</v>
      </c>
      <c r="IA66" t="e">
        <f>AND(ConsolidatedEventList!#REF!,"AAAAAH//p+o=")</f>
        <v>#REF!</v>
      </c>
      <c r="IB66" t="e">
        <f>AND(ConsolidatedEventList!#REF!,"AAAAAH//p+s=")</f>
        <v>#REF!</v>
      </c>
      <c r="IC66" t="e">
        <f>IF(ConsolidatedEventList!#REF!,"AAAAAH//p+w=",0)</f>
        <v>#REF!</v>
      </c>
      <c r="ID66" t="e">
        <f>AND(ConsolidatedEventList!#REF!,"AAAAAH//p+0=")</f>
        <v>#REF!</v>
      </c>
      <c r="IE66" t="e">
        <f>AND(ConsolidatedEventList!#REF!,"AAAAAH//p+4=")</f>
        <v>#REF!</v>
      </c>
      <c r="IF66" t="e">
        <f>AND(ConsolidatedEventList!#REF!,"AAAAAH//p+8=")</f>
        <v>#REF!</v>
      </c>
      <c r="IG66" t="e">
        <f>AND(ConsolidatedEventList!#REF!,"AAAAAH//p/A=")</f>
        <v>#REF!</v>
      </c>
      <c r="IH66" t="e">
        <f>AND(ConsolidatedEventList!#REF!,"AAAAAH//p/E=")</f>
        <v>#REF!</v>
      </c>
      <c r="II66" t="e">
        <f>AND(ConsolidatedEventList!#REF!,"AAAAAH//p/I=")</f>
        <v>#REF!</v>
      </c>
      <c r="IJ66" t="e">
        <f>AND(ConsolidatedEventList!#REF!,"AAAAAH//p/M=")</f>
        <v>#REF!</v>
      </c>
      <c r="IK66" t="e">
        <f>AND(ConsolidatedEventList!#REF!,"AAAAAH//p/Q=")</f>
        <v>#REF!</v>
      </c>
      <c r="IL66" t="e">
        <f>IF(ConsolidatedEventList!#REF!,"AAAAAH//p/U=",0)</f>
        <v>#REF!</v>
      </c>
      <c r="IM66" t="e">
        <f>AND(ConsolidatedEventList!#REF!,"AAAAAH//p/Y=")</f>
        <v>#REF!</v>
      </c>
      <c r="IN66" t="e">
        <f>AND(ConsolidatedEventList!#REF!,"AAAAAH//p/c=")</f>
        <v>#REF!</v>
      </c>
      <c r="IO66" t="e">
        <f>AND(ConsolidatedEventList!#REF!,"AAAAAH//p/g=")</f>
        <v>#REF!</v>
      </c>
      <c r="IP66" t="e">
        <f>AND(ConsolidatedEventList!#REF!,"AAAAAH//p/k=")</f>
        <v>#REF!</v>
      </c>
      <c r="IQ66" t="e">
        <f>AND(ConsolidatedEventList!#REF!,"AAAAAH//p/o=")</f>
        <v>#REF!</v>
      </c>
      <c r="IR66" t="e">
        <f>AND(ConsolidatedEventList!#REF!,"AAAAAH//p/s=")</f>
        <v>#REF!</v>
      </c>
      <c r="IS66" t="e">
        <f>AND(ConsolidatedEventList!#REF!,"AAAAAH//p/w=")</f>
        <v>#REF!</v>
      </c>
      <c r="IT66" t="e">
        <f>AND(ConsolidatedEventList!#REF!,"AAAAAH//p/0=")</f>
        <v>#REF!</v>
      </c>
      <c r="IU66" t="e">
        <f>IF(ConsolidatedEventList!#REF!,"AAAAAH//p/4=",0)</f>
        <v>#REF!</v>
      </c>
      <c r="IV66" t="e">
        <f>AND(ConsolidatedEventList!#REF!,"AAAAAH//p/8=")</f>
        <v>#REF!</v>
      </c>
    </row>
    <row r="67" spans="1:256" x14ac:dyDescent="0.25">
      <c r="A67" t="e">
        <f>AND(ConsolidatedEventList!#REF!,"AAAAAG/m/wA=")</f>
        <v>#REF!</v>
      </c>
      <c r="B67" t="e">
        <f>AND(ConsolidatedEventList!#REF!,"AAAAAG/m/wE=")</f>
        <v>#REF!</v>
      </c>
      <c r="C67" t="e">
        <f>AND(ConsolidatedEventList!#REF!,"AAAAAG/m/wI=")</f>
        <v>#REF!</v>
      </c>
      <c r="D67" t="e">
        <f>AND(ConsolidatedEventList!#REF!,"AAAAAG/m/wM=")</f>
        <v>#REF!</v>
      </c>
      <c r="E67" t="e">
        <f>AND(ConsolidatedEventList!#REF!,"AAAAAG/m/wQ=")</f>
        <v>#REF!</v>
      </c>
      <c r="F67" t="e">
        <f>AND(ConsolidatedEventList!#REF!,"AAAAAG/m/wU=")</f>
        <v>#REF!</v>
      </c>
      <c r="G67" t="e">
        <f>AND(ConsolidatedEventList!#REF!,"AAAAAG/m/wY=")</f>
        <v>#REF!</v>
      </c>
      <c r="H67" t="e">
        <f>IF(ConsolidatedEventList!#REF!,"AAAAAG/m/wc=",0)</f>
        <v>#REF!</v>
      </c>
      <c r="I67" t="e">
        <f>AND(ConsolidatedEventList!#REF!,"AAAAAG/m/wg=")</f>
        <v>#REF!</v>
      </c>
      <c r="J67" t="e">
        <f>AND(ConsolidatedEventList!#REF!,"AAAAAG/m/wk=")</f>
        <v>#REF!</v>
      </c>
      <c r="K67" t="e">
        <f>AND(ConsolidatedEventList!#REF!,"AAAAAG/m/wo=")</f>
        <v>#REF!</v>
      </c>
      <c r="L67" t="e">
        <f>AND(ConsolidatedEventList!#REF!,"AAAAAG/m/ws=")</f>
        <v>#REF!</v>
      </c>
      <c r="M67" t="e">
        <f>AND(ConsolidatedEventList!#REF!,"AAAAAG/m/ww=")</f>
        <v>#REF!</v>
      </c>
      <c r="N67" t="e">
        <f>AND(ConsolidatedEventList!#REF!,"AAAAAG/m/w0=")</f>
        <v>#REF!</v>
      </c>
      <c r="O67" t="e">
        <f>AND(ConsolidatedEventList!#REF!,"AAAAAG/m/w4=")</f>
        <v>#REF!</v>
      </c>
      <c r="P67" t="e">
        <f>AND(ConsolidatedEventList!#REF!,"AAAAAG/m/w8=")</f>
        <v>#REF!</v>
      </c>
      <c r="Q67" t="e">
        <f>IF(ConsolidatedEventList!#REF!,"AAAAAG/m/xA=",0)</f>
        <v>#REF!</v>
      </c>
      <c r="R67" t="e">
        <f>AND(ConsolidatedEventList!#REF!,"AAAAAG/m/xE=")</f>
        <v>#REF!</v>
      </c>
      <c r="S67" t="e">
        <f>AND(ConsolidatedEventList!#REF!,"AAAAAG/m/xI=")</f>
        <v>#REF!</v>
      </c>
      <c r="T67" t="e">
        <f>AND(ConsolidatedEventList!#REF!,"AAAAAG/m/xM=")</f>
        <v>#REF!</v>
      </c>
      <c r="U67" t="e">
        <f>AND(ConsolidatedEventList!#REF!,"AAAAAG/m/xQ=")</f>
        <v>#REF!</v>
      </c>
      <c r="V67" t="e">
        <f>AND(ConsolidatedEventList!#REF!,"AAAAAG/m/xU=")</f>
        <v>#REF!</v>
      </c>
      <c r="W67" t="e">
        <f>AND(ConsolidatedEventList!#REF!,"AAAAAG/m/xY=")</f>
        <v>#REF!</v>
      </c>
      <c r="X67" t="e">
        <f>AND(ConsolidatedEventList!#REF!,"AAAAAG/m/xc=")</f>
        <v>#REF!</v>
      </c>
      <c r="Y67" t="e">
        <f>AND(ConsolidatedEventList!#REF!,"AAAAAG/m/xg=")</f>
        <v>#REF!</v>
      </c>
      <c r="Z67" t="e">
        <f>IF(ConsolidatedEventList!#REF!,"AAAAAG/m/xk=",0)</f>
        <v>#REF!</v>
      </c>
      <c r="AA67" t="e">
        <f>AND(ConsolidatedEventList!#REF!,"AAAAAG/m/xo=")</f>
        <v>#REF!</v>
      </c>
      <c r="AB67" t="e">
        <f>AND(ConsolidatedEventList!#REF!,"AAAAAG/m/xs=")</f>
        <v>#REF!</v>
      </c>
      <c r="AC67" t="e">
        <f>AND(ConsolidatedEventList!#REF!,"AAAAAG/m/xw=")</f>
        <v>#REF!</v>
      </c>
      <c r="AD67" t="e">
        <f>AND(ConsolidatedEventList!#REF!,"AAAAAG/m/x0=")</f>
        <v>#REF!</v>
      </c>
      <c r="AE67" t="e">
        <f>AND(ConsolidatedEventList!#REF!,"AAAAAG/m/x4=")</f>
        <v>#REF!</v>
      </c>
      <c r="AF67" t="e">
        <f>AND(ConsolidatedEventList!#REF!,"AAAAAG/m/x8=")</f>
        <v>#REF!</v>
      </c>
      <c r="AG67" t="e">
        <f>AND(ConsolidatedEventList!#REF!,"AAAAAG/m/yA=")</f>
        <v>#REF!</v>
      </c>
      <c r="AH67" t="e">
        <f>AND(ConsolidatedEventList!#REF!,"AAAAAG/m/yE=")</f>
        <v>#REF!</v>
      </c>
      <c r="AI67" t="e">
        <f>IF(ConsolidatedEventList!#REF!,"AAAAAG/m/yI=",0)</f>
        <v>#REF!</v>
      </c>
      <c r="AJ67" t="e">
        <f>AND(ConsolidatedEventList!#REF!,"AAAAAG/m/yM=")</f>
        <v>#REF!</v>
      </c>
      <c r="AK67" t="e">
        <f>AND(ConsolidatedEventList!#REF!,"AAAAAG/m/yQ=")</f>
        <v>#REF!</v>
      </c>
      <c r="AL67" t="e">
        <f>AND(ConsolidatedEventList!#REF!,"AAAAAG/m/yU=")</f>
        <v>#REF!</v>
      </c>
      <c r="AM67" t="e">
        <f>AND(ConsolidatedEventList!#REF!,"AAAAAG/m/yY=")</f>
        <v>#REF!</v>
      </c>
      <c r="AN67" t="e">
        <f>AND(ConsolidatedEventList!#REF!,"AAAAAG/m/yc=")</f>
        <v>#REF!</v>
      </c>
      <c r="AO67" t="e">
        <f>AND(ConsolidatedEventList!#REF!,"AAAAAG/m/yg=")</f>
        <v>#REF!</v>
      </c>
      <c r="AP67" t="e">
        <f>AND(ConsolidatedEventList!#REF!,"AAAAAG/m/yk=")</f>
        <v>#REF!</v>
      </c>
      <c r="AQ67" t="e">
        <f>AND(ConsolidatedEventList!#REF!,"AAAAAG/m/yo=")</f>
        <v>#REF!</v>
      </c>
      <c r="AR67" t="e">
        <f>IF(ConsolidatedEventList!#REF!,"AAAAAG/m/ys=",0)</f>
        <v>#REF!</v>
      </c>
      <c r="AS67" t="e">
        <f>AND(ConsolidatedEventList!#REF!,"AAAAAG/m/yw=")</f>
        <v>#REF!</v>
      </c>
      <c r="AT67" t="e">
        <f>AND(ConsolidatedEventList!#REF!,"AAAAAG/m/y0=")</f>
        <v>#REF!</v>
      </c>
      <c r="AU67" t="e">
        <f>AND(ConsolidatedEventList!#REF!,"AAAAAG/m/y4=")</f>
        <v>#REF!</v>
      </c>
      <c r="AV67" t="e">
        <f>AND(ConsolidatedEventList!#REF!,"AAAAAG/m/y8=")</f>
        <v>#REF!</v>
      </c>
      <c r="AW67" t="e">
        <f>AND(ConsolidatedEventList!#REF!,"AAAAAG/m/zA=")</f>
        <v>#REF!</v>
      </c>
      <c r="AX67" t="e">
        <f>AND(ConsolidatedEventList!#REF!,"AAAAAG/m/zE=")</f>
        <v>#REF!</v>
      </c>
      <c r="AY67" t="e">
        <f>AND(ConsolidatedEventList!#REF!,"AAAAAG/m/zI=")</f>
        <v>#REF!</v>
      </c>
      <c r="AZ67" t="e">
        <f>AND(ConsolidatedEventList!#REF!,"AAAAAG/m/zM=")</f>
        <v>#REF!</v>
      </c>
      <c r="BA67" t="e">
        <f>IF(ConsolidatedEventList!#REF!,"AAAAAG/m/zQ=",0)</f>
        <v>#REF!</v>
      </c>
      <c r="BB67" t="e">
        <f>AND(ConsolidatedEventList!#REF!,"AAAAAG/m/zU=")</f>
        <v>#REF!</v>
      </c>
      <c r="BC67" t="e">
        <f>AND(ConsolidatedEventList!#REF!,"AAAAAG/m/zY=")</f>
        <v>#REF!</v>
      </c>
      <c r="BD67" t="e">
        <f>AND(ConsolidatedEventList!#REF!,"AAAAAG/m/zc=")</f>
        <v>#REF!</v>
      </c>
      <c r="BE67" t="e">
        <f>AND(ConsolidatedEventList!#REF!,"AAAAAG/m/zg=")</f>
        <v>#REF!</v>
      </c>
      <c r="BF67" t="e">
        <f>AND(ConsolidatedEventList!#REF!,"AAAAAG/m/zk=")</f>
        <v>#REF!</v>
      </c>
      <c r="BG67" t="e">
        <f>AND(ConsolidatedEventList!#REF!,"AAAAAG/m/zo=")</f>
        <v>#REF!</v>
      </c>
      <c r="BH67" t="e">
        <f>AND(ConsolidatedEventList!#REF!,"AAAAAG/m/zs=")</f>
        <v>#REF!</v>
      </c>
      <c r="BI67" t="e">
        <f>AND(ConsolidatedEventList!#REF!,"AAAAAG/m/zw=")</f>
        <v>#REF!</v>
      </c>
      <c r="BJ67" t="e">
        <f>IF(ConsolidatedEventList!#REF!,"AAAAAG/m/z0=",0)</f>
        <v>#REF!</v>
      </c>
      <c r="BK67" t="e">
        <f>AND(ConsolidatedEventList!#REF!,"AAAAAG/m/z4=")</f>
        <v>#REF!</v>
      </c>
      <c r="BL67" t="e">
        <f>AND(ConsolidatedEventList!#REF!,"AAAAAG/m/z8=")</f>
        <v>#REF!</v>
      </c>
      <c r="BM67" t="e">
        <f>AND(ConsolidatedEventList!#REF!,"AAAAAG/m/0A=")</f>
        <v>#REF!</v>
      </c>
      <c r="BN67" t="e">
        <f>AND(ConsolidatedEventList!#REF!,"AAAAAG/m/0E=")</f>
        <v>#REF!</v>
      </c>
      <c r="BO67" t="e">
        <f>AND(ConsolidatedEventList!#REF!,"AAAAAG/m/0I=")</f>
        <v>#REF!</v>
      </c>
      <c r="BP67" t="e">
        <f>AND(ConsolidatedEventList!#REF!,"AAAAAG/m/0M=")</f>
        <v>#REF!</v>
      </c>
      <c r="BQ67" t="e">
        <f>AND(ConsolidatedEventList!#REF!,"AAAAAG/m/0Q=")</f>
        <v>#REF!</v>
      </c>
      <c r="BR67" t="e">
        <f>AND(ConsolidatedEventList!#REF!,"AAAAAG/m/0U=")</f>
        <v>#REF!</v>
      </c>
      <c r="BS67" t="e">
        <f>IF(ConsolidatedEventList!#REF!,"AAAAAG/m/0Y=",0)</f>
        <v>#REF!</v>
      </c>
      <c r="BT67" t="e">
        <f>AND(ConsolidatedEventList!#REF!,"AAAAAG/m/0c=")</f>
        <v>#REF!</v>
      </c>
      <c r="BU67" t="e">
        <f>AND(ConsolidatedEventList!#REF!,"AAAAAG/m/0g=")</f>
        <v>#REF!</v>
      </c>
      <c r="BV67" t="e">
        <f>AND(ConsolidatedEventList!#REF!,"AAAAAG/m/0k=")</f>
        <v>#REF!</v>
      </c>
      <c r="BW67" t="e">
        <f>AND(ConsolidatedEventList!#REF!,"AAAAAG/m/0o=")</f>
        <v>#REF!</v>
      </c>
      <c r="BX67" t="e">
        <f>AND(ConsolidatedEventList!#REF!,"AAAAAG/m/0s=")</f>
        <v>#REF!</v>
      </c>
      <c r="BY67" t="e">
        <f>AND(ConsolidatedEventList!#REF!,"AAAAAG/m/0w=")</f>
        <v>#REF!</v>
      </c>
      <c r="BZ67" t="e">
        <f>AND(ConsolidatedEventList!#REF!,"AAAAAG/m/00=")</f>
        <v>#REF!</v>
      </c>
      <c r="CA67" t="e">
        <f>AND(ConsolidatedEventList!#REF!,"AAAAAG/m/04=")</f>
        <v>#REF!</v>
      </c>
      <c r="CB67" t="e">
        <f>IF(ConsolidatedEventList!#REF!,"AAAAAG/m/08=",0)</f>
        <v>#REF!</v>
      </c>
      <c r="CC67" t="e">
        <f>AND(ConsolidatedEventList!#REF!,"AAAAAG/m/1A=")</f>
        <v>#REF!</v>
      </c>
      <c r="CD67" t="e">
        <f>AND(ConsolidatedEventList!#REF!,"AAAAAG/m/1E=")</f>
        <v>#REF!</v>
      </c>
      <c r="CE67" t="e">
        <f>AND(ConsolidatedEventList!#REF!,"AAAAAG/m/1I=")</f>
        <v>#REF!</v>
      </c>
      <c r="CF67" t="e">
        <f>AND(ConsolidatedEventList!#REF!,"AAAAAG/m/1M=")</f>
        <v>#REF!</v>
      </c>
      <c r="CG67" t="e">
        <f>AND(ConsolidatedEventList!#REF!,"AAAAAG/m/1Q=")</f>
        <v>#REF!</v>
      </c>
      <c r="CH67" t="e">
        <f>AND(ConsolidatedEventList!#REF!,"AAAAAG/m/1U=")</f>
        <v>#REF!</v>
      </c>
      <c r="CI67" t="e">
        <f>AND(ConsolidatedEventList!#REF!,"AAAAAG/m/1Y=")</f>
        <v>#REF!</v>
      </c>
      <c r="CJ67" t="e">
        <f>AND(ConsolidatedEventList!#REF!,"AAAAAG/m/1c=")</f>
        <v>#REF!</v>
      </c>
      <c r="CK67" t="e">
        <f>IF(ConsolidatedEventList!#REF!,"AAAAAG/m/1g=",0)</f>
        <v>#REF!</v>
      </c>
      <c r="CL67" t="e">
        <f>AND(ConsolidatedEventList!#REF!,"AAAAAG/m/1k=")</f>
        <v>#REF!</v>
      </c>
      <c r="CM67" t="e">
        <f>AND(ConsolidatedEventList!#REF!,"AAAAAG/m/1o=")</f>
        <v>#REF!</v>
      </c>
      <c r="CN67" t="e">
        <f>AND(ConsolidatedEventList!#REF!,"AAAAAG/m/1s=")</f>
        <v>#REF!</v>
      </c>
      <c r="CO67" t="e">
        <f>AND(ConsolidatedEventList!#REF!,"AAAAAG/m/1w=")</f>
        <v>#REF!</v>
      </c>
      <c r="CP67" t="e">
        <f>AND(ConsolidatedEventList!#REF!,"AAAAAG/m/10=")</f>
        <v>#REF!</v>
      </c>
      <c r="CQ67" t="e">
        <f>AND(ConsolidatedEventList!#REF!,"AAAAAG/m/14=")</f>
        <v>#REF!</v>
      </c>
      <c r="CR67" t="e">
        <f>AND(ConsolidatedEventList!#REF!,"AAAAAG/m/18=")</f>
        <v>#REF!</v>
      </c>
      <c r="CS67" t="e">
        <f>AND(ConsolidatedEventList!#REF!,"AAAAAG/m/2A=")</f>
        <v>#REF!</v>
      </c>
      <c r="CT67" t="e">
        <f>IF(ConsolidatedEventList!#REF!,"AAAAAG/m/2E=",0)</f>
        <v>#REF!</v>
      </c>
      <c r="CU67" t="e">
        <f>AND(ConsolidatedEventList!#REF!,"AAAAAG/m/2I=")</f>
        <v>#REF!</v>
      </c>
      <c r="CV67" t="e">
        <f>AND(ConsolidatedEventList!#REF!,"AAAAAG/m/2M=")</f>
        <v>#REF!</v>
      </c>
      <c r="CW67" t="e">
        <f>AND(ConsolidatedEventList!#REF!,"AAAAAG/m/2Q=")</f>
        <v>#REF!</v>
      </c>
      <c r="CX67" t="e">
        <f>AND(ConsolidatedEventList!#REF!,"AAAAAG/m/2U=")</f>
        <v>#REF!</v>
      </c>
      <c r="CY67" t="e">
        <f>AND(ConsolidatedEventList!#REF!,"AAAAAG/m/2Y=")</f>
        <v>#REF!</v>
      </c>
      <c r="CZ67" t="e">
        <f>AND(ConsolidatedEventList!#REF!,"AAAAAG/m/2c=")</f>
        <v>#REF!</v>
      </c>
      <c r="DA67" t="e">
        <f>AND(ConsolidatedEventList!#REF!,"AAAAAG/m/2g=")</f>
        <v>#REF!</v>
      </c>
      <c r="DB67" t="e">
        <f>AND(ConsolidatedEventList!#REF!,"AAAAAG/m/2k=")</f>
        <v>#REF!</v>
      </c>
      <c r="DC67" t="e">
        <f>IF(ConsolidatedEventList!#REF!,"AAAAAG/m/2o=",0)</f>
        <v>#REF!</v>
      </c>
      <c r="DD67" t="e">
        <f>AND(ConsolidatedEventList!#REF!,"AAAAAG/m/2s=")</f>
        <v>#REF!</v>
      </c>
      <c r="DE67" t="e">
        <f>AND(ConsolidatedEventList!#REF!,"AAAAAG/m/2w=")</f>
        <v>#REF!</v>
      </c>
      <c r="DF67" t="e">
        <f>AND(ConsolidatedEventList!#REF!,"AAAAAG/m/20=")</f>
        <v>#REF!</v>
      </c>
      <c r="DG67" t="e">
        <f>AND(ConsolidatedEventList!#REF!,"AAAAAG/m/24=")</f>
        <v>#REF!</v>
      </c>
      <c r="DH67" t="e">
        <f>AND(ConsolidatedEventList!#REF!,"AAAAAG/m/28=")</f>
        <v>#REF!</v>
      </c>
      <c r="DI67" t="e">
        <f>AND(ConsolidatedEventList!#REF!,"AAAAAG/m/3A=")</f>
        <v>#REF!</v>
      </c>
      <c r="DJ67" t="e">
        <f>AND(ConsolidatedEventList!#REF!,"AAAAAG/m/3E=")</f>
        <v>#REF!</v>
      </c>
      <c r="DK67" t="e">
        <f>AND(ConsolidatedEventList!#REF!,"AAAAAG/m/3I=")</f>
        <v>#REF!</v>
      </c>
      <c r="DL67" t="e">
        <f>IF(ConsolidatedEventList!#REF!,"AAAAAG/m/3M=",0)</f>
        <v>#REF!</v>
      </c>
      <c r="DM67" t="e">
        <f>AND(ConsolidatedEventList!#REF!,"AAAAAG/m/3Q=")</f>
        <v>#REF!</v>
      </c>
      <c r="DN67" t="e">
        <f>AND(ConsolidatedEventList!#REF!,"AAAAAG/m/3U=")</f>
        <v>#REF!</v>
      </c>
      <c r="DO67" t="e">
        <f>AND(ConsolidatedEventList!#REF!,"AAAAAG/m/3Y=")</f>
        <v>#REF!</v>
      </c>
      <c r="DP67" t="e">
        <f>AND(ConsolidatedEventList!#REF!,"AAAAAG/m/3c=")</f>
        <v>#REF!</v>
      </c>
      <c r="DQ67" t="e">
        <f>AND(ConsolidatedEventList!#REF!,"AAAAAG/m/3g=")</f>
        <v>#REF!</v>
      </c>
      <c r="DR67" t="e">
        <f>AND(ConsolidatedEventList!#REF!,"AAAAAG/m/3k=")</f>
        <v>#REF!</v>
      </c>
      <c r="DS67" t="e">
        <f>AND(ConsolidatedEventList!#REF!,"AAAAAG/m/3o=")</f>
        <v>#REF!</v>
      </c>
      <c r="DT67" t="e">
        <f>AND(ConsolidatedEventList!#REF!,"AAAAAG/m/3s=")</f>
        <v>#REF!</v>
      </c>
      <c r="DU67" t="e">
        <f>IF(ConsolidatedEventList!#REF!,"AAAAAG/m/3w=",0)</f>
        <v>#REF!</v>
      </c>
      <c r="DV67" t="e">
        <f>AND(ConsolidatedEventList!#REF!,"AAAAAG/m/30=")</f>
        <v>#REF!</v>
      </c>
      <c r="DW67" t="e">
        <f>AND(ConsolidatedEventList!#REF!,"AAAAAG/m/34=")</f>
        <v>#REF!</v>
      </c>
      <c r="DX67" t="e">
        <f>AND(ConsolidatedEventList!#REF!,"AAAAAG/m/38=")</f>
        <v>#REF!</v>
      </c>
      <c r="DY67" t="e">
        <f>AND(ConsolidatedEventList!#REF!,"AAAAAG/m/4A=")</f>
        <v>#REF!</v>
      </c>
      <c r="DZ67" t="e">
        <f>AND(ConsolidatedEventList!#REF!,"AAAAAG/m/4E=")</f>
        <v>#REF!</v>
      </c>
      <c r="EA67" t="e">
        <f>AND(ConsolidatedEventList!#REF!,"AAAAAG/m/4I=")</f>
        <v>#REF!</v>
      </c>
      <c r="EB67" t="e">
        <f>AND(ConsolidatedEventList!#REF!,"AAAAAG/m/4M=")</f>
        <v>#REF!</v>
      </c>
      <c r="EC67" t="e">
        <f>AND(ConsolidatedEventList!#REF!,"AAAAAG/m/4Q=")</f>
        <v>#REF!</v>
      </c>
      <c r="ED67" t="e">
        <f>IF(ConsolidatedEventList!#REF!,"AAAAAG/m/4U=",0)</f>
        <v>#REF!</v>
      </c>
      <c r="EE67" t="e">
        <f>AND(ConsolidatedEventList!#REF!,"AAAAAG/m/4Y=")</f>
        <v>#REF!</v>
      </c>
      <c r="EF67" t="e">
        <f>AND(ConsolidatedEventList!#REF!,"AAAAAG/m/4c=")</f>
        <v>#REF!</v>
      </c>
      <c r="EG67" t="e">
        <f>AND(ConsolidatedEventList!#REF!,"AAAAAG/m/4g=")</f>
        <v>#REF!</v>
      </c>
      <c r="EH67" t="e">
        <f>AND(ConsolidatedEventList!#REF!,"AAAAAG/m/4k=")</f>
        <v>#REF!</v>
      </c>
      <c r="EI67" t="e">
        <f>AND(ConsolidatedEventList!#REF!,"AAAAAG/m/4o=")</f>
        <v>#REF!</v>
      </c>
      <c r="EJ67" t="e">
        <f>AND(ConsolidatedEventList!#REF!,"AAAAAG/m/4s=")</f>
        <v>#REF!</v>
      </c>
      <c r="EK67" t="e">
        <f>AND(ConsolidatedEventList!#REF!,"AAAAAG/m/4w=")</f>
        <v>#REF!</v>
      </c>
      <c r="EL67" t="e">
        <f>AND(ConsolidatedEventList!#REF!,"AAAAAG/m/40=")</f>
        <v>#REF!</v>
      </c>
      <c r="EM67" t="e">
        <f>IF(ConsolidatedEventList!#REF!,"AAAAAG/m/44=",0)</f>
        <v>#REF!</v>
      </c>
      <c r="EN67" t="e">
        <f>AND(ConsolidatedEventList!#REF!,"AAAAAG/m/48=")</f>
        <v>#REF!</v>
      </c>
      <c r="EO67" t="e">
        <f>AND(ConsolidatedEventList!#REF!,"AAAAAG/m/5A=")</f>
        <v>#REF!</v>
      </c>
      <c r="EP67" t="e">
        <f>AND(ConsolidatedEventList!#REF!,"AAAAAG/m/5E=")</f>
        <v>#REF!</v>
      </c>
      <c r="EQ67" t="e">
        <f>AND(ConsolidatedEventList!#REF!,"AAAAAG/m/5I=")</f>
        <v>#REF!</v>
      </c>
      <c r="ER67" t="e">
        <f>AND(ConsolidatedEventList!#REF!,"AAAAAG/m/5M=")</f>
        <v>#REF!</v>
      </c>
      <c r="ES67" t="e">
        <f>AND(ConsolidatedEventList!#REF!,"AAAAAG/m/5Q=")</f>
        <v>#REF!</v>
      </c>
      <c r="ET67" t="e">
        <f>AND(ConsolidatedEventList!#REF!,"AAAAAG/m/5U=")</f>
        <v>#REF!</v>
      </c>
      <c r="EU67" t="e">
        <f>AND(ConsolidatedEventList!#REF!,"AAAAAG/m/5Y=")</f>
        <v>#REF!</v>
      </c>
      <c r="EV67" t="e">
        <f>IF(ConsolidatedEventList!#REF!,"AAAAAG/m/5c=",0)</f>
        <v>#REF!</v>
      </c>
      <c r="EW67" t="e">
        <f>AND(ConsolidatedEventList!#REF!,"AAAAAG/m/5g=")</f>
        <v>#REF!</v>
      </c>
      <c r="EX67" t="e">
        <f>AND(ConsolidatedEventList!#REF!,"AAAAAG/m/5k=")</f>
        <v>#REF!</v>
      </c>
      <c r="EY67" t="e">
        <f>AND(ConsolidatedEventList!#REF!,"AAAAAG/m/5o=")</f>
        <v>#REF!</v>
      </c>
      <c r="EZ67" t="e">
        <f>AND(ConsolidatedEventList!#REF!,"AAAAAG/m/5s=")</f>
        <v>#REF!</v>
      </c>
      <c r="FA67" t="e">
        <f>AND(ConsolidatedEventList!#REF!,"AAAAAG/m/5w=")</f>
        <v>#REF!</v>
      </c>
      <c r="FB67" t="e">
        <f>AND(ConsolidatedEventList!#REF!,"AAAAAG/m/50=")</f>
        <v>#REF!</v>
      </c>
      <c r="FC67" t="e">
        <f>AND(ConsolidatedEventList!#REF!,"AAAAAG/m/54=")</f>
        <v>#REF!</v>
      </c>
      <c r="FD67" t="e">
        <f>AND(ConsolidatedEventList!#REF!,"AAAAAG/m/58=")</f>
        <v>#REF!</v>
      </c>
      <c r="FE67" t="e">
        <f>IF(ConsolidatedEventList!#REF!,"AAAAAG/m/6A=",0)</f>
        <v>#REF!</v>
      </c>
      <c r="FF67" t="e">
        <f>AND(ConsolidatedEventList!#REF!,"AAAAAG/m/6E=")</f>
        <v>#REF!</v>
      </c>
      <c r="FG67" t="e">
        <f>AND(ConsolidatedEventList!#REF!,"AAAAAG/m/6I=")</f>
        <v>#REF!</v>
      </c>
      <c r="FH67" t="e">
        <f>AND(ConsolidatedEventList!#REF!,"AAAAAG/m/6M=")</f>
        <v>#REF!</v>
      </c>
      <c r="FI67" t="e">
        <f>AND(ConsolidatedEventList!#REF!,"AAAAAG/m/6Q=")</f>
        <v>#REF!</v>
      </c>
      <c r="FJ67" t="e">
        <f>AND(ConsolidatedEventList!#REF!,"AAAAAG/m/6U=")</f>
        <v>#REF!</v>
      </c>
      <c r="FK67" t="e">
        <f>AND(ConsolidatedEventList!#REF!,"AAAAAG/m/6Y=")</f>
        <v>#REF!</v>
      </c>
      <c r="FL67" t="e">
        <f>AND(ConsolidatedEventList!#REF!,"AAAAAG/m/6c=")</f>
        <v>#REF!</v>
      </c>
      <c r="FM67" t="e">
        <f>AND(ConsolidatedEventList!#REF!,"AAAAAG/m/6g=")</f>
        <v>#REF!</v>
      </c>
      <c r="FN67" t="e">
        <f>IF(ConsolidatedEventList!#REF!,"AAAAAG/m/6k=",0)</f>
        <v>#REF!</v>
      </c>
      <c r="FO67" t="e">
        <f>AND(ConsolidatedEventList!#REF!,"AAAAAG/m/6o=")</f>
        <v>#REF!</v>
      </c>
      <c r="FP67" t="e">
        <f>AND(ConsolidatedEventList!#REF!,"AAAAAG/m/6s=")</f>
        <v>#REF!</v>
      </c>
      <c r="FQ67" t="e">
        <f>AND(ConsolidatedEventList!#REF!,"AAAAAG/m/6w=")</f>
        <v>#REF!</v>
      </c>
      <c r="FR67" t="e">
        <f>AND(ConsolidatedEventList!#REF!,"AAAAAG/m/60=")</f>
        <v>#REF!</v>
      </c>
      <c r="FS67" t="e">
        <f>AND(ConsolidatedEventList!#REF!,"AAAAAG/m/64=")</f>
        <v>#REF!</v>
      </c>
      <c r="FT67" t="e">
        <f>AND(ConsolidatedEventList!#REF!,"AAAAAG/m/68=")</f>
        <v>#REF!</v>
      </c>
      <c r="FU67" t="e">
        <f>AND(ConsolidatedEventList!#REF!,"AAAAAG/m/7A=")</f>
        <v>#REF!</v>
      </c>
      <c r="FV67" t="e">
        <f>AND(ConsolidatedEventList!#REF!,"AAAAAG/m/7E=")</f>
        <v>#REF!</v>
      </c>
      <c r="FW67" t="e">
        <f>IF(ConsolidatedEventList!#REF!,"AAAAAG/m/7I=",0)</f>
        <v>#REF!</v>
      </c>
      <c r="FX67" t="e">
        <f>AND(ConsolidatedEventList!#REF!,"AAAAAG/m/7M=")</f>
        <v>#REF!</v>
      </c>
      <c r="FY67" t="e">
        <f>AND(ConsolidatedEventList!#REF!,"AAAAAG/m/7Q=")</f>
        <v>#REF!</v>
      </c>
      <c r="FZ67" t="e">
        <f>AND(ConsolidatedEventList!#REF!,"AAAAAG/m/7U=")</f>
        <v>#REF!</v>
      </c>
      <c r="GA67" t="e">
        <f>AND(ConsolidatedEventList!#REF!,"AAAAAG/m/7Y=")</f>
        <v>#REF!</v>
      </c>
      <c r="GB67" t="e">
        <f>AND(ConsolidatedEventList!#REF!,"AAAAAG/m/7c=")</f>
        <v>#REF!</v>
      </c>
      <c r="GC67" t="e">
        <f>AND(ConsolidatedEventList!#REF!,"AAAAAG/m/7g=")</f>
        <v>#REF!</v>
      </c>
      <c r="GD67" t="e">
        <f>AND(ConsolidatedEventList!#REF!,"AAAAAG/m/7k=")</f>
        <v>#REF!</v>
      </c>
      <c r="GE67" t="e">
        <f>AND(ConsolidatedEventList!#REF!,"AAAAAG/m/7o=")</f>
        <v>#REF!</v>
      </c>
      <c r="GF67" t="e">
        <f>IF(ConsolidatedEventList!#REF!,"AAAAAG/m/7s=",0)</f>
        <v>#REF!</v>
      </c>
      <c r="GG67" t="e">
        <f>AND(ConsolidatedEventList!#REF!,"AAAAAG/m/7w=")</f>
        <v>#REF!</v>
      </c>
      <c r="GH67" t="e">
        <f>AND(ConsolidatedEventList!#REF!,"AAAAAG/m/70=")</f>
        <v>#REF!</v>
      </c>
      <c r="GI67" t="e">
        <f>AND(ConsolidatedEventList!#REF!,"AAAAAG/m/74=")</f>
        <v>#REF!</v>
      </c>
      <c r="GJ67" t="e">
        <f>AND(ConsolidatedEventList!#REF!,"AAAAAG/m/78=")</f>
        <v>#REF!</v>
      </c>
      <c r="GK67" t="e">
        <f>AND(ConsolidatedEventList!#REF!,"AAAAAG/m/8A=")</f>
        <v>#REF!</v>
      </c>
      <c r="GL67" t="e">
        <f>AND(ConsolidatedEventList!#REF!,"AAAAAG/m/8E=")</f>
        <v>#REF!</v>
      </c>
      <c r="GM67" t="e">
        <f>AND(ConsolidatedEventList!#REF!,"AAAAAG/m/8I=")</f>
        <v>#REF!</v>
      </c>
      <c r="GN67" t="e">
        <f>AND(ConsolidatedEventList!#REF!,"AAAAAG/m/8M=")</f>
        <v>#REF!</v>
      </c>
      <c r="GO67" t="e">
        <f>IF(ConsolidatedEventList!#REF!,"AAAAAG/m/8Q=",0)</f>
        <v>#REF!</v>
      </c>
      <c r="GP67" t="e">
        <f>AND(ConsolidatedEventList!#REF!,"AAAAAG/m/8U=")</f>
        <v>#REF!</v>
      </c>
      <c r="GQ67" t="e">
        <f>AND(ConsolidatedEventList!#REF!,"AAAAAG/m/8Y=")</f>
        <v>#REF!</v>
      </c>
      <c r="GR67" t="e">
        <f>AND(ConsolidatedEventList!#REF!,"AAAAAG/m/8c=")</f>
        <v>#REF!</v>
      </c>
      <c r="GS67" t="e">
        <f>AND(ConsolidatedEventList!#REF!,"AAAAAG/m/8g=")</f>
        <v>#REF!</v>
      </c>
      <c r="GT67" t="e">
        <f>AND(ConsolidatedEventList!#REF!,"AAAAAG/m/8k=")</f>
        <v>#REF!</v>
      </c>
      <c r="GU67" t="e">
        <f>AND(ConsolidatedEventList!#REF!,"AAAAAG/m/8o=")</f>
        <v>#REF!</v>
      </c>
      <c r="GV67" t="e">
        <f>AND(ConsolidatedEventList!#REF!,"AAAAAG/m/8s=")</f>
        <v>#REF!</v>
      </c>
      <c r="GW67" t="e">
        <f>AND(ConsolidatedEventList!#REF!,"AAAAAG/m/8w=")</f>
        <v>#REF!</v>
      </c>
      <c r="GX67" t="e">
        <f>IF(ConsolidatedEventList!#REF!,"AAAAAG/m/80=",0)</f>
        <v>#REF!</v>
      </c>
      <c r="GY67" t="e">
        <f>AND(ConsolidatedEventList!#REF!,"AAAAAG/m/84=")</f>
        <v>#REF!</v>
      </c>
      <c r="GZ67" t="e">
        <f>AND(ConsolidatedEventList!#REF!,"AAAAAG/m/88=")</f>
        <v>#REF!</v>
      </c>
      <c r="HA67" t="e">
        <f>AND(ConsolidatedEventList!#REF!,"AAAAAG/m/9A=")</f>
        <v>#REF!</v>
      </c>
      <c r="HB67" t="e">
        <f>AND(ConsolidatedEventList!#REF!,"AAAAAG/m/9E=")</f>
        <v>#REF!</v>
      </c>
      <c r="HC67" t="e">
        <f>AND(ConsolidatedEventList!#REF!,"AAAAAG/m/9I=")</f>
        <v>#REF!</v>
      </c>
      <c r="HD67" t="e">
        <f>AND(ConsolidatedEventList!#REF!,"AAAAAG/m/9M=")</f>
        <v>#REF!</v>
      </c>
      <c r="HE67" t="e">
        <f>AND(ConsolidatedEventList!#REF!,"AAAAAG/m/9Q=")</f>
        <v>#REF!</v>
      </c>
      <c r="HF67" t="e">
        <f>AND(ConsolidatedEventList!#REF!,"AAAAAG/m/9U=")</f>
        <v>#REF!</v>
      </c>
      <c r="HG67" t="e">
        <f>IF(ConsolidatedEventList!#REF!,"AAAAAG/m/9Y=",0)</f>
        <v>#REF!</v>
      </c>
      <c r="HH67" t="e">
        <f>AND(ConsolidatedEventList!#REF!,"AAAAAG/m/9c=")</f>
        <v>#REF!</v>
      </c>
      <c r="HI67" t="e">
        <f>AND(ConsolidatedEventList!#REF!,"AAAAAG/m/9g=")</f>
        <v>#REF!</v>
      </c>
      <c r="HJ67" t="e">
        <f>AND(ConsolidatedEventList!#REF!,"AAAAAG/m/9k=")</f>
        <v>#REF!</v>
      </c>
      <c r="HK67" t="e">
        <f>AND(ConsolidatedEventList!#REF!,"AAAAAG/m/9o=")</f>
        <v>#REF!</v>
      </c>
      <c r="HL67" t="e">
        <f>AND(ConsolidatedEventList!#REF!,"AAAAAG/m/9s=")</f>
        <v>#REF!</v>
      </c>
      <c r="HM67" t="e">
        <f>AND(ConsolidatedEventList!#REF!,"AAAAAG/m/9w=")</f>
        <v>#REF!</v>
      </c>
      <c r="HN67" t="e">
        <f>AND(ConsolidatedEventList!#REF!,"AAAAAG/m/90=")</f>
        <v>#REF!</v>
      </c>
      <c r="HO67" t="e">
        <f>AND(ConsolidatedEventList!#REF!,"AAAAAG/m/94=")</f>
        <v>#REF!</v>
      </c>
      <c r="HP67" t="e">
        <f>IF(ConsolidatedEventList!#REF!,"AAAAAG/m/98=",0)</f>
        <v>#REF!</v>
      </c>
      <c r="HQ67" t="e">
        <f>AND(ConsolidatedEventList!#REF!,"AAAAAG/m/+A=")</f>
        <v>#REF!</v>
      </c>
      <c r="HR67" t="e">
        <f>AND(ConsolidatedEventList!#REF!,"AAAAAG/m/+E=")</f>
        <v>#REF!</v>
      </c>
      <c r="HS67" t="e">
        <f>AND(ConsolidatedEventList!#REF!,"AAAAAG/m/+I=")</f>
        <v>#REF!</v>
      </c>
      <c r="HT67" t="e">
        <f>AND(ConsolidatedEventList!#REF!,"AAAAAG/m/+M=")</f>
        <v>#REF!</v>
      </c>
      <c r="HU67" t="e">
        <f>AND(ConsolidatedEventList!#REF!,"AAAAAG/m/+Q=")</f>
        <v>#REF!</v>
      </c>
      <c r="HV67" t="e">
        <f>AND(ConsolidatedEventList!#REF!,"AAAAAG/m/+U=")</f>
        <v>#REF!</v>
      </c>
      <c r="HW67" t="e">
        <f>AND(ConsolidatedEventList!#REF!,"AAAAAG/m/+Y=")</f>
        <v>#REF!</v>
      </c>
      <c r="HX67" t="e">
        <f>AND(ConsolidatedEventList!#REF!,"AAAAAG/m/+c=")</f>
        <v>#REF!</v>
      </c>
      <c r="HY67" t="e">
        <f>IF(ConsolidatedEventList!#REF!,"AAAAAG/m/+g=",0)</f>
        <v>#REF!</v>
      </c>
      <c r="HZ67" t="e">
        <f>AND(ConsolidatedEventList!#REF!,"AAAAAG/m/+k=")</f>
        <v>#REF!</v>
      </c>
      <c r="IA67" t="e">
        <f>AND(ConsolidatedEventList!#REF!,"AAAAAG/m/+o=")</f>
        <v>#REF!</v>
      </c>
      <c r="IB67" t="e">
        <f>AND(ConsolidatedEventList!#REF!,"AAAAAG/m/+s=")</f>
        <v>#REF!</v>
      </c>
      <c r="IC67" t="e">
        <f>AND(ConsolidatedEventList!#REF!,"AAAAAG/m/+w=")</f>
        <v>#REF!</v>
      </c>
      <c r="ID67" t="e">
        <f>AND(ConsolidatedEventList!#REF!,"AAAAAG/m/+0=")</f>
        <v>#REF!</v>
      </c>
      <c r="IE67" t="e">
        <f>AND(ConsolidatedEventList!#REF!,"AAAAAG/m/+4=")</f>
        <v>#REF!</v>
      </c>
      <c r="IF67" t="e">
        <f>AND(ConsolidatedEventList!#REF!,"AAAAAG/m/+8=")</f>
        <v>#REF!</v>
      </c>
      <c r="IG67" t="e">
        <f>AND(ConsolidatedEventList!#REF!,"AAAAAG/m//A=")</f>
        <v>#REF!</v>
      </c>
      <c r="IH67" t="e">
        <f>IF(ConsolidatedEventList!#REF!,"AAAAAG/m//E=",0)</f>
        <v>#REF!</v>
      </c>
      <c r="II67" t="e">
        <f>AND(ConsolidatedEventList!#REF!,"AAAAAG/m//I=")</f>
        <v>#REF!</v>
      </c>
      <c r="IJ67" t="e">
        <f>AND(ConsolidatedEventList!#REF!,"AAAAAG/m//M=")</f>
        <v>#REF!</v>
      </c>
      <c r="IK67" t="e">
        <f>AND(ConsolidatedEventList!#REF!,"AAAAAG/m//Q=")</f>
        <v>#REF!</v>
      </c>
      <c r="IL67" t="e">
        <f>AND(ConsolidatedEventList!#REF!,"AAAAAG/m//U=")</f>
        <v>#REF!</v>
      </c>
      <c r="IM67" t="e">
        <f>AND(ConsolidatedEventList!#REF!,"AAAAAG/m//Y=")</f>
        <v>#REF!</v>
      </c>
      <c r="IN67" t="e">
        <f>AND(ConsolidatedEventList!#REF!,"AAAAAG/m//c=")</f>
        <v>#REF!</v>
      </c>
      <c r="IO67" t="e">
        <f>AND(ConsolidatedEventList!#REF!,"AAAAAG/m//g=")</f>
        <v>#REF!</v>
      </c>
      <c r="IP67" t="e">
        <f>AND(ConsolidatedEventList!#REF!,"AAAAAG/m//k=")</f>
        <v>#REF!</v>
      </c>
      <c r="IQ67" t="e">
        <f>IF(ConsolidatedEventList!#REF!,"AAAAAG/m//o=",0)</f>
        <v>#REF!</v>
      </c>
      <c r="IR67" t="e">
        <f>AND(ConsolidatedEventList!#REF!,"AAAAAG/m//s=")</f>
        <v>#REF!</v>
      </c>
      <c r="IS67" t="e">
        <f>AND(ConsolidatedEventList!#REF!,"AAAAAG/m//w=")</f>
        <v>#REF!</v>
      </c>
      <c r="IT67" t="e">
        <f>AND(ConsolidatedEventList!#REF!,"AAAAAG/m//0=")</f>
        <v>#REF!</v>
      </c>
      <c r="IU67" t="e">
        <f>AND(ConsolidatedEventList!#REF!,"AAAAAG/m//4=")</f>
        <v>#REF!</v>
      </c>
      <c r="IV67" t="e">
        <f>AND(ConsolidatedEventList!#REF!,"AAAAAG/m//8=")</f>
        <v>#REF!</v>
      </c>
    </row>
    <row r="68" spans="1:256" x14ac:dyDescent="0.25">
      <c r="A68" t="e">
        <f>AND(ConsolidatedEventList!#REF!,"AAAAAH+f/QA=")</f>
        <v>#REF!</v>
      </c>
      <c r="B68" t="e">
        <f>AND(ConsolidatedEventList!#REF!,"AAAAAH+f/QE=")</f>
        <v>#REF!</v>
      </c>
      <c r="C68" t="e">
        <f>AND(ConsolidatedEventList!#REF!,"AAAAAH+f/QI=")</f>
        <v>#REF!</v>
      </c>
      <c r="D68" t="e">
        <f>IF(ConsolidatedEventList!#REF!,"AAAAAH+f/QM=",0)</f>
        <v>#REF!</v>
      </c>
      <c r="E68" t="e">
        <f>AND(ConsolidatedEventList!#REF!,"AAAAAH+f/QQ=")</f>
        <v>#REF!</v>
      </c>
      <c r="F68" t="e">
        <f>AND(ConsolidatedEventList!#REF!,"AAAAAH+f/QU=")</f>
        <v>#REF!</v>
      </c>
      <c r="G68" t="e">
        <f>AND(ConsolidatedEventList!#REF!,"AAAAAH+f/QY=")</f>
        <v>#REF!</v>
      </c>
      <c r="H68" t="e">
        <f>AND(ConsolidatedEventList!#REF!,"AAAAAH+f/Qc=")</f>
        <v>#REF!</v>
      </c>
      <c r="I68" t="e">
        <f>AND(ConsolidatedEventList!#REF!,"AAAAAH+f/Qg=")</f>
        <v>#REF!</v>
      </c>
      <c r="J68" t="e">
        <f>AND(ConsolidatedEventList!#REF!,"AAAAAH+f/Qk=")</f>
        <v>#REF!</v>
      </c>
      <c r="K68" t="e">
        <f>AND(ConsolidatedEventList!#REF!,"AAAAAH+f/Qo=")</f>
        <v>#REF!</v>
      </c>
      <c r="L68" t="e">
        <f>AND(ConsolidatedEventList!#REF!,"AAAAAH+f/Qs=")</f>
        <v>#REF!</v>
      </c>
      <c r="M68" t="e">
        <f>IF(ConsolidatedEventList!#REF!,"AAAAAH+f/Qw=",0)</f>
        <v>#REF!</v>
      </c>
      <c r="N68" t="e">
        <f>AND(ConsolidatedEventList!#REF!,"AAAAAH+f/Q0=")</f>
        <v>#REF!</v>
      </c>
      <c r="O68" t="e">
        <f>AND(ConsolidatedEventList!#REF!,"AAAAAH+f/Q4=")</f>
        <v>#REF!</v>
      </c>
      <c r="P68" t="e">
        <f>AND(ConsolidatedEventList!#REF!,"AAAAAH+f/Q8=")</f>
        <v>#REF!</v>
      </c>
      <c r="Q68" t="e">
        <f>AND(ConsolidatedEventList!#REF!,"AAAAAH+f/RA=")</f>
        <v>#REF!</v>
      </c>
      <c r="R68" t="e">
        <f>AND(ConsolidatedEventList!#REF!,"AAAAAH+f/RE=")</f>
        <v>#REF!</v>
      </c>
      <c r="S68" t="e">
        <f>AND(ConsolidatedEventList!#REF!,"AAAAAH+f/RI=")</f>
        <v>#REF!</v>
      </c>
      <c r="T68" t="e">
        <f>AND(ConsolidatedEventList!#REF!,"AAAAAH+f/RM=")</f>
        <v>#REF!</v>
      </c>
      <c r="U68" t="e">
        <f>AND(ConsolidatedEventList!#REF!,"AAAAAH+f/RQ=")</f>
        <v>#REF!</v>
      </c>
      <c r="V68" t="e">
        <f>IF(ConsolidatedEventList!#REF!,"AAAAAH+f/RU=",0)</f>
        <v>#REF!</v>
      </c>
      <c r="W68" t="e">
        <f>AND(ConsolidatedEventList!#REF!,"AAAAAH+f/RY=")</f>
        <v>#REF!</v>
      </c>
      <c r="X68" t="e">
        <f>AND(ConsolidatedEventList!#REF!,"AAAAAH+f/Rc=")</f>
        <v>#REF!</v>
      </c>
      <c r="Y68" t="e">
        <f>AND(ConsolidatedEventList!#REF!,"AAAAAH+f/Rg=")</f>
        <v>#REF!</v>
      </c>
      <c r="Z68" t="e">
        <f>AND(ConsolidatedEventList!#REF!,"AAAAAH+f/Rk=")</f>
        <v>#REF!</v>
      </c>
      <c r="AA68" t="e">
        <f>AND(ConsolidatedEventList!#REF!,"AAAAAH+f/Ro=")</f>
        <v>#REF!</v>
      </c>
      <c r="AB68" t="e">
        <f>AND(ConsolidatedEventList!#REF!,"AAAAAH+f/Rs=")</f>
        <v>#REF!</v>
      </c>
      <c r="AC68" t="e">
        <f>AND(ConsolidatedEventList!#REF!,"AAAAAH+f/Rw=")</f>
        <v>#REF!</v>
      </c>
      <c r="AD68" t="e">
        <f>AND(ConsolidatedEventList!#REF!,"AAAAAH+f/R0=")</f>
        <v>#REF!</v>
      </c>
      <c r="AE68" t="e">
        <f>IF(ConsolidatedEventList!#REF!,"AAAAAH+f/R4=",0)</f>
        <v>#REF!</v>
      </c>
      <c r="AF68" t="e">
        <f>AND(ConsolidatedEventList!#REF!,"AAAAAH+f/R8=")</f>
        <v>#REF!</v>
      </c>
      <c r="AG68" t="e">
        <f>AND(ConsolidatedEventList!#REF!,"AAAAAH+f/SA=")</f>
        <v>#REF!</v>
      </c>
      <c r="AH68" t="e">
        <f>AND(ConsolidatedEventList!#REF!,"AAAAAH+f/SE=")</f>
        <v>#REF!</v>
      </c>
      <c r="AI68" t="e">
        <f>AND(ConsolidatedEventList!#REF!,"AAAAAH+f/SI=")</f>
        <v>#REF!</v>
      </c>
      <c r="AJ68" t="e">
        <f>AND(ConsolidatedEventList!#REF!,"AAAAAH+f/SM=")</f>
        <v>#REF!</v>
      </c>
      <c r="AK68" t="e">
        <f>AND(ConsolidatedEventList!#REF!,"AAAAAH+f/SQ=")</f>
        <v>#REF!</v>
      </c>
      <c r="AL68" t="e">
        <f>AND(ConsolidatedEventList!#REF!,"AAAAAH+f/SU=")</f>
        <v>#REF!</v>
      </c>
      <c r="AM68" t="e">
        <f>AND(ConsolidatedEventList!#REF!,"AAAAAH+f/SY=")</f>
        <v>#REF!</v>
      </c>
      <c r="AN68" t="e">
        <f>IF(ConsolidatedEventList!#REF!,"AAAAAH+f/Sc=",0)</f>
        <v>#REF!</v>
      </c>
      <c r="AO68" t="e">
        <f>AND(ConsolidatedEventList!#REF!,"AAAAAH+f/Sg=")</f>
        <v>#REF!</v>
      </c>
      <c r="AP68" t="e">
        <f>AND(ConsolidatedEventList!#REF!,"AAAAAH+f/Sk=")</f>
        <v>#REF!</v>
      </c>
      <c r="AQ68" t="e">
        <f>AND(ConsolidatedEventList!#REF!,"AAAAAH+f/So=")</f>
        <v>#REF!</v>
      </c>
      <c r="AR68" t="e">
        <f>AND(ConsolidatedEventList!#REF!,"AAAAAH+f/Ss=")</f>
        <v>#REF!</v>
      </c>
      <c r="AS68" t="e">
        <f>AND(ConsolidatedEventList!#REF!,"AAAAAH+f/Sw=")</f>
        <v>#REF!</v>
      </c>
      <c r="AT68" t="e">
        <f>AND(ConsolidatedEventList!#REF!,"AAAAAH+f/S0=")</f>
        <v>#REF!</v>
      </c>
      <c r="AU68" t="e">
        <f>AND(ConsolidatedEventList!#REF!,"AAAAAH+f/S4=")</f>
        <v>#REF!</v>
      </c>
      <c r="AV68" t="e">
        <f>AND(ConsolidatedEventList!#REF!,"AAAAAH+f/S8=")</f>
        <v>#REF!</v>
      </c>
      <c r="AW68" t="e">
        <f>IF(ConsolidatedEventList!#REF!,"AAAAAH+f/TA=",0)</f>
        <v>#REF!</v>
      </c>
      <c r="AX68" t="e">
        <f>AND(ConsolidatedEventList!#REF!,"AAAAAH+f/TE=")</f>
        <v>#REF!</v>
      </c>
      <c r="AY68" t="e">
        <f>AND(ConsolidatedEventList!#REF!,"AAAAAH+f/TI=")</f>
        <v>#REF!</v>
      </c>
      <c r="AZ68" t="e">
        <f>AND(ConsolidatedEventList!#REF!,"AAAAAH+f/TM=")</f>
        <v>#REF!</v>
      </c>
      <c r="BA68" t="e">
        <f>AND(ConsolidatedEventList!#REF!,"AAAAAH+f/TQ=")</f>
        <v>#REF!</v>
      </c>
      <c r="BB68" t="e">
        <f>AND(ConsolidatedEventList!#REF!,"AAAAAH+f/TU=")</f>
        <v>#REF!</v>
      </c>
      <c r="BC68" t="e">
        <f>AND(ConsolidatedEventList!#REF!,"AAAAAH+f/TY=")</f>
        <v>#REF!</v>
      </c>
      <c r="BD68" t="e">
        <f>AND(ConsolidatedEventList!#REF!,"AAAAAH+f/Tc=")</f>
        <v>#REF!</v>
      </c>
      <c r="BE68" t="e">
        <f>AND(ConsolidatedEventList!#REF!,"AAAAAH+f/Tg=")</f>
        <v>#REF!</v>
      </c>
      <c r="BF68" t="e">
        <f>IF(ConsolidatedEventList!#REF!,"AAAAAH+f/Tk=",0)</f>
        <v>#REF!</v>
      </c>
      <c r="BG68" t="e">
        <f>AND(ConsolidatedEventList!#REF!,"AAAAAH+f/To=")</f>
        <v>#REF!</v>
      </c>
      <c r="BH68" t="e">
        <f>AND(ConsolidatedEventList!#REF!,"AAAAAH+f/Ts=")</f>
        <v>#REF!</v>
      </c>
      <c r="BI68" t="e">
        <f>AND(ConsolidatedEventList!#REF!,"AAAAAH+f/Tw=")</f>
        <v>#REF!</v>
      </c>
      <c r="BJ68" t="e">
        <f>AND(ConsolidatedEventList!#REF!,"AAAAAH+f/T0=")</f>
        <v>#REF!</v>
      </c>
      <c r="BK68" t="e">
        <f>AND(ConsolidatedEventList!#REF!,"AAAAAH+f/T4=")</f>
        <v>#REF!</v>
      </c>
      <c r="BL68" t="e">
        <f>AND(ConsolidatedEventList!#REF!,"AAAAAH+f/T8=")</f>
        <v>#REF!</v>
      </c>
      <c r="BM68" t="e">
        <f>AND(ConsolidatedEventList!#REF!,"AAAAAH+f/UA=")</f>
        <v>#REF!</v>
      </c>
      <c r="BN68" t="e">
        <f>AND(ConsolidatedEventList!#REF!,"AAAAAH+f/UE=")</f>
        <v>#REF!</v>
      </c>
      <c r="BO68" t="e">
        <f>IF(ConsolidatedEventList!#REF!,"AAAAAH+f/UI=",0)</f>
        <v>#REF!</v>
      </c>
      <c r="BP68" t="e">
        <f>AND(ConsolidatedEventList!#REF!,"AAAAAH+f/UM=")</f>
        <v>#REF!</v>
      </c>
      <c r="BQ68" t="e">
        <f>AND(ConsolidatedEventList!#REF!,"AAAAAH+f/UQ=")</f>
        <v>#REF!</v>
      </c>
      <c r="BR68" t="e">
        <f>AND(ConsolidatedEventList!#REF!,"AAAAAH+f/UU=")</f>
        <v>#REF!</v>
      </c>
      <c r="BS68" t="e">
        <f>AND(ConsolidatedEventList!#REF!,"AAAAAH+f/UY=")</f>
        <v>#REF!</v>
      </c>
      <c r="BT68" t="e">
        <f>AND(ConsolidatedEventList!#REF!,"AAAAAH+f/Uc=")</f>
        <v>#REF!</v>
      </c>
      <c r="BU68" t="e">
        <f>AND(ConsolidatedEventList!#REF!,"AAAAAH+f/Ug=")</f>
        <v>#REF!</v>
      </c>
      <c r="BV68" t="e">
        <f>AND(ConsolidatedEventList!#REF!,"AAAAAH+f/Uk=")</f>
        <v>#REF!</v>
      </c>
      <c r="BW68" t="e">
        <f>AND(ConsolidatedEventList!#REF!,"AAAAAH+f/Uo=")</f>
        <v>#REF!</v>
      </c>
      <c r="BX68" t="e">
        <f>IF(ConsolidatedEventList!#REF!,"AAAAAH+f/Us=",0)</f>
        <v>#REF!</v>
      </c>
      <c r="BY68" t="e">
        <f>AND(ConsolidatedEventList!#REF!,"AAAAAH+f/Uw=")</f>
        <v>#REF!</v>
      </c>
      <c r="BZ68" t="e">
        <f>AND(ConsolidatedEventList!#REF!,"AAAAAH+f/U0=")</f>
        <v>#REF!</v>
      </c>
      <c r="CA68" t="e">
        <f>AND(ConsolidatedEventList!#REF!,"AAAAAH+f/U4=")</f>
        <v>#REF!</v>
      </c>
      <c r="CB68" t="e">
        <f>AND(ConsolidatedEventList!#REF!,"AAAAAH+f/U8=")</f>
        <v>#REF!</v>
      </c>
      <c r="CC68" t="e">
        <f>AND(ConsolidatedEventList!#REF!,"AAAAAH+f/VA=")</f>
        <v>#REF!</v>
      </c>
      <c r="CD68" t="e">
        <f>AND(ConsolidatedEventList!#REF!,"AAAAAH+f/VE=")</f>
        <v>#REF!</v>
      </c>
      <c r="CE68" t="e">
        <f>AND(ConsolidatedEventList!#REF!,"AAAAAH+f/VI=")</f>
        <v>#REF!</v>
      </c>
      <c r="CF68" t="e">
        <f>AND(ConsolidatedEventList!#REF!,"AAAAAH+f/VM=")</f>
        <v>#REF!</v>
      </c>
      <c r="CG68" t="e">
        <f>IF(ConsolidatedEventList!#REF!,"AAAAAH+f/VQ=",0)</f>
        <v>#REF!</v>
      </c>
      <c r="CH68" t="e">
        <f>AND(ConsolidatedEventList!#REF!,"AAAAAH+f/VU=")</f>
        <v>#REF!</v>
      </c>
      <c r="CI68" t="e">
        <f>AND(ConsolidatedEventList!#REF!,"AAAAAH+f/VY=")</f>
        <v>#REF!</v>
      </c>
      <c r="CJ68" t="e">
        <f>AND(ConsolidatedEventList!#REF!,"AAAAAH+f/Vc=")</f>
        <v>#REF!</v>
      </c>
      <c r="CK68" t="e">
        <f>AND(ConsolidatedEventList!#REF!,"AAAAAH+f/Vg=")</f>
        <v>#REF!</v>
      </c>
      <c r="CL68" t="e">
        <f>AND(ConsolidatedEventList!#REF!,"AAAAAH+f/Vk=")</f>
        <v>#REF!</v>
      </c>
      <c r="CM68" t="e">
        <f>AND(ConsolidatedEventList!#REF!,"AAAAAH+f/Vo=")</f>
        <v>#REF!</v>
      </c>
      <c r="CN68" t="e">
        <f>AND(ConsolidatedEventList!#REF!,"AAAAAH+f/Vs=")</f>
        <v>#REF!</v>
      </c>
      <c r="CO68" t="e">
        <f>AND(ConsolidatedEventList!#REF!,"AAAAAH+f/Vw=")</f>
        <v>#REF!</v>
      </c>
      <c r="CP68" t="e">
        <f>IF(ConsolidatedEventList!#REF!,"AAAAAH+f/V0=",0)</f>
        <v>#REF!</v>
      </c>
      <c r="CQ68" t="e">
        <f>AND(ConsolidatedEventList!#REF!,"AAAAAH+f/V4=")</f>
        <v>#REF!</v>
      </c>
      <c r="CR68" t="e">
        <f>AND(ConsolidatedEventList!#REF!,"AAAAAH+f/V8=")</f>
        <v>#REF!</v>
      </c>
      <c r="CS68" t="e">
        <f>AND(ConsolidatedEventList!#REF!,"AAAAAH+f/WA=")</f>
        <v>#REF!</v>
      </c>
      <c r="CT68" t="e">
        <f>AND(ConsolidatedEventList!#REF!,"AAAAAH+f/WE=")</f>
        <v>#REF!</v>
      </c>
      <c r="CU68" t="e">
        <f>AND(ConsolidatedEventList!#REF!,"AAAAAH+f/WI=")</f>
        <v>#REF!</v>
      </c>
      <c r="CV68" t="e">
        <f>AND(ConsolidatedEventList!#REF!,"AAAAAH+f/WM=")</f>
        <v>#REF!</v>
      </c>
      <c r="CW68" t="e">
        <f>AND(ConsolidatedEventList!#REF!,"AAAAAH+f/WQ=")</f>
        <v>#REF!</v>
      </c>
      <c r="CX68" t="e">
        <f>AND(ConsolidatedEventList!#REF!,"AAAAAH+f/WU=")</f>
        <v>#REF!</v>
      </c>
      <c r="CY68" t="e">
        <f>IF(ConsolidatedEventList!#REF!,"AAAAAH+f/WY=",0)</f>
        <v>#REF!</v>
      </c>
      <c r="CZ68" t="e">
        <f>AND(ConsolidatedEventList!#REF!,"AAAAAH+f/Wc=")</f>
        <v>#REF!</v>
      </c>
      <c r="DA68" t="e">
        <f>AND(ConsolidatedEventList!#REF!,"AAAAAH+f/Wg=")</f>
        <v>#REF!</v>
      </c>
      <c r="DB68" t="e">
        <f>AND(ConsolidatedEventList!#REF!,"AAAAAH+f/Wk=")</f>
        <v>#REF!</v>
      </c>
      <c r="DC68" t="e">
        <f>AND(ConsolidatedEventList!#REF!,"AAAAAH+f/Wo=")</f>
        <v>#REF!</v>
      </c>
      <c r="DD68" t="e">
        <f>AND(ConsolidatedEventList!#REF!,"AAAAAH+f/Ws=")</f>
        <v>#REF!</v>
      </c>
      <c r="DE68" t="e">
        <f>AND(ConsolidatedEventList!#REF!,"AAAAAH+f/Ww=")</f>
        <v>#REF!</v>
      </c>
      <c r="DF68" t="e">
        <f>AND(ConsolidatedEventList!#REF!,"AAAAAH+f/W0=")</f>
        <v>#REF!</v>
      </c>
      <c r="DG68" t="e">
        <f>AND(ConsolidatedEventList!#REF!,"AAAAAH+f/W4=")</f>
        <v>#REF!</v>
      </c>
      <c r="DH68" t="e">
        <f>IF(ConsolidatedEventList!#REF!,"AAAAAH+f/W8=",0)</f>
        <v>#REF!</v>
      </c>
      <c r="DI68" t="e">
        <f>AND(ConsolidatedEventList!#REF!,"AAAAAH+f/XA=")</f>
        <v>#REF!</v>
      </c>
      <c r="DJ68" t="e">
        <f>AND(ConsolidatedEventList!#REF!,"AAAAAH+f/XE=")</f>
        <v>#REF!</v>
      </c>
      <c r="DK68" t="e">
        <f>AND(ConsolidatedEventList!#REF!,"AAAAAH+f/XI=")</f>
        <v>#REF!</v>
      </c>
      <c r="DL68" t="e">
        <f>AND(ConsolidatedEventList!#REF!,"AAAAAH+f/XM=")</f>
        <v>#REF!</v>
      </c>
      <c r="DM68" t="e">
        <f>AND(ConsolidatedEventList!#REF!,"AAAAAH+f/XQ=")</f>
        <v>#REF!</v>
      </c>
      <c r="DN68" t="e">
        <f>AND(ConsolidatedEventList!#REF!,"AAAAAH+f/XU=")</f>
        <v>#REF!</v>
      </c>
      <c r="DO68" t="e">
        <f>AND(ConsolidatedEventList!#REF!,"AAAAAH+f/XY=")</f>
        <v>#REF!</v>
      </c>
      <c r="DP68" t="e">
        <f>AND(ConsolidatedEventList!#REF!,"AAAAAH+f/Xc=")</f>
        <v>#REF!</v>
      </c>
      <c r="DQ68" t="e">
        <f>IF(ConsolidatedEventList!#REF!,"AAAAAH+f/Xg=",0)</f>
        <v>#REF!</v>
      </c>
      <c r="DR68" t="e">
        <f>AND(ConsolidatedEventList!#REF!,"AAAAAH+f/Xk=")</f>
        <v>#REF!</v>
      </c>
      <c r="DS68" t="e">
        <f>AND(ConsolidatedEventList!#REF!,"AAAAAH+f/Xo=")</f>
        <v>#REF!</v>
      </c>
      <c r="DT68" t="e">
        <f>AND(ConsolidatedEventList!#REF!,"AAAAAH+f/Xs=")</f>
        <v>#REF!</v>
      </c>
      <c r="DU68" t="e">
        <f>AND(ConsolidatedEventList!#REF!,"AAAAAH+f/Xw=")</f>
        <v>#REF!</v>
      </c>
      <c r="DV68" t="e">
        <f>AND(ConsolidatedEventList!#REF!,"AAAAAH+f/X0=")</f>
        <v>#REF!</v>
      </c>
      <c r="DW68" t="e">
        <f>AND(ConsolidatedEventList!#REF!,"AAAAAH+f/X4=")</f>
        <v>#REF!</v>
      </c>
      <c r="DX68" t="e">
        <f>AND(ConsolidatedEventList!#REF!,"AAAAAH+f/X8=")</f>
        <v>#REF!</v>
      </c>
      <c r="DY68" t="e">
        <f>AND(ConsolidatedEventList!#REF!,"AAAAAH+f/YA=")</f>
        <v>#REF!</v>
      </c>
      <c r="DZ68" t="e">
        <f>IF(ConsolidatedEventList!#REF!,"AAAAAH+f/YE=",0)</f>
        <v>#REF!</v>
      </c>
      <c r="EA68" t="e">
        <f>AND(ConsolidatedEventList!#REF!,"AAAAAH+f/YI=")</f>
        <v>#REF!</v>
      </c>
      <c r="EB68" t="e">
        <f>AND(ConsolidatedEventList!#REF!,"AAAAAH+f/YM=")</f>
        <v>#REF!</v>
      </c>
      <c r="EC68" t="e">
        <f>AND(ConsolidatedEventList!#REF!,"AAAAAH+f/YQ=")</f>
        <v>#REF!</v>
      </c>
      <c r="ED68" t="e">
        <f>AND(ConsolidatedEventList!#REF!,"AAAAAH+f/YU=")</f>
        <v>#REF!</v>
      </c>
      <c r="EE68" t="e">
        <f>AND(ConsolidatedEventList!#REF!,"AAAAAH+f/YY=")</f>
        <v>#REF!</v>
      </c>
      <c r="EF68" t="e">
        <f>AND(ConsolidatedEventList!#REF!,"AAAAAH+f/Yc=")</f>
        <v>#REF!</v>
      </c>
      <c r="EG68" t="e">
        <f>AND(ConsolidatedEventList!#REF!,"AAAAAH+f/Yg=")</f>
        <v>#REF!</v>
      </c>
      <c r="EH68" t="e">
        <f>AND(ConsolidatedEventList!#REF!,"AAAAAH+f/Yk=")</f>
        <v>#REF!</v>
      </c>
      <c r="EI68" t="e">
        <f>IF(ConsolidatedEventList!#REF!,"AAAAAH+f/Yo=",0)</f>
        <v>#REF!</v>
      </c>
      <c r="EJ68" t="e">
        <f>AND(ConsolidatedEventList!#REF!,"AAAAAH+f/Ys=")</f>
        <v>#REF!</v>
      </c>
      <c r="EK68" t="e">
        <f>AND(ConsolidatedEventList!#REF!,"AAAAAH+f/Yw=")</f>
        <v>#REF!</v>
      </c>
      <c r="EL68" t="e">
        <f>AND(ConsolidatedEventList!#REF!,"AAAAAH+f/Y0=")</f>
        <v>#REF!</v>
      </c>
      <c r="EM68" t="e">
        <f>AND(ConsolidatedEventList!#REF!,"AAAAAH+f/Y4=")</f>
        <v>#REF!</v>
      </c>
      <c r="EN68" t="e">
        <f>AND(ConsolidatedEventList!#REF!,"AAAAAH+f/Y8=")</f>
        <v>#REF!</v>
      </c>
      <c r="EO68" t="e">
        <f>AND(ConsolidatedEventList!#REF!,"AAAAAH+f/ZA=")</f>
        <v>#REF!</v>
      </c>
      <c r="EP68" t="e">
        <f>AND(ConsolidatedEventList!#REF!,"AAAAAH+f/ZE=")</f>
        <v>#REF!</v>
      </c>
      <c r="EQ68" t="e">
        <f>AND(ConsolidatedEventList!#REF!,"AAAAAH+f/ZI=")</f>
        <v>#REF!</v>
      </c>
      <c r="ER68" t="e">
        <f>IF(ConsolidatedEventList!#REF!,"AAAAAH+f/ZM=",0)</f>
        <v>#REF!</v>
      </c>
      <c r="ES68" t="e">
        <f>AND(ConsolidatedEventList!#REF!,"AAAAAH+f/ZQ=")</f>
        <v>#REF!</v>
      </c>
      <c r="ET68" t="e">
        <f>AND(ConsolidatedEventList!#REF!,"AAAAAH+f/ZU=")</f>
        <v>#REF!</v>
      </c>
      <c r="EU68" t="e">
        <f>AND(ConsolidatedEventList!#REF!,"AAAAAH+f/ZY=")</f>
        <v>#REF!</v>
      </c>
      <c r="EV68" t="e">
        <f>AND(ConsolidatedEventList!#REF!,"AAAAAH+f/Zc=")</f>
        <v>#REF!</v>
      </c>
      <c r="EW68" t="e">
        <f>AND(ConsolidatedEventList!#REF!,"AAAAAH+f/Zg=")</f>
        <v>#REF!</v>
      </c>
      <c r="EX68" t="e">
        <f>AND(ConsolidatedEventList!#REF!,"AAAAAH+f/Zk=")</f>
        <v>#REF!</v>
      </c>
      <c r="EY68" t="e">
        <f>AND(ConsolidatedEventList!#REF!,"AAAAAH+f/Zo=")</f>
        <v>#REF!</v>
      </c>
      <c r="EZ68" t="e">
        <f>AND(ConsolidatedEventList!#REF!,"AAAAAH+f/Zs=")</f>
        <v>#REF!</v>
      </c>
      <c r="FA68" t="e">
        <f>IF(ConsolidatedEventList!#REF!,"AAAAAH+f/Zw=",0)</f>
        <v>#REF!</v>
      </c>
      <c r="FB68" t="e">
        <f>AND(ConsolidatedEventList!#REF!,"AAAAAH+f/Z0=")</f>
        <v>#REF!</v>
      </c>
      <c r="FC68" t="e">
        <f>AND(ConsolidatedEventList!#REF!,"AAAAAH+f/Z4=")</f>
        <v>#REF!</v>
      </c>
      <c r="FD68" t="e">
        <f>AND(ConsolidatedEventList!#REF!,"AAAAAH+f/Z8=")</f>
        <v>#REF!</v>
      </c>
      <c r="FE68" t="e">
        <f>AND(ConsolidatedEventList!#REF!,"AAAAAH+f/aA=")</f>
        <v>#REF!</v>
      </c>
      <c r="FF68" t="e">
        <f>AND(ConsolidatedEventList!#REF!,"AAAAAH+f/aE=")</f>
        <v>#REF!</v>
      </c>
      <c r="FG68" t="e">
        <f>AND(ConsolidatedEventList!#REF!,"AAAAAH+f/aI=")</f>
        <v>#REF!</v>
      </c>
      <c r="FH68" t="e">
        <f>AND(ConsolidatedEventList!#REF!,"AAAAAH+f/aM=")</f>
        <v>#REF!</v>
      </c>
      <c r="FI68" t="e">
        <f>AND(ConsolidatedEventList!#REF!,"AAAAAH+f/aQ=")</f>
        <v>#REF!</v>
      </c>
      <c r="FJ68" t="e">
        <f>IF(ConsolidatedEventList!#REF!,"AAAAAH+f/aU=",0)</f>
        <v>#REF!</v>
      </c>
      <c r="FK68" t="e">
        <f>AND(ConsolidatedEventList!#REF!,"AAAAAH+f/aY=")</f>
        <v>#REF!</v>
      </c>
      <c r="FL68" t="e">
        <f>AND(ConsolidatedEventList!#REF!,"AAAAAH+f/ac=")</f>
        <v>#REF!</v>
      </c>
      <c r="FM68" t="e">
        <f>AND(ConsolidatedEventList!#REF!,"AAAAAH+f/ag=")</f>
        <v>#REF!</v>
      </c>
      <c r="FN68" t="e">
        <f>AND(ConsolidatedEventList!#REF!,"AAAAAH+f/ak=")</f>
        <v>#REF!</v>
      </c>
      <c r="FO68" t="e">
        <f>AND(ConsolidatedEventList!#REF!,"AAAAAH+f/ao=")</f>
        <v>#REF!</v>
      </c>
      <c r="FP68" t="e">
        <f>AND(ConsolidatedEventList!#REF!,"AAAAAH+f/as=")</f>
        <v>#REF!</v>
      </c>
      <c r="FQ68" t="e">
        <f>AND(ConsolidatedEventList!#REF!,"AAAAAH+f/aw=")</f>
        <v>#REF!</v>
      </c>
      <c r="FR68" t="e">
        <f>AND(ConsolidatedEventList!#REF!,"AAAAAH+f/a0=")</f>
        <v>#REF!</v>
      </c>
      <c r="FS68" t="e">
        <f>IF(ConsolidatedEventList!#REF!,"AAAAAH+f/a4=",0)</f>
        <v>#REF!</v>
      </c>
      <c r="FT68" t="e">
        <f>AND(ConsolidatedEventList!#REF!,"AAAAAH+f/a8=")</f>
        <v>#REF!</v>
      </c>
      <c r="FU68" t="e">
        <f>AND(ConsolidatedEventList!#REF!,"AAAAAH+f/bA=")</f>
        <v>#REF!</v>
      </c>
      <c r="FV68" t="e">
        <f>AND(ConsolidatedEventList!#REF!,"AAAAAH+f/bE=")</f>
        <v>#REF!</v>
      </c>
      <c r="FW68" t="e">
        <f>AND(ConsolidatedEventList!#REF!,"AAAAAH+f/bI=")</f>
        <v>#REF!</v>
      </c>
      <c r="FX68" t="e">
        <f>AND(ConsolidatedEventList!#REF!,"AAAAAH+f/bM=")</f>
        <v>#REF!</v>
      </c>
      <c r="FY68" t="e">
        <f>AND(ConsolidatedEventList!#REF!,"AAAAAH+f/bQ=")</f>
        <v>#REF!</v>
      </c>
      <c r="FZ68" t="e">
        <f>AND(ConsolidatedEventList!#REF!,"AAAAAH+f/bU=")</f>
        <v>#REF!</v>
      </c>
      <c r="GA68" t="e">
        <f>AND(ConsolidatedEventList!#REF!,"AAAAAH+f/bY=")</f>
        <v>#REF!</v>
      </c>
      <c r="GB68" t="e">
        <f>IF(ConsolidatedEventList!#REF!,"AAAAAH+f/bc=",0)</f>
        <v>#REF!</v>
      </c>
      <c r="GC68" t="e">
        <f>AND(ConsolidatedEventList!#REF!,"AAAAAH+f/bg=")</f>
        <v>#REF!</v>
      </c>
      <c r="GD68" t="e">
        <f>AND(ConsolidatedEventList!#REF!,"AAAAAH+f/bk=")</f>
        <v>#REF!</v>
      </c>
      <c r="GE68" t="e">
        <f>AND(ConsolidatedEventList!#REF!,"AAAAAH+f/bo=")</f>
        <v>#REF!</v>
      </c>
      <c r="GF68" t="e">
        <f>AND(ConsolidatedEventList!#REF!,"AAAAAH+f/bs=")</f>
        <v>#REF!</v>
      </c>
      <c r="GG68" t="e">
        <f>AND(ConsolidatedEventList!#REF!,"AAAAAH+f/bw=")</f>
        <v>#REF!</v>
      </c>
      <c r="GH68" t="e">
        <f>AND(ConsolidatedEventList!#REF!,"AAAAAH+f/b0=")</f>
        <v>#REF!</v>
      </c>
      <c r="GI68" t="e">
        <f>AND(ConsolidatedEventList!#REF!,"AAAAAH+f/b4=")</f>
        <v>#REF!</v>
      </c>
      <c r="GJ68" t="e">
        <f>AND(ConsolidatedEventList!#REF!,"AAAAAH+f/b8=")</f>
        <v>#REF!</v>
      </c>
      <c r="GK68" t="e">
        <f>IF(ConsolidatedEventList!#REF!,"AAAAAH+f/cA=",0)</f>
        <v>#REF!</v>
      </c>
      <c r="GL68" t="e">
        <f>AND(ConsolidatedEventList!#REF!,"AAAAAH+f/cE=")</f>
        <v>#REF!</v>
      </c>
      <c r="GM68" t="e">
        <f>AND(ConsolidatedEventList!#REF!,"AAAAAH+f/cI=")</f>
        <v>#REF!</v>
      </c>
      <c r="GN68" t="e">
        <f>AND(ConsolidatedEventList!#REF!,"AAAAAH+f/cM=")</f>
        <v>#REF!</v>
      </c>
      <c r="GO68" t="e">
        <f>AND(ConsolidatedEventList!#REF!,"AAAAAH+f/cQ=")</f>
        <v>#REF!</v>
      </c>
      <c r="GP68" t="e">
        <f>AND(ConsolidatedEventList!#REF!,"AAAAAH+f/cU=")</f>
        <v>#REF!</v>
      </c>
      <c r="GQ68" t="e">
        <f>AND(ConsolidatedEventList!#REF!,"AAAAAH+f/cY=")</f>
        <v>#REF!</v>
      </c>
      <c r="GR68" t="e">
        <f>AND(ConsolidatedEventList!#REF!,"AAAAAH+f/cc=")</f>
        <v>#REF!</v>
      </c>
      <c r="GS68" t="e">
        <f>AND(ConsolidatedEventList!#REF!,"AAAAAH+f/cg=")</f>
        <v>#REF!</v>
      </c>
      <c r="GT68" t="e">
        <f>IF(ConsolidatedEventList!#REF!,"AAAAAH+f/ck=",0)</f>
        <v>#REF!</v>
      </c>
      <c r="GU68" t="e">
        <f>AND(ConsolidatedEventList!#REF!,"AAAAAH+f/co=")</f>
        <v>#REF!</v>
      </c>
      <c r="GV68" t="e">
        <f>AND(ConsolidatedEventList!#REF!,"AAAAAH+f/cs=")</f>
        <v>#REF!</v>
      </c>
      <c r="GW68" t="e">
        <f>AND(ConsolidatedEventList!#REF!,"AAAAAH+f/cw=")</f>
        <v>#REF!</v>
      </c>
      <c r="GX68" t="e">
        <f>AND(ConsolidatedEventList!#REF!,"AAAAAH+f/c0=")</f>
        <v>#REF!</v>
      </c>
      <c r="GY68" t="e">
        <f>AND(ConsolidatedEventList!#REF!,"AAAAAH+f/c4=")</f>
        <v>#REF!</v>
      </c>
      <c r="GZ68" t="e">
        <f>AND(ConsolidatedEventList!#REF!,"AAAAAH+f/c8=")</f>
        <v>#REF!</v>
      </c>
      <c r="HA68" t="e">
        <f>AND(ConsolidatedEventList!#REF!,"AAAAAH+f/dA=")</f>
        <v>#REF!</v>
      </c>
      <c r="HB68" t="e">
        <f>AND(ConsolidatedEventList!#REF!,"AAAAAH+f/dE=")</f>
        <v>#REF!</v>
      </c>
      <c r="HC68" t="e">
        <f>IF(ConsolidatedEventList!#REF!,"AAAAAH+f/dI=",0)</f>
        <v>#REF!</v>
      </c>
      <c r="HD68" t="e">
        <f>AND(ConsolidatedEventList!#REF!,"AAAAAH+f/dM=")</f>
        <v>#REF!</v>
      </c>
      <c r="HE68" t="e">
        <f>AND(ConsolidatedEventList!#REF!,"AAAAAH+f/dQ=")</f>
        <v>#REF!</v>
      </c>
      <c r="HF68" t="e">
        <f>AND(ConsolidatedEventList!#REF!,"AAAAAH+f/dU=")</f>
        <v>#REF!</v>
      </c>
      <c r="HG68" t="e">
        <f>AND(ConsolidatedEventList!#REF!,"AAAAAH+f/dY=")</f>
        <v>#REF!</v>
      </c>
      <c r="HH68" t="e">
        <f>AND(ConsolidatedEventList!#REF!,"AAAAAH+f/dc=")</f>
        <v>#REF!</v>
      </c>
      <c r="HI68" t="e">
        <f>AND(ConsolidatedEventList!#REF!,"AAAAAH+f/dg=")</f>
        <v>#REF!</v>
      </c>
      <c r="HJ68" t="e">
        <f>AND(ConsolidatedEventList!#REF!,"AAAAAH+f/dk=")</f>
        <v>#REF!</v>
      </c>
      <c r="HK68" t="e">
        <f>AND(ConsolidatedEventList!#REF!,"AAAAAH+f/do=")</f>
        <v>#REF!</v>
      </c>
      <c r="HL68" t="e">
        <f>IF(ConsolidatedEventList!#REF!,"AAAAAH+f/ds=",0)</f>
        <v>#REF!</v>
      </c>
      <c r="HM68" t="e">
        <f>AND(ConsolidatedEventList!#REF!,"AAAAAH+f/dw=")</f>
        <v>#REF!</v>
      </c>
      <c r="HN68" t="e">
        <f>AND(ConsolidatedEventList!#REF!,"AAAAAH+f/d0=")</f>
        <v>#REF!</v>
      </c>
      <c r="HO68" t="e">
        <f>AND(ConsolidatedEventList!#REF!,"AAAAAH+f/d4=")</f>
        <v>#REF!</v>
      </c>
      <c r="HP68" t="e">
        <f>AND(ConsolidatedEventList!#REF!,"AAAAAH+f/d8=")</f>
        <v>#REF!</v>
      </c>
      <c r="HQ68" t="e">
        <f>AND(ConsolidatedEventList!#REF!,"AAAAAH+f/eA=")</f>
        <v>#REF!</v>
      </c>
      <c r="HR68" t="e">
        <f>AND(ConsolidatedEventList!#REF!,"AAAAAH+f/eE=")</f>
        <v>#REF!</v>
      </c>
      <c r="HS68" t="e">
        <f>AND(ConsolidatedEventList!#REF!,"AAAAAH+f/eI=")</f>
        <v>#REF!</v>
      </c>
      <c r="HT68" t="e">
        <f>AND(ConsolidatedEventList!#REF!,"AAAAAH+f/eM=")</f>
        <v>#REF!</v>
      </c>
      <c r="HU68" t="e">
        <f>IF(ConsolidatedEventList!#REF!,"AAAAAH+f/eQ=",0)</f>
        <v>#REF!</v>
      </c>
      <c r="HV68" t="e">
        <f>AND(ConsolidatedEventList!#REF!,"AAAAAH+f/eU=")</f>
        <v>#REF!</v>
      </c>
      <c r="HW68" t="e">
        <f>AND(ConsolidatedEventList!#REF!,"AAAAAH+f/eY=")</f>
        <v>#REF!</v>
      </c>
      <c r="HX68" t="e">
        <f>AND(ConsolidatedEventList!#REF!,"AAAAAH+f/ec=")</f>
        <v>#REF!</v>
      </c>
      <c r="HY68" t="e">
        <f>AND(ConsolidatedEventList!#REF!,"AAAAAH+f/eg=")</f>
        <v>#REF!</v>
      </c>
      <c r="HZ68" t="e">
        <f>AND(ConsolidatedEventList!#REF!,"AAAAAH+f/ek=")</f>
        <v>#REF!</v>
      </c>
      <c r="IA68" t="e">
        <f>AND(ConsolidatedEventList!#REF!,"AAAAAH+f/eo=")</f>
        <v>#REF!</v>
      </c>
      <c r="IB68" t="e">
        <f>AND(ConsolidatedEventList!#REF!,"AAAAAH+f/es=")</f>
        <v>#REF!</v>
      </c>
      <c r="IC68" t="e">
        <f>AND(ConsolidatedEventList!#REF!,"AAAAAH+f/ew=")</f>
        <v>#REF!</v>
      </c>
      <c r="ID68" t="e">
        <f>IF(ConsolidatedEventList!#REF!,"AAAAAH+f/e0=",0)</f>
        <v>#REF!</v>
      </c>
      <c r="IE68" t="e">
        <f>AND(ConsolidatedEventList!#REF!,"AAAAAH+f/e4=")</f>
        <v>#REF!</v>
      </c>
      <c r="IF68" t="e">
        <f>AND(ConsolidatedEventList!#REF!,"AAAAAH+f/e8=")</f>
        <v>#REF!</v>
      </c>
      <c r="IG68" t="e">
        <f>AND(ConsolidatedEventList!#REF!,"AAAAAH+f/fA=")</f>
        <v>#REF!</v>
      </c>
      <c r="IH68" t="e">
        <f>AND(ConsolidatedEventList!#REF!,"AAAAAH+f/fE=")</f>
        <v>#REF!</v>
      </c>
      <c r="II68" t="e">
        <f>AND(ConsolidatedEventList!#REF!,"AAAAAH+f/fI=")</f>
        <v>#REF!</v>
      </c>
      <c r="IJ68" t="e">
        <f>AND(ConsolidatedEventList!#REF!,"AAAAAH+f/fM=")</f>
        <v>#REF!</v>
      </c>
      <c r="IK68" t="e">
        <f>AND(ConsolidatedEventList!#REF!,"AAAAAH+f/fQ=")</f>
        <v>#REF!</v>
      </c>
      <c r="IL68" t="e">
        <f>AND(ConsolidatedEventList!#REF!,"AAAAAH+f/fU=")</f>
        <v>#REF!</v>
      </c>
      <c r="IM68" t="e">
        <f>IF(ConsolidatedEventList!#REF!,"AAAAAH+f/fY=",0)</f>
        <v>#REF!</v>
      </c>
      <c r="IN68" t="e">
        <f>AND(ConsolidatedEventList!#REF!,"AAAAAH+f/fc=")</f>
        <v>#REF!</v>
      </c>
      <c r="IO68" t="e">
        <f>AND(ConsolidatedEventList!#REF!,"AAAAAH+f/fg=")</f>
        <v>#REF!</v>
      </c>
      <c r="IP68" t="e">
        <f>AND(ConsolidatedEventList!#REF!,"AAAAAH+f/fk=")</f>
        <v>#REF!</v>
      </c>
      <c r="IQ68" t="e">
        <f>AND(ConsolidatedEventList!#REF!,"AAAAAH+f/fo=")</f>
        <v>#REF!</v>
      </c>
      <c r="IR68" t="e">
        <f>AND(ConsolidatedEventList!#REF!,"AAAAAH+f/fs=")</f>
        <v>#REF!</v>
      </c>
      <c r="IS68" t="e">
        <f>AND(ConsolidatedEventList!#REF!,"AAAAAH+f/fw=")</f>
        <v>#REF!</v>
      </c>
      <c r="IT68" t="e">
        <f>AND(ConsolidatedEventList!#REF!,"AAAAAH+f/f0=")</f>
        <v>#REF!</v>
      </c>
      <c r="IU68" t="e">
        <f>AND(ConsolidatedEventList!#REF!,"AAAAAH+f/f4=")</f>
        <v>#REF!</v>
      </c>
      <c r="IV68" t="e">
        <f>IF(ConsolidatedEventList!#REF!,"AAAAAH+f/f8=",0)</f>
        <v>#REF!</v>
      </c>
    </row>
    <row r="69" spans="1:256" x14ac:dyDescent="0.25">
      <c r="A69" t="e">
        <f>AND(ConsolidatedEventList!#REF!,"AAAAAD/H3wA=")</f>
        <v>#REF!</v>
      </c>
      <c r="B69" t="e">
        <f>AND(ConsolidatedEventList!#REF!,"AAAAAD/H3wE=")</f>
        <v>#REF!</v>
      </c>
      <c r="C69" t="e">
        <f>AND(ConsolidatedEventList!#REF!,"AAAAAD/H3wI=")</f>
        <v>#REF!</v>
      </c>
      <c r="D69" t="e">
        <f>AND(ConsolidatedEventList!#REF!,"AAAAAD/H3wM=")</f>
        <v>#REF!</v>
      </c>
      <c r="E69" t="e">
        <f>AND(ConsolidatedEventList!#REF!,"AAAAAD/H3wQ=")</f>
        <v>#REF!</v>
      </c>
      <c r="F69" t="e">
        <f>AND(ConsolidatedEventList!#REF!,"AAAAAD/H3wU=")</f>
        <v>#REF!</v>
      </c>
      <c r="G69" t="e">
        <f>AND(ConsolidatedEventList!#REF!,"AAAAAD/H3wY=")</f>
        <v>#REF!</v>
      </c>
      <c r="H69" t="e">
        <f>AND(ConsolidatedEventList!#REF!,"AAAAAD/H3wc=")</f>
        <v>#REF!</v>
      </c>
      <c r="I69" t="e">
        <f>IF(ConsolidatedEventList!#REF!,"AAAAAD/H3wg=",0)</f>
        <v>#REF!</v>
      </c>
      <c r="J69" t="e">
        <f>AND(ConsolidatedEventList!#REF!,"AAAAAD/H3wk=")</f>
        <v>#REF!</v>
      </c>
      <c r="K69" t="e">
        <f>AND(ConsolidatedEventList!#REF!,"AAAAAD/H3wo=")</f>
        <v>#REF!</v>
      </c>
      <c r="L69" t="e">
        <f>AND(ConsolidatedEventList!#REF!,"AAAAAD/H3ws=")</f>
        <v>#REF!</v>
      </c>
      <c r="M69" t="e">
        <f>AND(ConsolidatedEventList!#REF!,"AAAAAD/H3ww=")</f>
        <v>#REF!</v>
      </c>
      <c r="N69" t="e">
        <f>AND(ConsolidatedEventList!#REF!,"AAAAAD/H3w0=")</f>
        <v>#REF!</v>
      </c>
      <c r="O69" t="e">
        <f>AND(ConsolidatedEventList!#REF!,"AAAAAD/H3w4=")</f>
        <v>#REF!</v>
      </c>
      <c r="P69" t="e">
        <f>AND(ConsolidatedEventList!#REF!,"AAAAAD/H3w8=")</f>
        <v>#REF!</v>
      </c>
      <c r="Q69" t="e">
        <f>AND(ConsolidatedEventList!#REF!,"AAAAAD/H3xA=")</f>
        <v>#REF!</v>
      </c>
      <c r="R69" t="e">
        <f>IF(ConsolidatedEventList!#REF!,"AAAAAD/H3xE=",0)</f>
        <v>#REF!</v>
      </c>
      <c r="S69" t="e">
        <f>AND(ConsolidatedEventList!#REF!,"AAAAAD/H3xI=")</f>
        <v>#REF!</v>
      </c>
      <c r="T69" t="e">
        <f>AND(ConsolidatedEventList!#REF!,"AAAAAD/H3xM=")</f>
        <v>#REF!</v>
      </c>
      <c r="U69" t="e">
        <f>AND(ConsolidatedEventList!#REF!,"AAAAAD/H3xQ=")</f>
        <v>#REF!</v>
      </c>
      <c r="V69" t="e">
        <f>AND(ConsolidatedEventList!#REF!,"AAAAAD/H3xU=")</f>
        <v>#REF!</v>
      </c>
      <c r="W69" t="e">
        <f>AND(ConsolidatedEventList!#REF!,"AAAAAD/H3xY=")</f>
        <v>#REF!</v>
      </c>
      <c r="X69" t="e">
        <f>AND(ConsolidatedEventList!#REF!,"AAAAAD/H3xc=")</f>
        <v>#REF!</v>
      </c>
      <c r="Y69" t="e">
        <f>AND(ConsolidatedEventList!#REF!,"AAAAAD/H3xg=")</f>
        <v>#REF!</v>
      </c>
      <c r="Z69" t="e">
        <f>AND(ConsolidatedEventList!#REF!,"AAAAAD/H3xk=")</f>
        <v>#REF!</v>
      </c>
      <c r="AA69" t="e">
        <f>IF(ConsolidatedEventList!#REF!,"AAAAAD/H3xo=",0)</f>
        <v>#REF!</v>
      </c>
      <c r="AB69" t="e">
        <f>AND(ConsolidatedEventList!#REF!,"AAAAAD/H3xs=")</f>
        <v>#REF!</v>
      </c>
      <c r="AC69" t="e">
        <f>AND(ConsolidatedEventList!#REF!,"AAAAAD/H3xw=")</f>
        <v>#REF!</v>
      </c>
      <c r="AD69" t="e">
        <f>AND(ConsolidatedEventList!#REF!,"AAAAAD/H3x0=")</f>
        <v>#REF!</v>
      </c>
      <c r="AE69" t="e">
        <f>AND(ConsolidatedEventList!#REF!,"AAAAAD/H3x4=")</f>
        <v>#REF!</v>
      </c>
      <c r="AF69" t="e">
        <f>AND(ConsolidatedEventList!#REF!,"AAAAAD/H3x8=")</f>
        <v>#REF!</v>
      </c>
      <c r="AG69" t="e">
        <f>AND(ConsolidatedEventList!#REF!,"AAAAAD/H3yA=")</f>
        <v>#REF!</v>
      </c>
      <c r="AH69" t="e">
        <f>AND(ConsolidatedEventList!#REF!,"AAAAAD/H3yE=")</f>
        <v>#REF!</v>
      </c>
      <c r="AI69" t="e">
        <f>AND(ConsolidatedEventList!#REF!,"AAAAAD/H3yI=")</f>
        <v>#REF!</v>
      </c>
      <c r="AJ69" t="e">
        <f>IF(ConsolidatedEventList!#REF!,"AAAAAD/H3yM=",0)</f>
        <v>#REF!</v>
      </c>
      <c r="AK69" t="e">
        <f>AND(ConsolidatedEventList!#REF!,"AAAAAD/H3yQ=")</f>
        <v>#REF!</v>
      </c>
      <c r="AL69" t="e">
        <f>AND(ConsolidatedEventList!#REF!,"AAAAAD/H3yU=")</f>
        <v>#REF!</v>
      </c>
      <c r="AM69" t="e">
        <f>AND(ConsolidatedEventList!#REF!,"AAAAAD/H3yY=")</f>
        <v>#REF!</v>
      </c>
      <c r="AN69" t="e">
        <f>AND(ConsolidatedEventList!#REF!,"AAAAAD/H3yc=")</f>
        <v>#REF!</v>
      </c>
      <c r="AO69" t="e">
        <f>AND(ConsolidatedEventList!#REF!,"AAAAAD/H3yg=")</f>
        <v>#REF!</v>
      </c>
      <c r="AP69" t="e">
        <f>AND(ConsolidatedEventList!#REF!,"AAAAAD/H3yk=")</f>
        <v>#REF!</v>
      </c>
      <c r="AQ69" t="e">
        <f>AND(ConsolidatedEventList!#REF!,"AAAAAD/H3yo=")</f>
        <v>#REF!</v>
      </c>
      <c r="AR69" t="e">
        <f>AND(ConsolidatedEventList!#REF!,"AAAAAD/H3ys=")</f>
        <v>#REF!</v>
      </c>
      <c r="AS69" t="e">
        <f>IF(ConsolidatedEventList!#REF!,"AAAAAD/H3yw=",0)</f>
        <v>#REF!</v>
      </c>
      <c r="AT69" t="e">
        <f>AND(ConsolidatedEventList!#REF!,"AAAAAD/H3y0=")</f>
        <v>#REF!</v>
      </c>
      <c r="AU69" t="e">
        <f>AND(ConsolidatedEventList!#REF!,"AAAAAD/H3y4=")</f>
        <v>#REF!</v>
      </c>
      <c r="AV69" t="e">
        <f>AND(ConsolidatedEventList!#REF!,"AAAAAD/H3y8=")</f>
        <v>#REF!</v>
      </c>
      <c r="AW69" t="e">
        <f>AND(ConsolidatedEventList!#REF!,"AAAAAD/H3zA=")</f>
        <v>#REF!</v>
      </c>
      <c r="AX69" t="e">
        <f>AND(ConsolidatedEventList!#REF!,"AAAAAD/H3zE=")</f>
        <v>#REF!</v>
      </c>
      <c r="AY69" t="e">
        <f>AND(ConsolidatedEventList!#REF!,"AAAAAD/H3zI=")</f>
        <v>#REF!</v>
      </c>
      <c r="AZ69" t="e">
        <f>AND(ConsolidatedEventList!#REF!,"AAAAAD/H3zM=")</f>
        <v>#REF!</v>
      </c>
      <c r="BA69" t="e">
        <f>AND(ConsolidatedEventList!#REF!,"AAAAAD/H3zQ=")</f>
        <v>#REF!</v>
      </c>
      <c r="BB69" t="e">
        <f>IF(ConsolidatedEventList!#REF!,"AAAAAD/H3zU=",0)</f>
        <v>#REF!</v>
      </c>
      <c r="BC69" t="e">
        <f>AND(ConsolidatedEventList!#REF!,"AAAAAD/H3zY=")</f>
        <v>#REF!</v>
      </c>
      <c r="BD69" t="e">
        <f>AND(ConsolidatedEventList!#REF!,"AAAAAD/H3zc=")</f>
        <v>#REF!</v>
      </c>
      <c r="BE69" t="e">
        <f>AND(ConsolidatedEventList!#REF!,"AAAAAD/H3zg=")</f>
        <v>#REF!</v>
      </c>
      <c r="BF69" t="e">
        <f>AND(ConsolidatedEventList!#REF!,"AAAAAD/H3zk=")</f>
        <v>#REF!</v>
      </c>
      <c r="BG69" t="e">
        <f>AND(ConsolidatedEventList!#REF!,"AAAAAD/H3zo=")</f>
        <v>#REF!</v>
      </c>
      <c r="BH69" t="e">
        <f>AND(ConsolidatedEventList!#REF!,"AAAAAD/H3zs=")</f>
        <v>#REF!</v>
      </c>
      <c r="BI69" t="e">
        <f>AND(ConsolidatedEventList!#REF!,"AAAAAD/H3zw=")</f>
        <v>#REF!</v>
      </c>
      <c r="BJ69" t="e">
        <f>AND(ConsolidatedEventList!#REF!,"AAAAAD/H3z0=")</f>
        <v>#REF!</v>
      </c>
      <c r="BK69" t="e">
        <f>IF(ConsolidatedEventList!#REF!,"AAAAAD/H3z4=",0)</f>
        <v>#REF!</v>
      </c>
      <c r="BL69" t="e">
        <f>AND(ConsolidatedEventList!#REF!,"AAAAAD/H3z8=")</f>
        <v>#REF!</v>
      </c>
      <c r="BM69" t="e">
        <f>AND(ConsolidatedEventList!#REF!,"AAAAAD/H30A=")</f>
        <v>#REF!</v>
      </c>
      <c r="BN69" t="e">
        <f>AND(ConsolidatedEventList!#REF!,"AAAAAD/H30E=")</f>
        <v>#REF!</v>
      </c>
      <c r="BO69" t="e">
        <f>AND(ConsolidatedEventList!#REF!,"AAAAAD/H30I=")</f>
        <v>#REF!</v>
      </c>
      <c r="BP69" t="e">
        <f>AND(ConsolidatedEventList!#REF!,"AAAAAD/H30M=")</f>
        <v>#REF!</v>
      </c>
      <c r="BQ69" t="e">
        <f>AND(ConsolidatedEventList!#REF!,"AAAAAD/H30Q=")</f>
        <v>#REF!</v>
      </c>
      <c r="BR69" t="e">
        <f>AND(ConsolidatedEventList!#REF!,"AAAAAD/H30U=")</f>
        <v>#REF!</v>
      </c>
      <c r="BS69" t="e">
        <f>AND(ConsolidatedEventList!#REF!,"AAAAAD/H30Y=")</f>
        <v>#REF!</v>
      </c>
      <c r="BT69" t="e">
        <f>IF(ConsolidatedEventList!#REF!,"AAAAAD/H30c=",0)</f>
        <v>#REF!</v>
      </c>
      <c r="BU69" t="e">
        <f>AND(ConsolidatedEventList!#REF!,"AAAAAD/H30g=")</f>
        <v>#REF!</v>
      </c>
      <c r="BV69" t="e">
        <f>AND(ConsolidatedEventList!#REF!,"AAAAAD/H30k=")</f>
        <v>#REF!</v>
      </c>
      <c r="BW69" t="e">
        <f>AND(ConsolidatedEventList!#REF!,"AAAAAD/H30o=")</f>
        <v>#REF!</v>
      </c>
      <c r="BX69" t="e">
        <f>AND(ConsolidatedEventList!#REF!,"AAAAAD/H30s=")</f>
        <v>#REF!</v>
      </c>
      <c r="BY69" t="e">
        <f>AND(ConsolidatedEventList!#REF!,"AAAAAD/H30w=")</f>
        <v>#REF!</v>
      </c>
      <c r="BZ69" t="e">
        <f>AND(ConsolidatedEventList!#REF!,"AAAAAD/H300=")</f>
        <v>#REF!</v>
      </c>
      <c r="CA69" t="e">
        <f>AND(ConsolidatedEventList!#REF!,"AAAAAD/H304=")</f>
        <v>#REF!</v>
      </c>
      <c r="CB69" t="e">
        <f>AND(ConsolidatedEventList!#REF!,"AAAAAD/H308=")</f>
        <v>#REF!</v>
      </c>
      <c r="CC69" t="e">
        <f>IF(ConsolidatedEventList!#REF!,"AAAAAD/H31A=",0)</f>
        <v>#REF!</v>
      </c>
      <c r="CD69" t="e">
        <f>AND(ConsolidatedEventList!#REF!,"AAAAAD/H31E=")</f>
        <v>#REF!</v>
      </c>
      <c r="CE69" t="e">
        <f>AND(ConsolidatedEventList!#REF!,"AAAAAD/H31I=")</f>
        <v>#REF!</v>
      </c>
      <c r="CF69" t="e">
        <f>AND(ConsolidatedEventList!#REF!,"AAAAAD/H31M=")</f>
        <v>#REF!</v>
      </c>
      <c r="CG69" t="e">
        <f>AND(ConsolidatedEventList!#REF!,"AAAAAD/H31Q=")</f>
        <v>#REF!</v>
      </c>
      <c r="CH69" t="e">
        <f>AND(ConsolidatedEventList!#REF!,"AAAAAD/H31U=")</f>
        <v>#REF!</v>
      </c>
      <c r="CI69" t="e">
        <f>AND(ConsolidatedEventList!#REF!,"AAAAAD/H31Y=")</f>
        <v>#REF!</v>
      </c>
      <c r="CJ69" t="e">
        <f>AND(ConsolidatedEventList!#REF!,"AAAAAD/H31c=")</f>
        <v>#REF!</v>
      </c>
      <c r="CK69" t="e">
        <f>AND(ConsolidatedEventList!#REF!,"AAAAAD/H31g=")</f>
        <v>#REF!</v>
      </c>
      <c r="CL69" t="e">
        <f>IF(ConsolidatedEventList!#REF!,"AAAAAD/H31k=",0)</f>
        <v>#REF!</v>
      </c>
      <c r="CM69" t="e">
        <f>AND(ConsolidatedEventList!#REF!,"AAAAAD/H31o=")</f>
        <v>#REF!</v>
      </c>
      <c r="CN69" t="e">
        <f>AND(ConsolidatedEventList!#REF!,"AAAAAD/H31s=")</f>
        <v>#REF!</v>
      </c>
      <c r="CO69" t="e">
        <f>AND(ConsolidatedEventList!#REF!,"AAAAAD/H31w=")</f>
        <v>#REF!</v>
      </c>
      <c r="CP69" t="e">
        <f>AND(ConsolidatedEventList!#REF!,"AAAAAD/H310=")</f>
        <v>#REF!</v>
      </c>
      <c r="CQ69" t="e">
        <f>AND(ConsolidatedEventList!#REF!,"AAAAAD/H314=")</f>
        <v>#REF!</v>
      </c>
      <c r="CR69" t="e">
        <f>AND(ConsolidatedEventList!#REF!,"AAAAAD/H318=")</f>
        <v>#REF!</v>
      </c>
      <c r="CS69" t="e">
        <f>AND(ConsolidatedEventList!#REF!,"AAAAAD/H32A=")</f>
        <v>#REF!</v>
      </c>
      <c r="CT69" t="e">
        <f>AND(ConsolidatedEventList!#REF!,"AAAAAD/H32E=")</f>
        <v>#REF!</v>
      </c>
      <c r="CU69" t="e">
        <f>IF(ConsolidatedEventList!#REF!,"AAAAAD/H32I=",0)</f>
        <v>#REF!</v>
      </c>
      <c r="CV69" t="e">
        <f>AND(ConsolidatedEventList!#REF!,"AAAAAD/H32M=")</f>
        <v>#REF!</v>
      </c>
      <c r="CW69" t="e">
        <f>AND(ConsolidatedEventList!#REF!,"AAAAAD/H32Q=")</f>
        <v>#REF!</v>
      </c>
      <c r="CX69" t="e">
        <f>AND(ConsolidatedEventList!#REF!,"AAAAAD/H32U=")</f>
        <v>#REF!</v>
      </c>
      <c r="CY69" t="e">
        <f>AND(ConsolidatedEventList!#REF!,"AAAAAD/H32Y=")</f>
        <v>#REF!</v>
      </c>
      <c r="CZ69" t="e">
        <f>AND(ConsolidatedEventList!#REF!,"AAAAAD/H32c=")</f>
        <v>#REF!</v>
      </c>
      <c r="DA69" t="e">
        <f>AND(ConsolidatedEventList!#REF!,"AAAAAD/H32g=")</f>
        <v>#REF!</v>
      </c>
      <c r="DB69" t="e">
        <f>AND(ConsolidatedEventList!#REF!,"AAAAAD/H32k=")</f>
        <v>#REF!</v>
      </c>
      <c r="DC69" t="e">
        <f>AND(ConsolidatedEventList!#REF!,"AAAAAD/H32o=")</f>
        <v>#REF!</v>
      </c>
      <c r="DD69" t="e">
        <f>IF(ConsolidatedEventList!#REF!,"AAAAAD/H32s=",0)</f>
        <v>#REF!</v>
      </c>
      <c r="DE69" t="e">
        <f>AND(ConsolidatedEventList!#REF!,"AAAAAD/H32w=")</f>
        <v>#REF!</v>
      </c>
      <c r="DF69" t="e">
        <f>AND(ConsolidatedEventList!#REF!,"AAAAAD/H320=")</f>
        <v>#REF!</v>
      </c>
      <c r="DG69" t="e">
        <f>AND(ConsolidatedEventList!#REF!,"AAAAAD/H324=")</f>
        <v>#REF!</v>
      </c>
      <c r="DH69" t="e">
        <f>AND(ConsolidatedEventList!#REF!,"AAAAAD/H328=")</f>
        <v>#REF!</v>
      </c>
      <c r="DI69" t="e">
        <f>AND(ConsolidatedEventList!#REF!,"AAAAAD/H33A=")</f>
        <v>#REF!</v>
      </c>
      <c r="DJ69" t="e">
        <f>AND(ConsolidatedEventList!#REF!,"AAAAAD/H33E=")</f>
        <v>#REF!</v>
      </c>
      <c r="DK69" t="e">
        <f>AND(ConsolidatedEventList!#REF!,"AAAAAD/H33I=")</f>
        <v>#REF!</v>
      </c>
      <c r="DL69" t="e">
        <f>AND(ConsolidatedEventList!#REF!,"AAAAAD/H33M=")</f>
        <v>#REF!</v>
      </c>
      <c r="DM69" t="e">
        <f>IF(ConsolidatedEventList!#REF!,"AAAAAD/H33Q=",0)</f>
        <v>#REF!</v>
      </c>
      <c r="DN69" t="e">
        <f>AND(ConsolidatedEventList!#REF!,"AAAAAD/H33U=")</f>
        <v>#REF!</v>
      </c>
      <c r="DO69" t="e">
        <f>AND(ConsolidatedEventList!#REF!,"AAAAAD/H33Y=")</f>
        <v>#REF!</v>
      </c>
      <c r="DP69" t="e">
        <f>AND(ConsolidatedEventList!#REF!,"AAAAAD/H33c=")</f>
        <v>#REF!</v>
      </c>
      <c r="DQ69" t="e">
        <f>AND(ConsolidatedEventList!#REF!,"AAAAAD/H33g=")</f>
        <v>#REF!</v>
      </c>
      <c r="DR69" t="e">
        <f>AND(ConsolidatedEventList!#REF!,"AAAAAD/H33k=")</f>
        <v>#REF!</v>
      </c>
      <c r="DS69" t="e">
        <f>AND(ConsolidatedEventList!#REF!,"AAAAAD/H33o=")</f>
        <v>#REF!</v>
      </c>
      <c r="DT69" t="e">
        <f>AND(ConsolidatedEventList!#REF!,"AAAAAD/H33s=")</f>
        <v>#REF!</v>
      </c>
      <c r="DU69" t="e">
        <f>AND(ConsolidatedEventList!#REF!,"AAAAAD/H33w=")</f>
        <v>#REF!</v>
      </c>
      <c r="DV69" t="e">
        <f>IF(ConsolidatedEventList!#REF!,"AAAAAD/H330=",0)</f>
        <v>#REF!</v>
      </c>
      <c r="DW69" t="e">
        <f>AND(ConsolidatedEventList!#REF!,"AAAAAD/H334=")</f>
        <v>#REF!</v>
      </c>
      <c r="DX69" t="e">
        <f>AND(ConsolidatedEventList!#REF!,"AAAAAD/H338=")</f>
        <v>#REF!</v>
      </c>
      <c r="DY69" t="e">
        <f>AND(ConsolidatedEventList!#REF!,"AAAAAD/H34A=")</f>
        <v>#REF!</v>
      </c>
      <c r="DZ69" t="e">
        <f>AND(ConsolidatedEventList!#REF!,"AAAAAD/H34E=")</f>
        <v>#REF!</v>
      </c>
      <c r="EA69" t="e">
        <f>AND(ConsolidatedEventList!#REF!,"AAAAAD/H34I=")</f>
        <v>#REF!</v>
      </c>
      <c r="EB69" t="e">
        <f>AND(ConsolidatedEventList!#REF!,"AAAAAD/H34M=")</f>
        <v>#REF!</v>
      </c>
      <c r="EC69" t="e">
        <f>AND(ConsolidatedEventList!#REF!,"AAAAAD/H34Q=")</f>
        <v>#REF!</v>
      </c>
      <c r="ED69" t="e">
        <f>AND(ConsolidatedEventList!#REF!,"AAAAAD/H34U=")</f>
        <v>#REF!</v>
      </c>
      <c r="EE69" t="e">
        <f>IF(ConsolidatedEventList!#REF!,"AAAAAD/H34Y=",0)</f>
        <v>#REF!</v>
      </c>
      <c r="EF69" t="e">
        <f>AND(ConsolidatedEventList!#REF!,"AAAAAD/H34c=")</f>
        <v>#REF!</v>
      </c>
      <c r="EG69" t="e">
        <f>AND(ConsolidatedEventList!#REF!,"AAAAAD/H34g=")</f>
        <v>#REF!</v>
      </c>
      <c r="EH69" t="e">
        <f>AND(ConsolidatedEventList!#REF!,"AAAAAD/H34k=")</f>
        <v>#REF!</v>
      </c>
      <c r="EI69" t="e">
        <f>AND(ConsolidatedEventList!#REF!,"AAAAAD/H34o=")</f>
        <v>#REF!</v>
      </c>
      <c r="EJ69" t="e">
        <f>AND(ConsolidatedEventList!#REF!,"AAAAAD/H34s=")</f>
        <v>#REF!</v>
      </c>
      <c r="EK69" t="e">
        <f>AND(ConsolidatedEventList!#REF!,"AAAAAD/H34w=")</f>
        <v>#REF!</v>
      </c>
      <c r="EL69" t="e">
        <f>AND(ConsolidatedEventList!#REF!,"AAAAAD/H340=")</f>
        <v>#REF!</v>
      </c>
      <c r="EM69" t="e">
        <f>AND(ConsolidatedEventList!#REF!,"AAAAAD/H344=")</f>
        <v>#REF!</v>
      </c>
      <c r="EN69" t="e">
        <f>IF(ConsolidatedEventList!#REF!,"AAAAAD/H348=",0)</f>
        <v>#REF!</v>
      </c>
      <c r="EO69" t="e">
        <f>AND(ConsolidatedEventList!#REF!,"AAAAAD/H35A=")</f>
        <v>#REF!</v>
      </c>
      <c r="EP69" t="e">
        <f>AND(ConsolidatedEventList!#REF!,"AAAAAD/H35E=")</f>
        <v>#REF!</v>
      </c>
      <c r="EQ69" t="e">
        <f>AND(ConsolidatedEventList!#REF!,"AAAAAD/H35I=")</f>
        <v>#REF!</v>
      </c>
      <c r="ER69" t="e">
        <f>AND(ConsolidatedEventList!#REF!,"AAAAAD/H35M=")</f>
        <v>#REF!</v>
      </c>
      <c r="ES69" t="e">
        <f>AND(ConsolidatedEventList!#REF!,"AAAAAD/H35Q=")</f>
        <v>#REF!</v>
      </c>
      <c r="ET69" t="e">
        <f>AND(ConsolidatedEventList!#REF!,"AAAAAD/H35U=")</f>
        <v>#REF!</v>
      </c>
      <c r="EU69" t="e">
        <f>AND(ConsolidatedEventList!#REF!,"AAAAAD/H35Y=")</f>
        <v>#REF!</v>
      </c>
      <c r="EV69" t="e">
        <f>AND(ConsolidatedEventList!#REF!,"AAAAAD/H35c=")</f>
        <v>#REF!</v>
      </c>
      <c r="EW69" t="e">
        <f>IF(ConsolidatedEventList!#REF!,"AAAAAD/H35g=",0)</f>
        <v>#REF!</v>
      </c>
      <c r="EX69" t="e">
        <f>AND(ConsolidatedEventList!#REF!,"AAAAAD/H35k=")</f>
        <v>#REF!</v>
      </c>
      <c r="EY69" t="e">
        <f>AND(ConsolidatedEventList!#REF!,"AAAAAD/H35o=")</f>
        <v>#REF!</v>
      </c>
      <c r="EZ69" t="e">
        <f>AND(ConsolidatedEventList!#REF!,"AAAAAD/H35s=")</f>
        <v>#REF!</v>
      </c>
      <c r="FA69" t="e">
        <f>AND(ConsolidatedEventList!#REF!,"AAAAAD/H35w=")</f>
        <v>#REF!</v>
      </c>
      <c r="FB69" t="e">
        <f>AND(ConsolidatedEventList!#REF!,"AAAAAD/H350=")</f>
        <v>#REF!</v>
      </c>
      <c r="FC69" t="e">
        <f>AND(ConsolidatedEventList!#REF!,"AAAAAD/H354=")</f>
        <v>#REF!</v>
      </c>
      <c r="FD69" t="e">
        <f>AND(ConsolidatedEventList!#REF!,"AAAAAD/H358=")</f>
        <v>#REF!</v>
      </c>
      <c r="FE69" t="e">
        <f>AND(ConsolidatedEventList!#REF!,"AAAAAD/H36A=")</f>
        <v>#REF!</v>
      </c>
      <c r="FF69" t="e">
        <f>IF(ConsolidatedEventList!#REF!,"AAAAAD/H36E=",0)</f>
        <v>#REF!</v>
      </c>
      <c r="FG69" t="e">
        <f>AND(ConsolidatedEventList!#REF!,"AAAAAD/H36I=")</f>
        <v>#REF!</v>
      </c>
      <c r="FH69" t="e">
        <f>AND(ConsolidatedEventList!#REF!,"AAAAAD/H36M=")</f>
        <v>#REF!</v>
      </c>
      <c r="FI69" t="e">
        <f>AND(ConsolidatedEventList!#REF!,"AAAAAD/H36Q=")</f>
        <v>#REF!</v>
      </c>
      <c r="FJ69" t="e">
        <f>AND(ConsolidatedEventList!#REF!,"AAAAAD/H36U=")</f>
        <v>#REF!</v>
      </c>
      <c r="FK69" t="e">
        <f>AND(ConsolidatedEventList!#REF!,"AAAAAD/H36Y=")</f>
        <v>#REF!</v>
      </c>
      <c r="FL69" t="e">
        <f>AND(ConsolidatedEventList!#REF!,"AAAAAD/H36c=")</f>
        <v>#REF!</v>
      </c>
      <c r="FM69" t="e">
        <f>AND(ConsolidatedEventList!#REF!,"AAAAAD/H36g=")</f>
        <v>#REF!</v>
      </c>
      <c r="FN69" t="e">
        <f>AND(ConsolidatedEventList!#REF!,"AAAAAD/H36k=")</f>
        <v>#REF!</v>
      </c>
      <c r="FO69" t="e">
        <f>IF(ConsolidatedEventList!#REF!,"AAAAAD/H36o=",0)</f>
        <v>#REF!</v>
      </c>
      <c r="FP69" t="e">
        <f>AND(ConsolidatedEventList!#REF!,"AAAAAD/H36s=")</f>
        <v>#REF!</v>
      </c>
      <c r="FQ69" t="e">
        <f>AND(ConsolidatedEventList!#REF!,"AAAAAD/H36w=")</f>
        <v>#REF!</v>
      </c>
      <c r="FR69" t="e">
        <f>AND(ConsolidatedEventList!#REF!,"AAAAAD/H360=")</f>
        <v>#REF!</v>
      </c>
      <c r="FS69" t="e">
        <f>AND(ConsolidatedEventList!#REF!,"AAAAAD/H364=")</f>
        <v>#REF!</v>
      </c>
      <c r="FT69" t="e">
        <f>AND(ConsolidatedEventList!#REF!,"AAAAAD/H368=")</f>
        <v>#REF!</v>
      </c>
      <c r="FU69" t="e">
        <f>AND(ConsolidatedEventList!#REF!,"AAAAAD/H37A=")</f>
        <v>#REF!</v>
      </c>
      <c r="FV69" t="e">
        <f>AND(ConsolidatedEventList!#REF!,"AAAAAD/H37E=")</f>
        <v>#REF!</v>
      </c>
      <c r="FW69" t="e">
        <f>AND(ConsolidatedEventList!#REF!,"AAAAAD/H37I=")</f>
        <v>#REF!</v>
      </c>
      <c r="FX69" t="e">
        <f>IF(ConsolidatedEventList!#REF!,"AAAAAD/H37M=",0)</f>
        <v>#REF!</v>
      </c>
      <c r="FY69" t="e">
        <f>AND(ConsolidatedEventList!#REF!,"AAAAAD/H37Q=")</f>
        <v>#REF!</v>
      </c>
      <c r="FZ69" t="e">
        <f>AND(ConsolidatedEventList!#REF!,"AAAAAD/H37U=")</f>
        <v>#REF!</v>
      </c>
      <c r="GA69" t="e">
        <f>AND(ConsolidatedEventList!#REF!,"AAAAAD/H37Y=")</f>
        <v>#REF!</v>
      </c>
      <c r="GB69" t="e">
        <f>AND(ConsolidatedEventList!#REF!,"AAAAAD/H37c=")</f>
        <v>#REF!</v>
      </c>
      <c r="GC69" t="e">
        <f>AND(ConsolidatedEventList!#REF!,"AAAAAD/H37g=")</f>
        <v>#REF!</v>
      </c>
      <c r="GD69" t="e">
        <f>AND(ConsolidatedEventList!#REF!,"AAAAAD/H37k=")</f>
        <v>#REF!</v>
      </c>
      <c r="GE69" t="e">
        <f>AND(ConsolidatedEventList!#REF!,"AAAAAD/H37o=")</f>
        <v>#REF!</v>
      </c>
      <c r="GF69" t="e">
        <f>AND(ConsolidatedEventList!#REF!,"AAAAAD/H37s=")</f>
        <v>#REF!</v>
      </c>
      <c r="GG69" t="e">
        <f>IF(ConsolidatedEventList!#REF!,"AAAAAD/H37w=",0)</f>
        <v>#REF!</v>
      </c>
      <c r="GH69" t="e">
        <f>AND(ConsolidatedEventList!#REF!,"AAAAAD/H370=")</f>
        <v>#REF!</v>
      </c>
      <c r="GI69" t="e">
        <f>AND(ConsolidatedEventList!#REF!,"AAAAAD/H374=")</f>
        <v>#REF!</v>
      </c>
      <c r="GJ69" t="e">
        <f>AND(ConsolidatedEventList!#REF!,"AAAAAD/H378=")</f>
        <v>#REF!</v>
      </c>
      <c r="GK69" t="e">
        <f>AND(ConsolidatedEventList!#REF!,"AAAAAD/H38A=")</f>
        <v>#REF!</v>
      </c>
      <c r="GL69" t="e">
        <f>AND(ConsolidatedEventList!#REF!,"AAAAAD/H38E=")</f>
        <v>#REF!</v>
      </c>
      <c r="GM69" t="e">
        <f>AND(ConsolidatedEventList!#REF!,"AAAAAD/H38I=")</f>
        <v>#REF!</v>
      </c>
      <c r="GN69" t="e">
        <f>AND(ConsolidatedEventList!#REF!,"AAAAAD/H38M=")</f>
        <v>#REF!</v>
      </c>
      <c r="GO69" t="e">
        <f>AND(ConsolidatedEventList!#REF!,"AAAAAD/H38Q=")</f>
        <v>#REF!</v>
      </c>
      <c r="GP69" t="e">
        <f>IF(ConsolidatedEventList!#REF!,"AAAAAD/H38U=",0)</f>
        <v>#REF!</v>
      </c>
      <c r="GQ69" t="e">
        <f>AND(ConsolidatedEventList!#REF!,"AAAAAD/H38Y=")</f>
        <v>#REF!</v>
      </c>
      <c r="GR69" t="e">
        <f>AND(ConsolidatedEventList!#REF!,"AAAAAD/H38c=")</f>
        <v>#REF!</v>
      </c>
      <c r="GS69" t="e">
        <f>AND(ConsolidatedEventList!#REF!,"AAAAAD/H38g=")</f>
        <v>#REF!</v>
      </c>
      <c r="GT69" t="e">
        <f>AND(ConsolidatedEventList!#REF!,"AAAAAD/H38k=")</f>
        <v>#REF!</v>
      </c>
      <c r="GU69" t="e">
        <f>AND(ConsolidatedEventList!#REF!,"AAAAAD/H38o=")</f>
        <v>#REF!</v>
      </c>
      <c r="GV69" t="e">
        <f>AND(ConsolidatedEventList!#REF!,"AAAAAD/H38s=")</f>
        <v>#REF!</v>
      </c>
      <c r="GW69" t="e">
        <f>AND(ConsolidatedEventList!#REF!,"AAAAAD/H38w=")</f>
        <v>#REF!</v>
      </c>
      <c r="GX69" t="e">
        <f>AND(ConsolidatedEventList!#REF!,"AAAAAD/H380=")</f>
        <v>#REF!</v>
      </c>
      <c r="GY69" t="e">
        <f>IF(ConsolidatedEventList!#REF!,"AAAAAD/H384=",0)</f>
        <v>#REF!</v>
      </c>
      <c r="GZ69" t="e">
        <f>AND(ConsolidatedEventList!#REF!,"AAAAAD/H388=")</f>
        <v>#REF!</v>
      </c>
      <c r="HA69" t="e">
        <f>AND(ConsolidatedEventList!#REF!,"AAAAAD/H39A=")</f>
        <v>#REF!</v>
      </c>
      <c r="HB69" t="e">
        <f>AND(ConsolidatedEventList!#REF!,"AAAAAD/H39E=")</f>
        <v>#REF!</v>
      </c>
      <c r="HC69" t="e">
        <f>AND(ConsolidatedEventList!#REF!,"AAAAAD/H39I=")</f>
        <v>#REF!</v>
      </c>
      <c r="HD69" t="e">
        <f>AND(ConsolidatedEventList!#REF!,"AAAAAD/H39M=")</f>
        <v>#REF!</v>
      </c>
      <c r="HE69" t="e">
        <f>AND(ConsolidatedEventList!#REF!,"AAAAAD/H39Q=")</f>
        <v>#REF!</v>
      </c>
      <c r="HF69" t="e">
        <f>AND(ConsolidatedEventList!#REF!,"AAAAAD/H39U=")</f>
        <v>#REF!</v>
      </c>
      <c r="HG69" t="e">
        <f>AND(ConsolidatedEventList!#REF!,"AAAAAD/H39Y=")</f>
        <v>#REF!</v>
      </c>
      <c r="HH69" t="e">
        <f>IF(ConsolidatedEventList!#REF!,"AAAAAD/H39c=",0)</f>
        <v>#REF!</v>
      </c>
      <c r="HI69" t="e">
        <f>AND(ConsolidatedEventList!#REF!,"AAAAAD/H39g=")</f>
        <v>#REF!</v>
      </c>
      <c r="HJ69" t="e">
        <f>AND(ConsolidatedEventList!#REF!,"AAAAAD/H39k=")</f>
        <v>#REF!</v>
      </c>
      <c r="HK69" t="e">
        <f>AND(ConsolidatedEventList!#REF!,"AAAAAD/H39o=")</f>
        <v>#REF!</v>
      </c>
      <c r="HL69" t="e">
        <f>AND(ConsolidatedEventList!#REF!,"AAAAAD/H39s=")</f>
        <v>#REF!</v>
      </c>
      <c r="HM69" t="e">
        <f>AND(ConsolidatedEventList!#REF!,"AAAAAD/H39w=")</f>
        <v>#REF!</v>
      </c>
      <c r="HN69" t="e">
        <f>AND(ConsolidatedEventList!#REF!,"AAAAAD/H390=")</f>
        <v>#REF!</v>
      </c>
      <c r="HO69" t="e">
        <f>AND(ConsolidatedEventList!#REF!,"AAAAAD/H394=")</f>
        <v>#REF!</v>
      </c>
      <c r="HP69" t="e">
        <f>AND(ConsolidatedEventList!#REF!,"AAAAAD/H398=")</f>
        <v>#REF!</v>
      </c>
      <c r="HQ69" t="e">
        <f>IF(ConsolidatedEventList!#REF!,"AAAAAD/H3+A=",0)</f>
        <v>#REF!</v>
      </c>
      <c r="HR69" t="e">
        <f>AND(ConsolidatedEventList!#REF!,"AAAAAD/H3+E=")</f>
        <v>#REF!</v>
      </c>
      <c r="HS69" t="e">
        <f>AND(ConsolidatedEventList!#REF!,"AAAAAD/H3+I=")</f>
        <v>#REF!</v>
      </c>
      <c r="HT69" t="e">
        <f>AND(ConsolidatedEventList!#REF!,"AAAAAD/H3+M=")</f>
        <v>#REF!</v>
      </c>
      <c r="HU69" t="e">
        <f>AND(ConsolidatedEventList!#REF!,"AAAAAD/H3+Q=")</f>
        <v>#REF!</v>
      </c>
      <c r="HV69" t="e">
        <f>AND(ConsolidatedEventList!#REF!,"AAAAAD/H3+U=")</f>
        <v>#REF!</v>
      </c>
      <c r="HW69" t="e">
        <f>AND(ConsolidatedEventList!#REF!,"AAAAAD/H3+Y=")</f>
        <v>#REF!</v>
      </c>
      <c r="HX69" t="e">
        <f>AND(ConsolidatedEventList!#REF!,"AAAAAD/H3+c=")</f>
        <v>#REF!</v>
      </c>
      <c r="HY69" t="e">
        <f>AND(ConsolidatedEventList!#REF!,"AAAAAD/H3+g=")</f>
        <v>#REF!</v>
      </c>
      <c r="HZ69" t="e">
        <f>IF(ConsolidatedEventList!#REF!,"AAAAAD/H3+k=",0)</f>
        <v>#REF!</v>
      </c>
      <c r="IA69" t="e">
        <f>AND(ConsolidatedEventList!#REF!,"AAAAAD/H3+o=")</f>
        <v>#REF!</v>
      </c>
      <c r="IB69" t="e">
        <f>AND(ConsolidatedEventList!#REF!,"AAAAAD/H3+s=")</f>
        <v>#REF!</v>
      </c>
      <c r="IC69" t="e">
        <f>AND(ConsolidatedEventList!#REF!,"AAAAAD/H3+w=")</f>
        <v>#REF!</v>
      </c>
      <c r="ID69" t="e">
        <f>AND(ConsolidatedEventList!#REF!,"AAAAAD/H3+0=")</f>
        <v>#REF!</v>
      </c>
      <c r="IE69" t="e">
        <f>AND(ConsolidatedEventList!#REF!,"AAAAAD/H3+4=")</f>
        <v>#REF!</v>
      </c>
      <c r="IF69" t="e">
        <f>AND(ConsolidatedEventList!#REF!,"AAAAAD/H3+8=")</f>
        <v>#REF!</v>
      </c>
      <c r="IG69" t="e">
        <f>AND(ConsolidatedEventList!#REF!,"AAAAAD/H3/A=")</f>
        <v>#REF!</v>
      </c>
      <c r="IH69" t="e">
        <f>AND(ConsolidatedEventList!#REF!,"AAAAAD/H3/E=")</f>
        <v>#REF!</v>
      </c>
      <c r="II69" t="e">
        <f>IF(ConsolidatedEventList!#REF!,"AAAAAD/H3/I=",0)</f>
        <v>#REF!</v>
      </c>
      <c r="IJ69" t="e">
        <f>AND(ConsolidatedEventList!#REF!,"AAAAAD/H3/M=")</f>
        <v>#REF!</v>
      </c>
      <c r="IK69" t="e">
        <f>AND(ConsolidatedEventList!#REF!,"AAAAAD/H3/Q=")</f>
        <v>#REF!</v>
      </c>
      <c r="IL69" t="e">
        <f>AND(ConsolidatedEventList!#REF!,"AAAAAD/H3/U=")</f>
        <v>#REF!</v>
      </c>
      <c r="IM69" t="e">
        <f>AND(ConsolidatedEventList!#REF!,"AAAAAD/H3/Y=")</f>
        <v>#REF!</v>
      </c>
      <c r="IN69" t="e">
        <f>AND(ConsolidatedEventList!#REF!,"AAAAAD/H3/c=")</f>
        <v>#REF!</v>
      </c>
      <c r="IO69" t="e">
        <f>AND(ConsolidatedEventList!#REF!,"AAAAAD/H3/g=")</f>
        <v>#REF!</v>
      </c>
      <c r="IP69" t="e">
        <f>AND(ConsolidatedEventList!#REF!,"AAAAAD/H3/k=")</f>
        <v>#REF!</v>
      </c>
      <c r="IQ69" t="e">
        <f>AND(ConsolidatedEventList!#REF!,"AAAAAD/H3/o=")</f>
        <v>#REF!</v>
      </c>
      <c r="IR69" t="e">
        <f>IF(ConsolidatedEventList!#REF!,"AAAAAD/H3/s=",0)</f>
        <v>#REF!</v>
      </c>
      <c r="IS69" t="e">
        <f>AND(ConsolidatedEventList!#REF!,"AAAAAD/H3/w=")</f>
        <v>#REF!</v>
      </c>
      <c r="IT69" t="e">
        <f>AND(ConsolidatedEventList!#REF!,"AAAAAD/H3/0=")</f>
        <v>#REF!</v>
      </c>
      <c r="IU69" t="e">
        <f>AND(ConsolidatedEventList!#REF!,"AAAAAD/H3/4=")</f>
        <v>#REF!</v>
      </c>
      <c r="IV69" t="e">
        <f>AND(ConsolidatedEventList!#REF!,"AAAAAD/H3/8=")</f>
        <v>#REF!</v>
      </c>
    </row>
    <row r="70" spans="1:256" x14ac:dyDescent="0.25">
      <c r="A70" t="e">
        <f>AND(ConsolidatedEventList!#REF!,"AAAAADu//wA=")</f>
        <v>#REF!</v>
      </c>
      <c r="B70" t="e">
        <f>AND(ConsolidatedEventList!#REF!,"AAAAADu//wE=")</f>
        <v>#REF!</v>
      </c>
      <c r="C70" t="e">
        <f>AND(ConsolidatedEventList!#REF!,"AAAAADu//wI=")</f>
        <v>#REF!</v>
      </c>
      <c r="D70" t="e">
        <f>AND(ConsolidatedEventList!#REF!,"AAAAADu//wM=")</f>
        <v>#REF!</v>
      </c>
      <c r="E70" t="e">
        <f>IF(ConsolidatedEventList!#REF!,"AAAAADu//wQ=",0)</f>
        <v>#REF!</v>
      </c>
      <c r="F70" t="e">
        <f>AND(ConsolidatedEventList!#REF!,"AAAAADu//wU=")</f>
        <v>#REF!</v>
      </c>
      <c r="G70" t="e">
        <f>AND(ConsolidatedEventList!#REF!,"AAAAADu//wY=")</f>
        <v>#REF!</v>
      </c>
      <c r="H70" t="e">
        <f>AND(ConsolidatedEventList!#REF!,"AAAAADu//wc=")</f>
        <v>#REF!</v>
      </c>
      <c r="I70" t="e">
        <f>AND(ConsolidatedEventList!#REF!,"AAAAADu//wg=")</f>
        <v>#REF!</v>
      </c>
      <c r="J70" t="e">
        <f>AND(ConsolidatedEventList!#REF!,"AAAAADu//wk=")</f>
        <v>#REF!</v>
      </c>
      <c r="K70" t="e">
        <f>AND(ConsolidatedEventList!#REF!,"AAAAADu//wo=")</f>
        <v>#REF!</v>
      </c>
      <c r="L70" t="e">
        <f>AND(ConsolidatedEventList!#REF!,"AAAAADu//ws=")</f>
        <v>#REF!</v>
      </c>
      <c r="M70" t="e">
        <f>AND(ConsolidatedEventList!#REF!,"AAAAADu//ww=")</f>
        <v>#REF!</v>
      </c>
      <c r="N70" t="e">
        <f>IF(ConsolidatedEventList!#REF!,"AAAAADu//w0=",0)</f>
        <v>#REF!</v>
      </c>
      <c r="O70" t="e">
        <f>AND(ConsolidatedEventList!#REF!,"AAAAADu//w4=")</f>
        <v>#REF!</v>
      </c>
      <c r="P70" t="e">
        <f>AND(ConsolidatedEventList!#REF!,"AAAAADu//w8=")</f>
        <v>#REF!</v>
      </c>
      <c r="Q70" t="e">
        <f>AND(ConsolidatedEventList!#REF!,"AAAAADu//xA=")</f>
        <v>#REF!</v>
      </c>
      <c r="R70" t="e">
        <f>AND(ConsolidatedEventList!#REF!,"AAAAADu//xE=")</f>
        <v>#REF!</v>
      </c>
      <c r="S70" t="e">
        <f>AND(ConsolidatedEventList!#REF!,"AAAAADu//xI=")</f>
        <v>#REF!</v>
      </c>
      <c r="T70" t="e">
        <f>AND(ConsolidatedEventList!#REF!,"AAAAADu//xM=")</f>
        <v>#REF!</v>
      </c>
      <c r="U70" t="e">
        <f>AND(ConsolidatedEventList!#REF!,"AAAAADu//xQ=")</f>
        <v>#REF!</v>
      </c>
      <c r="V70" t="e">
        <f>AND(ConsolidatedEventList!#REF!,"AAAAADu//xU=")</f>
        <v>#REF!</v>
      </c>
      <c r="W70" t="e">
        <f>IF(ConsolidatedEventList!#REF!,"AAAAADu//xY=",0)</f>
        <v>#REF!</v>
      </c>
      <c r="X70" t="e">
        <f>AND(ConsolidatedEventList!#REF!,"AAAAADu//xc=")</f>
        <v>#REF!</v>
      </c>
      <c r="Y70" t="e">
        <f>AND(ConsolidatedEventList!#REF!,"AAAAADu//xg=")</f>
        <v>#REF!</v>
      </c>
      <c r="Z70" t="e">
        <f>AND(ConsolidatedEventList!#REF!,"AAAAADu//xk=")</f>
        <v>#REF!</v>
      </c>
      <c r="AA70" t="e">
        <f>AND(ConsolidatedEventList!#REF!,"AAAAADu//xo=")</f>
        <v>#REF!</v>
      </c>
      <c r="AB70" t="e">
        <f>AND(ConsolidatedEventList!#REF!,"AAAAADu//xs=")</f>
        <v>#REF!</v>
      </c>
      <c r="AC70" t="e">
        <f>AND(ConsolidatedEventList!#REF!,"AAAAADu//xw=")</f>
        <v>#REF!</v>
      </c>
      <c r="AD70" t="e">
        <f>AND(ConsolidatedEventList!#REF!,"AAAAADu//x0=")</f>
        <v>#REF!</v>
      </c>
      <c r="AE70" t="e">
        <f>AND(ConsolidatedEventList!#REF!,"AAAAADu//x4=")</f>
        <v>#REF!</v>
      </c>
      <c r="AF70" t="e">
        <f>IF(ConsolidatedEventList!#REF!,"AAAAADu//x8=",0)</f>
        <v>#REF!</v>
      </c>
      <c r="AG70" t="e">
        <f>AND(ConsolidatedEventList!#REF!,"AAAAADu//yA=")</f>
        <v>#REF!</v>
      </c>
      <c r="AH70" t="e">
        <f>AND(ConsolidatedEventList!#REF!,"AAAAADu//yE=")</f>
        <v>#REF!</v>
      </c>
      <c r="AI70" t="e">
        <f>AND(ConsolidatedEventList!#REF!,"AAAAADu//yI=")</f>
        <v>#REF!</v>
      </c>
      <c r="AJ70" t="e">
        <f>AND(ConsolidatedEventList!#REF!,"AAAAADu//yM=")</f>
        <v>#REF!</v>
      </c>
      <c r="AK70" t="e">
        <f>AND(ConsolidatedEventList!#REF!,"AAAAADu//yQ=")</f>
        <v>#REF!</v>
      </c>
      <c r="AL70" t="e">
        <f>AND(ConsolidatedEventList!#REF!,"AAAAADu//yU=")</f>
        <v>#REF!</v>
      </c>
      <c r="AM70" t="e">
        <f>AND(ConsolidatedEventList!#REF!,"AAAAADu//yY=")</f>
        <v>#REF!</v>
      </c>
      <c r="AN70" t="e">
        <f>AND(ConsolidatedEventList!#REF!,"AAAAADu//yc=")</f>
        <v>#REF!</v>
      </c>
      <c r="AO70" t="e">
        <f>IF(ConsolidatedEventList!#REF!,"AAAAADu//yg=",0)</f>
        <v>#REF!</v>
      </c>
      <c r="AP70" t="e">
        <f>AND(ConsolidatedEventList!#REF!,"AAAAADu//yk=")</f>
        <v>#REF!</v>
      </c>
      <c r="AQ70" t="e">
        <f>AND(ConsolidatedEventList!#REF!,"AAAAADu//yo=")</f>
        <v>#REF!</v>
      </c>
      <c r="AR70" t="e">
        <f>AND(ConsolidatedEventList!#REF!,"AAAAADu//ys=")</f>
        <v>#REF!</v>
      </c>
      <c r="AS70" t="e">
        <f>AND(ConsolidatedEventList!#REF!,"AAAAADu//yw=")</f>
        <v>#REF!</v>
      </c>
      <c r="AT70" t="e">
        <f>AND(ConsolidatedEventList!#REF!,"AAAAADu//y0=")</f>
        <v>#REF!</v>
      </c>
      <c r="AU70" t="e">
        <f>AND(ConsolidatedEventList!#REF!,"AAAAADu//y4=")</f>
        <v>#REF!</v>
      </c>
      <c r="AV70" t="e">
        <f>AND(ConsolidatedEventList!#REF!,"AAAAADu//y8=")</f>
        <v>#REF!</v>
      </c>
      <c r="AW70" t="e">
        <f>AND(ConsolidatedEventList!#REF!,"AAAAADu//zA=")</f>
        <v>#REF!</v>
      </c>
      <c r="AX70" t="e">
        <f>IF(ConsolidatedEventList!#REF!,"AAAAADu//zE=",0)</f>
        <v>#REF!</v>
      </c>
      <c r="AY70" t="e">
        <f>AND(ConsolidatedEventList!#REF!,"AAAAADu//zI=")</f>
        <v>#REF!</v>
      </c>
      <c r="AZ70" t="e">
        <f>AND(ConsolidatedEventList!#REF!,"AAAAADu//zM=")</f>
        <v>#REF!</v>
      </c>
      <c r="BA70" t="e">
        <f>AND(ConsolidatedEventList!#REF!,"AAAAADu//zQ=")</f>
        <v>#REF!</v>
      </c>
      <c r="BB70" t="e">
        <f>AND(ConsolidatedEventList!#REF!,"AAAAADu//zU=")</f>
        <v>#REF!</v>
      </c>
      <c r="BC70" t="e">
        <f>AND(ConsolidatedEventList!#REF!,"AAAAADu//zY=")</f>
        <v>#REF!</v>
      </c>
      <c r="BD70" t="e">
        <f>AND(ConsolidatedEventList!#REF!,"AAAAADu//zc=")</f>
        <v>#REF!</v>
      </c>
      <c r="BE70" t="e">
        <f>AND(ConsolidatedEventList!#REF!,"AAAAADu//zg=")</f>
        <v>#REF!</v>
      </c>
      <c r="BF70" t="e">
        <f>AND(ConsolidatedEventList!#REF!,"AAAAADu//zk=")</f>
        <v>#REF!</v>
      </c>
      <c r="BG70" t="e">
        <f>IF(ConsolidatedEventList!#REF!,"AAAAADu//zo=",0)</f>
        <v>#REF!</v>
      </c>
      <c r="BH70" t="e">
        <f>AND(ConsolidatedEventList!#REF!,"AAAAADu//zs=")</f>
        <v>#REF!</v>
      </c>
      <c r="BI70" t="e">
        <f>AND(ConsolidatedEventList!#REF!,"AAAAADu//zw=")</f>
        <v>#REF!</v>
      </c>
      <c r="BJ70" t="e">
        <f>AND(ConsolidatedEventList!#REF!,"AAAAADu//z0=")</f>
        <v>#REF!</v>
      </c>
      <c r="BK70" t="e">
        <f>AND(ConsolidatedEventList!#REF!,"AAAAADu//z4=")</f>
        <v>#REF!</v>
      </c>
      <c r="BL70" t="e">
        <f>AND(ConsolidatedEventList!#REF!,"AAAAADu//z8=")</f>
        <v>#REF!</v>
      </c>
      <c r="BM70" t="e">
        <f>AND(ConsolidatedEventList!#REF!,"AAAAADu//0A=")</f>
        <v>#REF!</v>
      </c>
      <c r="BN70" t="e">
        <f>AND(ConsolidatedEventList!#REF!,"AAAAADu//0E=")</f>
        <v>#REF!</v>
      </c>
      <c r="BO70" t="e">
        <f>AND(ConsolidatedEventList!#REF!,"AAAAADu//0I=")</f>
        <v>#REF!</v>
      </c>
      <c r="BP70" t="e">
        <f>IF(ConsolidatedEventList!#REF!,"AAAAADu//0M=",0)</f>
        <v>#REF!</v>
      </c>
      <c r="BQ70" t="e">
        <f>AND(ConsolidatedEventList!#REF!,"AAAAADu//0Q=")</f>
        <v>#REF!</v>
      </c>
      <c r="BR70" t="e">
        <f>AND(ConsolidatedEventList!#REF!,"AAAAADu//0U=")</f>
        <v>#REF!</v>
      </c>
      <c r="BS70" t="e">
        <f>AND(ConsolidatedEventList!#REF!,"AAAAADu//0Y=")</f>
        <v>#REF!</v>
      </c>
      <c r="BT70" t="e">
        <f>AND(ConsolidatedEventList!#REF!,"AAAAADu//0c=")</f>
        <v>#REF!</v>
      </c>
      <c r="BU70" t="e">
        <f>AND(ConsolidatedEventList!#REF!,"AAAAADu//0g=")</f>
        <v>#REF!</v>
      </c>
      <c r="BV70" t="e">
        <f>AND(ConsolidatedEventList!#REF!,"AAAAADu//0k=")</f>
        <v>#REF!</v>
      </c>
      <c r="BW70" t="e">
        <f>AND(ConsolidatedEventList!#REF!,"AAAAADu//0o=")</f>
        <v>#REF!</v>
      </c>
      <c r="BX70" t="e">
        <f>AND(ConsolidatedEventList!#REF!,"AAAAADu//0s=")</f>
        <v>#REF!</v>
      </c>
      <c r="BY70" t="e">
        <f>IF(ConsolidatedEventList!#REF!,"AAAAADu//0w=",0)</f>
        <v>#REF!</v>
      </c>
      <c r="BZ70" t="e">
        <f>AND(ConsolidatedEventList!#REF!,"AAAAADu//00=")</f>
        <v>#REF!</v>
      </c>
      <c r="CA70" t="e">
        <f>AND(ConsolidatedEventList!#REF!,"AAAAADu//04=")</f>
        <v>#REF!</v>
      </c>
      <c r="CB70" t="e">
        <f>AND(ConsolidatedEventList!#REF!,"AAAAADu//08=")</f>
        <v>#REF!</v>
      </c>
      <c r="CC70" t="e">
        <f>AND(ConsolidatedEventList!#REF!,"AAAAADu//1A=")</f>
        <v>#REF!</v>
      </c>
      <c r="CD70" t="e">
        <f>AND(ConsolidatedEventList!#REF!,"AAAAADu//1E=")</f>
        <v>#REF!</v>
      </c>
      <c r="CE70" t="e">
        <f>AND(ConsolidatedEventList!#REF!,"AAAAADu//1I=")</f>
        <v>#REF!</v>
      </c>
      <c r="CF70" t="e">
        <f>AND(ConsolidatedEventList!#REF!,"AAAAADu//1M=")</f>
        <v>#REF!</v>
      </c>
      <c r="CG70" t="e">
        <f>AND(ConsolidatedEventList!#REF!,"AAAAADu//1Q=")</f>
        <v>#REF!</v>
      </c>
      <c r="CH70" t="e">
        <f>IF(ConsolidatedEventList!#REF!,"AAAAADu//1U=",0)</f>
        <v>#REF!</v>
      </c>
      <c r="CI70" t="e">
        <f>AND(ConsolidatedEventList!#REF!,"AAAAADu//1Y=")</f>
        <v>#REF!</v>
      </c>
      <c r="CJ70" t="e">
        <f>AND(ConsolidatedEventList!#REF!,"AAAAADu//1c=")</f>
        <v>#REF!</v>
      </c>
      <c r="CK70" t="e">
        <f>AND(ConsolidatedEventList!#REF!,"AAAAADu//1g=")</f>
        <v>#REF!</v>
      </c>
      <c r="CL70" t="e">
        <f>AND(ConsolidatedEventList!#REF!,"AAAAADu//1k=")</f>
        <v>#REF!</v>
      </c>
      <c r="CM70" t="e">
        <f>AND(ConsolidatedEventList!#REF!,"AAAAADu//1o=")</f>
        <v>#REF!</v>
      </c>
      <c r="CN70" t="e">
        <f>AND(ConsolidatedEventList!#REF!,"AAAAADu//1s=")</f>
        <v>#REF!</v>
      </c>
      <c r="CO70" t="e">
        <f>AND(ConsolidatedEventList!#REF!,"AAAAADu//1w=")</f>
        <v>#REF!</v>
      </c>
      <c r="CP70" t="e">
        <f>AND(ConsolidatedEventList!#REF!,"AAAAADu//10=")</f>
        <v>#REF!</v>
      </c>
      <c r="CQ70" t="e">
        <f>IF(ConsolidatedEventList!#REF!,"AAAAADu//14=",0)</f>
        <v>#REF!</v>
      </c>
      <c r="CR70" t="e">
        <f>AND(ConsolidatedEventList!#REF!,"AAAAADu//18=")</f>
        <v>#REF!</v>
      </c>
      <c r="CS70" t="e">
        <f>AND(ConsolidatedEventList!#REF!,"AAAAADu//2A=")</f>
        <v>#REF!</v>
      </c>
      <c r="CT70" t="e">
        <f>AND(ConsolidatedEventList!#REF!,"AAAAADu//2E=")</f>
        <v>#REF!</v>
      </c>
      <c r="CU70" t="e">
        <f>AND(ConsolidatedEventList!#REF!,"AAAAADu//2I=")</f>
        <v>#REF!</v>
      </c>
      <c r="CV70" t="e">
        <f>AND(ConsolidatedEventList!#REF!,"AAAAADu//2M=")</f>
        <v>#REF!</v>
      </c>
      <c r="CW70" t="e">
        <f>AND(ConsolidatedEventList!#REF!,"AAAAADu//2Q=")</f>
        <v>#REF!</v>
      </c>
      <c r="CX70" t="e">
        <f>AND(ConsolidatedEventList!#REF!,"AAAAADu//2U=")</f>
        <v>#REF!</v>
      </c>
      <c r="CY70" t="e">
        <f>AND(ConsolidatedEventList!#REF!,"AAAAADu//2Y=")</f>
        <v>#REF!</v>
      </c>
      <c r="CZ70" t="e">
        <f>IF(ConsolidatedEventList!#REF!,"AAAAADu//2c=",0)</f>
        <v>#REF!</v>
      </c>
      <c r="DA70" t="e">
        <f>AND(ConsolidatedEventList!#REF!,"AAAAADu//2g=")</f>
        <v>#REF!</v>
      </c>
      <c r="DB70" t="e">
        <f>AND(ConsolidatedEventList!#REF!,"AAAAADu//2k=")</f>
        <v>#REF!</v>
      </c>
      <c r="DC70" t="e">
        <f>AND(ConsolidatedEventList!#REF!,"AAAAADu//2o=")</f>
        <v>#REF!</v>
      </c>
      <c r="DD70" t="e">
        <f>AND(ConsolidatedEventList!#REF!,"AAAAADu//2s=")</f>
        <v>#REF!</v>
      </c>
      <c r="DE70" t="e">
        <f>AND(ConsolidatedEventList!#REF!,"AAAAADu//2w=")</f>
        <v>#REF!</v>
      </c>
      <c r="DF70" t="e">
        <f>AND(ConsolidatedEventList!#REF!,"AAAAADu//20=")</f>
        <v>#REF!</v>
      </c>
      <c r="DG70" t="e">
        <f>AND(ConsolidatedEventList!#REF!,"AAAAADu//24=")</f>
        <v>#REF!</v>
      </c>
      <c r="DH70" t="e">
        <f>AND(ConsolidatedEventList!#REF!,"AAAAADu//28=")</f>
        <v>#REF!</v>
      </c>
      <c r="DI70" t="e">
        <f>IF(ConsolidatedEventList!#REF!,"AAAAADu//3A=",0)</f>
        <v>#REF!</v>
      </c>
      <c r="DJ70" t="e">
        <f>AND(ConsolidatedEventList!#REF!,"AAAAADu//3E=")</f>
        <v>#REF!</v>
      </c>
      <c r="DK70" t="e">
        <f>AND(ConsolidatedEventList!#REF!,"AAAAADu//3I=")</f>
        <v>#REF!</v>
      </c>
      <c r="DL70" t="e">
        <f>AND(ConsolidatedEventList!#REF!,"AAAAADu//3M=")</f>
        <v>#REF!</v>
      </c>
      <c r="DM70" t="e">
        <f>AND(ConsolidatedEventList!#REF!,"AAAAADu//3Q=")</f>
        <v>#REF!</v>
      </c>
      <c r="DN70" t="e">
        <f>AND(ConsolidatedEventList!#REF!,"AAAAADu//3U=")</f>
        <v>#REF!</v>
      </c>
      <c r="DO70" t="e">
        <f>AND(ConsolidatedEventList!#REF!,"AAAAADu//3Y=")</f>
        <v>#REF!</v>
      </c>
      <c r="DP70" t="e">
        <f>AND(ConsolidatedEventList!#REF!,"AAAAADu//3c=")</f>
        <v>#REF!</v>
      </c>
      <c r="DQ70" t="e">
        <f>AND(ConsolidatedEventList!#REF!,"AAAAADu//3g=")</f>
        <v>#REF!</v>
      </c>
      <c r="DR70" t="e">
        <f>IF(ConsolidatedEventList!#REF!,"AAAAADu//3k=",0)</f>
        <v>#REF!</v>
      </c>
      <c r="DS70" t="e">
        <f>AND(ConsolidatedEventList!#REF!,"AAAAADu//3o=")</f>
        <v>#REF!</v>
      </c>
      <c r="DT70" t="e">
        <f>AND(ConsolidatedEventList!#REF!,"AAAAADu//3s=")</f>
        <v>#REF!</v>
      </c>
      <c r="DU70" t="e">
        <f>AND(ConsolidatedEventList!#REF!,"AAAAADu//3w=")</f>
        <v>#REF!</v>
      </c>
      <c r="DV70" t="e">
        <f>AND(ConsolidatedEventList!#REF!,"AAAAADu//30=")</f>
        <v>#REF!</v>
      </c>
      <c r="DW70" t="e">
        <f>AND(ConsolidatedEventList!#REF!,"AAAAADu//34=")</f>
        <v>#REF!</v>
      </c>
      <c r="DX70" t="e">
        <f>AND(ConsolidatedEventList!#REF!,"AAAAADu//38=")</f>
        <v>#REF!</v>
      </c>
      <c r="DY70" t="e">
        <f>AND(ConsolidatedEventList!#REF!,"AAAAADu//4A=")</f>
        <v>#REF!</v>
      </c>
      <c r="DZ70" t="e">
        <f>AND(ConsolidatedEventList!#REF!,"AAAAADu//4E=")</f>
        <v>#REF!</v>
      </c>
      <c r="EA70" t="e">
        <f>IF(ConsolidatedEventList!#REF!,"AAAAADu//4I=",0)</f>
        <v>#REF!</v>
      </c>
      <c r="EB70" t="e">
        <f>AND(ConsolidatedEventList!#REF!,"AAAAADu//4M=")</f>
        <v>#REF!</v>
      </c>
      <c r="EC70" t="e">
        <f>AND(ConsolidatedEventList!#REF!,"AAAAADu//4Q=")</f>
        <v>#REF!</v>
      </c>
      <c r="ED70" t="e">
        <f>AND(ConsolidatedEventList!#REF!,"AAAAADu//4U=")</f>
        <v>#REF!</v>
      </c>
      <c r="EE70" t="e">
        <f>AND(ConsolidatedEventList!#REF!,"AAAAADu//4Y=")</f>
        <v>#REF!</v>
      </c>
      <c r="EF70" t="e">
        <f>AND(ConsolidatedEventList!#REF!,"AAAAADu//4c=")</f>
        <v>#REF!</v>
      </c>
      <c r="EG70" t="e">
        <f>AND(ConsolidatedEventList!#REF!,"AAAAADu//4g=")</f>
        <v>#REF!</v>
      </c>
      <c r="EH70" t="e">
        <f>AND(ConsolidatedEventList!#REF!,"AAAAADu//4k=")</f>
        <v>#REF!</v>
      </c>
      <c r="EI70" t="e">
        <f>AND(ConsolidatedEventList!#REF!,"AAAAADu//4o=")</f>
        <v>#REF!</v>
      </c>
      <c r="EJ70" t="e">
        <f>IF(ConsolidatedEventList!#REF!,"AAAAADu//4s=",0)</f>
        <v>#REF!</v>
      </c>
      <c r="EK70" t="e">
        <f>AND(ConsolidatedEventList!#REF!,"AAAAADu//4w=")</f>
        <v>#REF!</v>
      </c>
      <c r="EL70" t="e">
        <f>AND(ConsolidatedEventList!#REF!,"AAAAADu//40=")</f>
        <v>#REF!</v>
      </c>
      <c r="EM70" t="e">
        <f>AND(ConsolidatedEventList!#REF!,"AAAAADu//44=")</f>
        <v>#REF!</v>
      </c>
      <c r="EN70" t="e">
        <f>AND(ConsolidatedEventList!#REF!,"AAAAADu//48=")</f>
        <v>#REF!</v>
      </c>
      <c r="EO70" t="e">
        <f>AND(ConsolidatedEventList!#REF!,"AAAAADu//5A=")</f>
        <v>#REF!</v>
      </c>
      <c r="EP70" t="e">
        <f>AND(ConsolidatedEventList!#REF!,"AAAAADu//5E=")</f>
        <v>#REF!</v>
      </c>
      <c r="EQ70" t="e">
        <f>AND(ConsolidatedEventList!#REF!,"AAAAADu//5I=")</f>
        <v>#REF!</v>
      </c>
      <c r="ER70" t="e">
        <f>AND(ConsolidatedEventList!#REF!,"AAAAADu//5M=")</f>
        <v>#REF!</v>
      </c>
      <c r="ES70" t="e">
        <f>IF(ConsolidatedEventList!#REF!,"AAAAADu//5Q=",0)</f>
        <v>#REF!</v>
      </c>
      <c r="ET70" t="e">
        <f>AND(ConsolidatedEventList!#REF!,"AAAAADu//5U=")</f>
        <v>#REF!</v>
      </c>
      <c r="EU70" t="e">
        <f>AND(ConsolidatedEventList!#REF!,"AAAAADu//5Y=")</f>
        <v>#REF!</v>
      </c>
      <c r="EV70" t="e">
        <f>AND(ConsolidatedEventList!#REF!,"AAAAADu//5c=")</f>
        <v>#REF!</v>
      </c>
      <c r="EW70" t="e">
        <f>AND(ConsolidatedEventList!#REF!,"AAAAADu//5g=")</f>
        <v>#REF!</v>
      </c>
      <c r="EX70" t="e">
        <f>AND(ConsolidatedEventList!#REF!,"AAAAADu//5k=")</f>
        <v>#REF!</v>
      </c>
      <c r="EY70" t="e">
        <f>AND(ConsolidatedEventList!#REF!,"AAAAADu//5o=")</f>
        <v>#REF!</v>
      </c>
      <c r="EZ70" t="e">
        <f>AND(ConsolidatedEventList!#REF!,"AAAAADu//5s=")</f>
        <v>#REF!</v>
      </c>
      <c r="FA70" t="e">
        <f>AND(ConsolidatedEventList!#REF!,"AAAAADu//5w=")</f>
        <v>#REF!</v>
      </c>
      <c r="FB70" t="e">
        <f>IF(ConsolidatedEventList!#REF!,"AAAAADu//50=",0)</f>
        <v>#REF!</v>
      </c>
      <c r="FC70" t="e">
        <f>AND(ConsolidatedEventList!#REF!,"AAAAADu//54=")</f>
        <v>#REF!</v>
      </c>
      <c r="FD70" t="e">
        <f>AND(ConsolidatedEventList!#REF!,"AAAAADu//58=")</f>
        <v>#REF!</v>
      </c>
      <c r="FE70" t="e">
        <f>AND(ConsolidatedEventList!#REF!,"AAAAADu//6A=")</f>
        <v>#REF!</v>
      </c>
      <c r="FF70" t="e">
        <f>AND(ConsolidatedEventList!#REF!,"AAAAADu//6E=")</f>
        <v>#REF!</v>
      </c>
      <c r="FG70" t="e">
        <f>AND(ConsolidatedEventList!#REF!,"AAAAADu//6I=")</f>
        <v>#REF!</v>
      </c>
      <c r="FH70" t="e">
        <f>AND(ConsolidatedEventList!#REF!,"AAAAADu//6M=")</f>
        <v>#REF!</v>
      </c>
      <c r="FI70" t="e">
        <f>AND(ConsolidatedEventList!#REF!,"AAAAADu//6Q=")</f>
        <v>#REF!</v>
      </c>
      <c r="FJ70" t="e">
        <f>AND(ConsolidatedEventList!#REF!,"AAAAADu//6U=")</f>
        <v>#REF!</v>
      </c>
      <c r="FK70" t="e">
        <f>IF(ConsolidatedEventList!#REF!,"AAAAADu//6Y=",0)</f>
        <v>#REF!</v>
      </c>
      <c r="FL70" t="e">
        <f>AND(ConsolidatedEventList!#REF!,"AAAAADu//6c=")</f>
        <v>#REF!</v>
      </c>
      <c r="FM70" t="e">
        <f>AND(ConsolidatedEventList!#REF!,"AAAAADu//6g=")</f>
        <v>#REF!</v>
      </c>
      <c r="FN70" t="e">
        <f>AND(ConsolidatedEventList!#REF!,"AAAAADu//6k=")</f>
        <v>#REF!</v>
      </c>
      <c r="FO70" t="e">
        <f>AND(ConsolidatedEventList!#REF!,"AAAAADu//6o=")</f>
        <v>#REF!</v>
      </c>
      <c r="FP70" t="e">
        <f>AND(ConsolidatedEventList!#REF!,"AAAAADu//6s=")</f>
        <v>#REF!</v>
      </c>
      <c r="FQ70" t="e">
        <f>AND(ConsolidatedEventList!#REF!,"AAAAADu//6w=")</f>
        <v>#REF!</v>
      </c>
      <c r="FR70" t="e">
        <f>AND(ConsolidatedEventList!#REF!,"AAAAADu//60=")</f>
        <v>#REF!</v>
      </c>
      <c r="FS70" t="e">
        <f>AND(ConsolidatedEventList!#REF!,"AAAAADu//64=")</f>
        <v>#REF!</v>
      </c>
      <c r="FT70" t="e">
        <f>IF(ConsolidatedEventList!#REF!,"AAAAADu//68=",0)</f>
        <v>#REF!</v>
      </c>
      <c r="FU70" t="e">
        <f>AND(ConsolidatedEventList!#REF!,"AAAAADu//7A=")</f>
        <v>#REF!</v>
      </c>
      <c r="FV70" t="e">
        <f>AND(ConsolidatedEventList!#REF!,"AAAAADu//7E=")</f>
        <v>#REF!</v>
      </c>
      <c r="FW70" t="e">
        <f>AND(ConsolidatedEventList!#REF!,"AAAAADu//7I=")</f>
        <v>#REF!</v>
      </c>
      <c r="FX70" t="e">
        <f>AND(ConsolidatedEventList!#REF!,"AAAAADu//7M=")</f>
        <v>#REF!</v>
      </c>
      <c r="FY70" t="e">
        <f>AND(ConsolidatedEventList!#REF!,"AAAAADu//7Q=")</f>
        <v>#REF!</v>
      </c>
      <c r="FZ70" t="e">
        <f>AND(ConsolidatedEventList!#REF!,"AAAAADu//7U=")</f>
        <v>#REF!</v>
      </c>
      <c r="GA70" t="e">
        <f>AND(ConsolidatedEventList!#REF!,"AAAAADu//7Y=")</f>
        <v>#REF!</v>
      </c>
      <c r="GB70" t="e">
        <f>AND(ConsolidatedEventList!#REF!,"AAAAADu//7c=")</f>
        <v>#REF!</v>
      </c>
      <c r="GC70" t="e">
        <f>IF(ConsolidatedEventList!#REF!,"AAAAADu//7g=",0)</f>
        <v>#REF!</v>
      </c>
      <c r="GD70" t="e">
        <f>AND(ConsolidatedEventList!#REF!,"AAAAADu//7k=")</f>
        <v>#REF!</v>
      </c>
      <c r="GE70" t="e">
        <f>AND(ConsolidatedEventList!#REF!,"AAAAADu//7o=")</f>
        <v>#REF!</v>
      </c>
      <c r="GF70" t="e">
        <f>AND(ConsolidatedEventList!#REF!,"AAAAADu//7s=")</f>
        <v>#REF!</v>
      </c>
      <c r="GG70" t="e">
        <f>AND(ConsolidatedEventList!#REF!,"AAAAADu//7w=")</f>
        <v>#REF!</v>
      </c>
      <c r="GH70" t="e">
        <f>AND(ConsolidatedEventList!#REF!,"AAAAADu//70=")</f>
        <v>#REF!</v>
      </c>
      <c r="GI70" t="e">
        <f>AND(ConsolidatedEventList!#REF!,"AAAAADu//74=")</f>
        <v>#REF!</v>
      </c>
      <c r="GJ70" t="e">
        <f>AND(ConsolidatedEventList!#REF!,"AAAAADu//78=")</f>
        <v>#REF!</v>
      </c>
      <c r="GK70" t="e">
        <f>AND(ConsolidatedEventList!#REF!,"AAAAADu//8A=")</f>
        <v>#REF!</v>
      </c>
      <c r="GL70" t="e">
        <f>IF(ConsolidatedEventList!#REF!,"AAAAADu//8E=",0)</f>
        <v>#REF!</v>
      </c>
      <c r="GM70" t="e">
        <f>AND(ConsolidatedEventList!#REF!,"AAAAADu//8I=")</f>
        <v>#REF!</v>
      </c>
      <c r="GN70" t="e">
        <f>AND(ConsolidatedEventList!#REF!,"AAAAADu//8M=")</f>
        <v>#REF!</v>
      </c>
      <c r="GO70" t="e">
        <f>AND(ConsolidatedEventList!#REF!,"AAAAADu//8Q=")</f>
        <v>#REF!</v>
      </c>
      <c r="GP70" t="e">
        <f>AND(ConsolidatedEventList!#REF!,"AAAAADu//8U=")</f>
        <v>#REF!</v>
      </c>
      <c r="GQ70" t="e">
        <f>AND(ConsolidatedEventList!#REF!,"AAAAADu//8Y=")</f>
        <v>#REF!</v>
      </c>
      <c r="GR70" t="e">
        <f>AND(ConsolidatedEventList!#REF!,"AAAAADu//8c=")</f>
        <v>#REF!</v>
      </c>
      <c r="GS70" t="e">
        <f>AND(ConsolidatedEventList!#REF!,"AAAAADu//8g=")</f>
        <v>#REF!</v>
      </c>
      <c r="GT70" t="e">
        <f>AND(ConsolidatedEventList!#REF!,"AAAAADu//8k=")</f>
        <v>#REF!</v>
      </c>
      <c r="GU70" t="e">
        <f>IF(ConsolidatedEventList!#REF!,"AAAAADu//8o=",0)</f>
        <v>#REF!</v>
      </c>
      <c r="GV70" t="e">
        <f>AND(ConsolidatedEventList!#REF!,"AAAAADu//8s=")</f>
        <v>#REF!</v>
      </c>
      <c r="GW70" t="e">
        <f>AND(ConsolidatedEventList!#REF!,"AAAAADu//8w=")</f>
        <v>#REF!</v>
      </c>
      <c r="GX70" t="e">
        <f>AND(ConsolidatedEventList!#REF!,"AAAAADu//80=")</f>
        <v>#REF!</v>
      </c>
      <c r="GY70" t="e">
        <f>AND(ConsolidatedEventList!#REF!,"AAAAADu//84=")</f>
        <v>#REF!</v>
      </c>
      <c r="GZ70" t="e">
        <f>AND(ConsolidatedEventList!#REF!,"AAAAADu//88=")</f>
        <v>#REF!</v>
      </c>
      <c r="HA70" t="e">
        <f>AND(ConsolidatedEventList!#REF!,"AAAAADu//9A=")</f>
        <v>#REF!</v>
      </c>
      <c r="HB70" t="e">
        <f>AND(ConsolidatedEventList!#REF!,"AAAAADu//9E=")</f>
        <v>#REF!</v>
      </c>
      <c r="HC70" t="e">
        <f>AND(ConsolidatedEventList!#REF!,"AAAAADu//9I=")</f>
        <v>#REF!</v>
      </c>
      <c r="HD70" t="e">
        <f>IF(ConsolidatedEventList!#REF!,"AAAAADu//9M=",0)</f>
        <v>#REF!</v>
      </c>
      <c r="HE70" t="e">
        <f>AND(ConsolidatedEventList!#REF!,"AAAAADu//9Q=")</f>
        <v>#REF!</v>
      </c>
      <c r="HF70" t="e">
        <f>AND(ConsolidatedEventList!#REF!,"AAAAADu//9U=")</f>
        <v>#REF!</v>
      </c>
      <c r="HG70" t="e">
        <f>AND(ConsolidatedEventList!#REF!,"AAAAADu//9Y=")</f>
        <v>#REF!</v>
      </c>
      <c r="HH70" t="e">
        <f>AND(ConsolidatedEventList!#REF!,"AAAAADu//9c=")</f>
        <v>#REF!</v>
      </c>
      <c r="HI70" t="e">
        <f>AND(ConsolidatedEventList!#REF!,"AAAAADu//9g=")</f>
        <v>#REF!</v>
      </c>
      <c r="HJ70" t="e">
        <f>AND(ConsolidatedEventList!#REF!,"AAAAADu//9k=")</f>
        <v>#REF!</v>
      </c>
      <c r="HK70" t="e">
        <f>AND(ConsolidatedEventList!#REF!,"AAAAADu//9o=")</f>
        <v>#REF!</v>
      </c>
      <c r="HL70" t="e">
        <f>AND(ConsolidatedEventList!#REF!,"AAAAADu//9s=")</f>
        <v>#REF!</v>
      </c>
      <c r="HM70" t="e">
        <f>IF(ConsolidatedEventList!#REF!,"AAAAADu//9w=",0)</f>
        <v>#REF!</v>
      </c>
      <c r="HN70" t="e">
        <f>AND(ConsolidatedEventList!#REF!,"AAAAADu//90=")</f>
        <v>#REF!</v>
      </c>
      <c r="HO70" t="e">
        <f>AND(ConsolidatedEventList!#REF!,"AAAAADu//94=")</f>
        <v>#REF!</v>
      </c>
      <c r="HP70" t="e">
        <f>AND(ConsolidatedEventList!#REF!,"AAAAADu//98=")</f>
        <v>#REF!</v>
      </c>
      <c r="HQ70" t="e">
        <f>AND(ConsolidatedEventList!#REF!,"AAAAADu//+A=")</f>
        <v>#REF!</v>
      </c>
      <c r="HR70" t="e">
        <f>AND(ConsolidatedEventList!#REF!,"AAAAADu//+E=")</f>
        <v>#REF!</v>
      </c>
      <c r="HS70" t="e">
        <f>AND(ConsolidatedEventList!#REF!,"AAAAADu//+I=")</f>
        <v>#REF!</v>
      </c>
      <c r="HT70" t="e">
        <f>AND(ConsolidatedEventList!#REF!,"AAAAADu//+M=")</f>
        <v>#REF!</v>
      </c>
      <c r="HU70" t="e">
        <f>AND(ConsolidatedEventList!#REF!,"AAAAADu//+Q=")</f>
        <v>#REF!</v>
      </c>
      <c r="HV70" t="e">
        <f>IF(ConsolidatedEventList!#REF!,"AAAAADu//+U=",0)</f>
        <v>#REF!</v>
      </c>
      <c r="HW70" t="e">
        <f>AND(ConsolidatedEventList!#REF!,"AAAAADu//+Y=")</f>
        <v>#REF!</v>
      </c>
      <c r="HX70" t="e">
        <f>AND(ConsolidatedEventList!#REF!,"AAAAADu//+c=")</f>
        <v>#REF!</v>
      </c>
      <c r="HY70" t="e">
        <f>AND(ConsolidatedEventList!#REF!,"AAAAADu//+g=")</f>
        <v>#REF!</v>
      </c>
      <c r="HZ70" t="e">
        <f>AND(ConsolidatedEventList!#REF!,"AAAAADu//+k=")</f>
        <v>#REF!</v>
      </c>
      <c r="IA70" t="e">
        <f>AND(ConsolidatedEventList!#REF!,"AAAAADu//+o=")</f>
        <v>#REF!</v>
      </c>
      <c r="IB70" t="e">
        <f>AND(ConsolidatedEventList!#REF!,"AAAAADu//+s=")</f>
        <v>#REF!</v>
      </c>
      <c r="IC70" t="e">
        <f>AND(ConsolidatedEventList!#REF!,"AAAAADu//+w=")</f>
        <v>#REF!</v>
      </c>
      <c r="ID70" t="e">
        <f>AND(ConsolidatedEventList!#REF!,"AAAAADu//+0=")</f>
        <v>#REF!</v>
      </c>
      <c r="IE70" t="e">
        <f>IF(ConsolidatedEventList!#REF!,"AAAAADu//+4=",0)</f>
        <v>#REF!</v>
      </c>
      <c r="IF70" t="e">
        <f>AND(ConsolidatedEventList!#REF!,"AAAAADu//+8=")</f>
        <v>#REF!</v>
      </c>
      <c r="IG70" t="e">
        <f>AND(ConsolidatedEventList!#REF!,"AAAAADu///A=")</f>
        <v>#REF!</v>
      </c>
      <c r="IH70" t="e">
        <f>AND(ConsolidatedEventList!#REF!,"AAAAADu///E=")</f>
        <v>#REF!</v>
      </c>
      <c r="II70" t="e">
        <f>AND(ConsolidatedEventList!#REF!,"AAAAADu///I=")</f>
        <v>#REF!</v>
      </c>
      <c r="IJ70" t="e">
        <f>AND(ConsolidatedEventList!#REF!,"AAAAADu///M=")</f>
        <v>#REF!</v>
      </c>
      <c r="IK70" t="e">
        <f>AND(ConsolidatedEventList!#REF!,"AAAAADu///Q=")</f>
        <v>#REF!</v>
      </c>
      <c r="IL70" t="e">
        <f>AND(ConsolidatedEventList!#REF!,"AAAAADu///U=")</f>
        <v>#REF!</v>
      </c>
      <c r="IM70" t="e">
        <f>AND(ConsolidatedEventList!#REF!,"AAAAADu///Y=")</f>
        <v>#REF!</v>
      </c>
      <c r="IN70" t="e">
        <f>IF(ConsolidatedEventList!#REF!,"AAAAADu///c=",0)</f>
        <v>#REF!</v>
      </c>
      <c r="IO70" t="e">
        <f>AND(ConsolidatedEventList!#REF!,"AAAAADu///g=")</f>
        <v>#REF!</v>
      </c>
      <c r="IP70" t="e">
        <f>AND(ConsolidatedEventList!#REF!,"AAAAADu///k=")</f>
        <v>#REF!</v>
      </c>
      <c r="IQ70" t="e">
        <f>AND(ConsolidatedEventList!#REF!,"AAAAADu///o=")</f>
        <v>#REF!</v>
      </c>
      <c r="IR70" t="e">
        <f>AND(ConsolidatedEventList!#REF!,"AAAAADu///s=")</f>
        <v>#REF!</v>
      </c>
      <c r="IS70" t="e">
        <f>AND(ConsolidatedEventList!#REF!,"AAAAADu///w=")</f>
        <v>#REF!</v>
      </c>
      <c r="IT70" t="e">
        <f>AND(ConsolidatedEventList!#REF!,"AAAAADu///0=")</f>
        <v>#REF!</v>
      </c>
      <c r="IU70" t="e">
        <f>AND(ConsolidatedEventList!#REF!,"AAAAADu///4=")</f>
        <v>#REF!</v>
      </c>
      <c r="IV70" t="e">
        <f>AND(ConsolidatedEventList!#REF!,"AAAAADu///8=")</f>
        <v>#REF!</v>
      </c>
    </row>
    <row r="71" spans="1:256" x14ac:dyDescent="0.25">
      <c r="A71" t="e">
        <f>IF(ConsolidatedEventList!#REF!,"AAAAAH//hgA=",0)</f>
        <v>#REF!</v>
      </c>
      <c r="B71" t="e">
        <f>AND(ConsolidatedEventList!#REF!,"AAAAAH//hgE=")</f>
        <v>#REF!</v>
      </c>
      <c r="C71" t="e">
        <f>AND(ConsolidatedEventList!#REF!,"AAAAAH//hgI=")</f>
        <v>#REF!</v>
      </c>
      <c r="D71" t="e">
        <f>AND(ConsolidatedEventList!#REF!,"AAAAAH//hgM=")</f>
        <v>#REF!</v>
      </c>
      <c r="E71" t="e">
        <f>AND(ConsolidatedEventList!#REF!,"AAAAAH//hgQ=")</f>
        <v>#REF!</v>
      </c>
      <c r="F71" t="e">
        <f>AND(ConsolidatedEventList!#REF!,"AAAAAH//hgU=")</f>
        <v>#REF!</v>
      </c>
      <c r="G71" t="e">
        <f>AND(ConsolidatedEventList!#REF!,"AAAAAH//hgY=")</f>
        <v>#REF!</v>
      </c>
      <c r="H71" t="e">
        <f>AND(ConsolidatedEventList!#REF!,"AAAAAH//hgc=")</f>
        <v>#REF!</v>
      </c>
      <c r="I71" t="e">
        <f>AND(ConsolidatedEventList!#REF!,"AAAAAH//hgg=")</f>
        <v>#REF!</v>
      </c>
      <c r="J71" t="e">
        <f>IF(ConsolidatedEventList!#REF!,"AAAAAH//hgk=",0)</f>
        <v>#REF!</v>
      </c>
      <c r="K71" t="e">
        <f>AND(ConsolidatedEventList!#REF!,"AAAAAH//hgo=")</f>
        <v>#REF!</v>
      </c>
      <c r="L71" t="e">
        <f>AND(ConsolidatedEventList!#REF!,"AAAAAH//hgs=")</f>
        <v>#REF!</v>
      </c>
      <c r="M71" t="e">
        <f>AND(ConsolidatedEventList!#REF!,"AAAAAH//hgw=")</f>
        <v>#REF!</v>
      </c>
      <c r="N71" t="e">
        <f>AND(ConsolidatedEventList!#REF!,"AAAAAH//hg0=")</f>
        <v>#REF!</v>
      </c>
      <c r="O71" t="e">
        <f>AND(ConsolidatedEventList!#REF!,"AAAAAH//hg4=")</f>
        <v>#REF!</v>
      </c>
      <c r="P71" t="e">
        <f>AND(ConsolidatedEventList!#REF!,"AAAAAH//hg8=")</f>
        <v>#REF!</v>
      </c>
      <c r="Q71" t="e">
        <f>AND(ConsolidatedEventList!#REF!,"AAAAAH//hhA=")</f>
        <v>#REF!</v>
      </c>
      <c r="R71" t="e">
        <f>AND(ConsolidatedEventList!#REF!,"AAAAAH//hhE=")</f>
        <v>#REF!</v>
      </c>
      <c r="S71" t="e">
        <f>IF(ConsolidatedEventList!#REF!,"AAAAAH//hhI=",0)</f>
        <v>#REF!</v>
      </c>
      <c r="T71" t="e">
        <f>AND(ConsolidatedEventList!#REF!,"AAAAAH//hhM=")</f>
        <v>#REF!</v>
      </c>
      <c r="U71" t="e">
        <f>AND(ConsolidatedEventList!#REF!,"AAAAAH//hhQ=")</f>
        <v>#REF!</v>
      </c>
      <c r="V71" t="e">
        <f>AND(ConsolidatedEventList!#REF!,"AAAAAH//hhU=")</f>
        <v>#REF!</v>
      </c>
      <c r="W71" t="e">
        <f>AND(ConsolidatedEventList!#REF!,"AAAAAH//hhY=")</f>
        <v>#REF!</v>
      </c>
      <c r="X71" t="e">
        <f>AND(ConsolidatedEventList!#REF!,"AAAAAH//hhc=")</f>
        <v>#REF!</v>
      </c>
      <c r="Y71" t="e">
        <f>AND(ConsolidatedEventList!#REF!,"AAAAAH//hhg=")</f>
        <v>#REF!</v>
      </c>
      <c r="Z71" t="e">
        <f>AND(ConsolidatedEventList!#REF!,"AAAAAH//hhk=")</f>
        <v>#REF!</v>
      </c>
      <c r="AA71" t="e">
        <f>AND(ConsolidatedEventList!#REF!,"AAAAAH//hho=")</f>
        <v>#REF!</v>
      </c>
      <c r="AB71" t="e">
        <f>IF(ConsolidatedEventList!#REF!,"AAAAAH//hhs=",0)</f>
        <v>#REF!</v>
      </c>
      <c r="AC71" t="e">
        <f>AND(ConsolidatedEventList!#REF!,"AAAAAH//hhw=")</f>
        <v>#REF!</v>
      </c>
      <c r="AD71" t="e">
        <f>AND(ConsolidatedEventList!#REF!,"AAAAAH//hh0=")</f>
        <v>#REF!</v>
      </c>
      <c r="AE71" t="e">
        <f>AND(ConsolidatedEventList!#REF!,"AAAAAH//hh4=")</f>
        <v>#REF!</v>
      </c>
      <c r="AF71" t="e">
        <f>AND(ConsolidatedEventList!#REF!,"AAAAAH//hh8=")</f>
        <v>#REF!</v>
      </c>
      <c r="AG71" t="e">
        <f>AND(ConsolidatedEventList!#REF!,"AAAAAH//hiA=")</f>
        <v>#REF!</v>
      </c>
      <c r="AH71" t="e">
        <f>AND(ConsolidatedEventList!#REF!,"AAAAAH//hiE=")</f>
        <v>#REF!</v>
      </c>
      <c r="AI71" t="e">
        <f>AND(ConsolidatedEventList!#REF!,"AAAAAH//hiI=")</f>
        <v>#REF!</v>
      </c>
      <c r="AJ71" t="e">
        <f>AND(ConsolidatedEventList!#REF!,"AAAAAH//hiM=")</f>
        <v>#REF!</v>
      </c>
      <c r="AK71" t="e">
        <f>IF(ConsolidatedEventList!#REF!,"AAAAAH//hiQ=",0)</f>
        <v>#REF!</v>
      </c>
      <c r="AL71" t="e">
        <f>AND(ConsolidatedEventList!#REF!,"AAAAAH//hiU=")</f>
        <v>#REF!</v>
      </c>
      <c r="AM71" t="e">
        <f>AND(ConsolidatedEventList!#REF!,"AAAAAH//hiY=")</f>
        <v>#REF!</v>
      </c>
      <c r="AN71" t="e">
        <f>AND(ConsolidatedEventList!#REF!,"AAAAAH//hic=")</f>
        <v>#REF!</v>
      </c>
      <c r="AO71" t="e">
        <f>AND(ConsolidatedEventList!#REF!,"AAAAAH//hig=")</f>
        <v>#REF!</v>
      </c>
      <c r="AP71" t="e">
        <f>AND(ConsolidatedEventList!#REF!,"AAAAAH//hik=")</f>
        <v>#REF!</v>
      </c>
      <c r="AQ71" t="e">
        <f>AND(ConsolidatedEventList!#REF!,"AAAAAH//hio=")</f>
        <v>#REF!</v>
      </c>
      <c r="AR71" t="e">
        <f>AND(ConsolidatedEventList!#REF!,"AAAAAH//his=")</f>
        <v>#REF!</v>
      </c>
      <c r="AS71" t="e">
        <f>AND(ConsolidatedEventList!#REF!,"AAAAAH//hiw=")</f>
        <v>#REF!</v>
      </c>
      <c r="AT71" t="e">
        <f>IF(ConsolidatedEventList!#REF!,"AAAAAH//hi0=",0)</f>
        <v>#REF!</v>
      </c>
      <c r="AU71" t="e">
        <f>AND(ConsolidatedEventList!#REF!,"AAAAAH//hi4=")</f>
        <v>#REF!</v>
      </c>
      <c r="AV71" t="e">
        <f>AND(ConsolidatedEventList!#REF!,"AAAAAH//hi8=")</f>
        <v>#REF!</v>
      </c>
      <c r="AW71" t="e">
        <f>AND(ConsolidatedEventList!#REF!,"AAAAAH//hjA=")</f>
        <v>#REF!</v>
      </c>
      <c r="AX71" t="e">
        <f>AND(ConsolidatedEventList!#REF!,"AAAAAH//hjE=")</f>
        <v>#REF!</v>
      </c>
      <c r="AY71" t="e">
        <f>AND(ConsolidatedEventList!#REF!,"AAAAAH//hjI=")</f>
        <v>#REF!</v>
      </c>
      <c r="AZ71" t="e">
        <f>AND(ConsolidatedEventList!#REF!,"AAAAAH//hjM=")</f>
        <v>#REF!</v>
      </c>
      <c r="BA71" t="e">
        <f>AND(ConsolidatedEventList!#REF!,"AAAAAH//hjQ=")</f>
        <v>#REF!</v>
      </c>
      <c r="BB71" t="e">
        <f>AND(ConsolidatedEventList!#REF!,"AAAAAH//hjU=")</f>
        <v>#REF!</v>
      </c>
      <c r="BC71" t="e">
        <f>IF(ConsolidatedEventList!#REF!,"AAAAAH//hjY=",0)</f>
        <v>#REF!</v>
      </c>
      <c r="BD71" t="e">
        <f>AND(ConsolidatedEventList!#REF!,"AAAAAH//hjc=")</f>
        <v>#REF!</v>
      </c>
      <c r="BE71" t="e">
        <f>AND(ConsolidatedEventList!#REF!,"AAAAAH//hjg=")</f>
        <v>#REF!</v>
      </c>
      <c r="BF71" t="e">
        <f>AND(ConsolidatedEventList!#REF!,"AAAAAH//hjk=")</f>
        <v>#REF!</v>
      </c>
      <c r="BG71" t="e">
        <f>AND(ConsolidatedEventList!#REF!,"AAAAAH//hjo=")</f>
        <v>#REF!</v>
      </c>
      <c r="BH71" t="e">
        <f>AND(ConsolidatedEventList!#REF!,"AAAAAH//hjs=")</f>
        <v>#REF!</v>
      </c>
      <c r="BI71" t="e">
        <f>AND(ConsolidatedEventList!#REF!,"AAAAAH//hjw=")</f>
        <v>#REF!</v>
      </c>
      <c r="BJ71" t="e">
        <f>AND(ConsolidatedEventList!#REF!,"AAAAAH//hj0=")</f>
        <v>#REF!</v>
      </c>
      <c r="BK71" t="e">
        <f>AND(ConsolidatedEventList!#REF!,"AAAAAH//hj4=")</f>
        <v>#REF!</v>
      </c>
      <c r="BL71" t="e">
        <f>IF(ConsolidatedEventList!#REF!,"AAAAAH//hj8=",0)</f>
        <v>#REF!</v>
      </c>
      <c r="BM71" t="e">
        <f>AND(ConsolidatedEventList!#REF!,"AAAAAH//hkA=")</f>
        <v>#REF!</v>
      </c>
      <c r="BN71" t="e">
        <f>AND(ConsolidatedEventList!#REF!,"AAAAAH//hkE=")</f>
        <v>#REF!</v>
      </c>
      <c r="BO71" t="e">
        <f>AND(ConsolidatedEventList!#REF!,"AAAAAH//hkI=")</f>
        <v>#REF!</v>
      </c>
      <c r="BP71" t="e">
        <f>AND(ConsolidatedEventList!#REF!,"AAAAAH//hkM=")</f>
        <v>#REF!</v>
      </c>
      <c r="BQ71" t="e">
        <f>AND(ConsolidatedEventList!#REF!,"AAAAAH//hkQ=")</f>
        <v>#REF!</v>
      </c>
      <c r="BR71" t="e">
        <f>AND(ConsolidatedEventList!#REF!,"AAAAAH//hkU=")</f>
        <v>#REF!</v>
      </c>
      <c r="BS71" t="e">
        <f>AND(ConsolidatedEventList!#REF!,"AAAAAH//hkY=")</f>
        <v>#REF!</v>
      </c>
      <c r="BT71" t="e">
        <f>AND(ConsolidatedEventList!#REF!,"AAAAAH//hkc=")</f>
        <v>#REF!</v>
      </c>
      <c r="BU71" t="e">
        <f>IF(ConsolidatedEventList!#REF!,"AAAAAH//hkg=",0)</f>
        <v>#REF!</v>
      </c>
      <c r="BV71" t="e">
        <f>AND(ConsolidatedEventList!#REF!,"AAAAAH//hkk=")</f>
        <v>#REF!</v>
      </c>
      <c r="BW71" t="e">
        <f>AND(ConsolidatedEventList!#REF!,"AAAAAH//hko=")</f>
        <v>#REF!</v>
      </c>
      <c r="BX71" t="e">
        <f>AND(ConsolidatedEventList!#REF!,"AAAAAH//hks=")</f>
        <v>#REF!</v>
      </c>
      <c r="BY71" t="e">
        <f>AND(ConsolidatedEventList!#REF!,"AAAAAH//hkw=")</f>
        <v>#REF!</v>
      </c>
      <c r="BZ71" t="e">
        <f>AND(ConsolidatedEventList!#REF!,"AAAAAH//hk0=")</f>
        <v>#REF!</v>
      </c>
      <c r="CA71" t="e">
        <f>AND(ConsolidatedEventList!#REF!,"AAAAAH//hk4=")</f>
        <v>#REF!</v>
      </c>
      <c r="CB71" t="e">
        <f>AND(ConsolidatedEventList!#REF!,"AAAAAH//hk8=")</f>
        <v>#REF!</v>
      </c>
      <c r="CC71" t="e">
        <f>AND(ConsolidatedEventList!#REF!,"AAAAAH//hlA=")</f>
        <v>#REF!</v>
      </c>
      <c r="CD71" t="e">
        <f>IF(ConsolidatedEventList!#REF!,"AAAAAH//hlE=",0)</f>
        <v>#REF!</v>
      </c>
      <c r="CE71" t="e">
        <f>AND(ConsolidatedEventList!#REF!,"AAAAAH//hlI=")</f>
        <v>#REF!</v>
      </c>
      <c r="CF71" t="e">
        <f>AND(ConsolidatedEventList!#REF!,"AAAAAH//hlM=")</f>
        <v>#REF!</v>
      </c>
      <c r="CG71" t="e">
        <f>AND(ConsolidatedEventList!#REF!,"AAAAAH//hlQ=")</f>
        <v>#REF!</v>
      </c>
      <c r="CH71" t="e">
        <f>AND(ConsolidatedEventList!#REF!,"AAAAAH//hlU=")</f>
        <v>#REF!</v>
      </c>
      <c r="CI71" t="e">
        <f>AND(ConsolidatedEventList!#REF!,"AAAAAH//hlY=")</f>
        <v>#REF!</v>
      </c>
      <c r="CJ71" t="e">
        <f>AND(ConsolidatedEventList!#REF!,"AAAAAH//hlc=")</f>
        <v>#REF!</v>
      </c>
      <c r="CK71" t="e">
        <f>AND(ConsolidatedEventList!#REF!,"AAAAAH//hlg=")</f>
        <v>#REF!</v>
      </c>
      <c r="CL71" t="e">
        <f>AND(ConsolidatedEventList!#REF!,"AAAAAH//hlk=")</f>
        <v>#REF!</v>
      </c>
      <c r="CM71" t="e">
        <f>IF(ConsolidatedEventList!#REF!,"AAAAAH//hlo=",0)</f>
        <v>#REF!</v>
      </c>
      <c r="CN71" t="e">
        <f>AND(ConsolidatedEventList!#REF!,"AAAAAH//hls=")</f>
        <v>#REF!</v>
      </c>
      <c r="CO71" t="e">
        <f>AND(ConsolidatedEventList!#REF!,"AAAAAH//hlw=")</f>
        <v>#REF!</v>
      </c>
      <c r="CP71" t="e">
        <f>AND(ConsolidatedEventList!#REF!,"AAAAAH//hl0=")</f>
        <v>#REF!</v>
      </c>
      <c r="CQ71" t="e">
        <f>AND(ConsolidatedEventList!#REF!,"AAAAAH//hl4=")</f>
        <v>#REF!</v>
      </c>
      <c r="CR71" t="e">
        <f>AND(ConsolidatedEventList!#REF!,"AAAAAH//hl8=")</f>
        <v>#REF!</v>
      </c>
      <c r="CS71" t="e">
        <f>AND(ConsolidatedEventList!#REF!,"AAAAAH//hmA=")</f>
        <v>#REF!</v>
      </c>
      <c r="CT71" t="e">
        <f>AND(ConsolidatedEventList!#REF!,"AAAAAH//hmE=")</f>
        <v>#REF!</v>
      </c>
      <c r="CU71" t="e">
        <f>AND(ConsolidatedEventList!#REF!,"AAAAAH//hmI=")</f>
        <v>#REF!</v>
      </c>
      <c r="CV71" t="e">
        <f>IF(ConsolidatedEventList!#REF!,"AAAAAH//hmM=",0)</f>
        <v>#REF!</v>
      </c>
      <c r="CW71" t="e">
        <f>AND(ConsolidatedEventList!#REF!,"AAAAAH//hmQ=")</f>
        <v>#REF!</v>
      </c>
      <c r="CX71" t="e">
        <f>AND(ConsolidatedEventList!#REF!,"AAAAAH//hmU=")</f>
        <v>#REF!</v>
      </c>
      <c r="CY71" t="e">
        <f>AND(ConsolidatedEventList!#REF!,"AAAAAH//hmY=")</f>
        <v>#REF!</v>
      </c>
      <c r="CZ71" t="e">
        <f>AND(ConsolidatedEventList!#REF!,"AAAAAH//hmc=")</f>
        <v>#REF!</v>
      </c>
      <c r="DA71" t="e">
        <f>AND(ConsolidatedEventList!#REF!,"AAAAAH//hmg=")</f>
        <v>#REF!</v>
      </c>
      <c r="DB71" t="e">
        <f>AND(ConsolidatedEventList!#REF!,"AAAAAH//hmk=")</f>
        <v>#REF!</v>
      </c>
      <c r="DC71" t="e">
        <f>AND(ConsolidatedEventList!#REF!,"AAAAAH//hmo=")</f>
        <v>#REF!</v>
      </c>
      <c r="DD71" t="e">
        <f>AND(ConsolidatedEventList!#REF!,"AAAAAH//hms=")</f>
        <v>#REF!</v>
      </c>
      <c r="DE71" t="e">
        <f>IF(ConsolidatedEventList!#REF!,"AAAAAH//hmw=",0)</f>
        <v>#REF!</v>
      </c>
      <c r="DF71" t="e">
        <f>AND(ConsolidatedEventList!#REF!,"AAAAAH//hm0=")</f>
        <v>#REF!</v>
      </c>
      <c r="DG71" t="e">
        <f>AND(ConsolidatedEventList!#REF!,"AAAAAH//hm4=")</f>
        <v>#REF!</v>
      </c>
      <c r="DH71" t="e">
        <f>AND(ConsolidatedEventList!#REF!,"AAAAAH//hm8=")</f>
        <v>#REF!</v>
      </c>
      <c r="DI71" t="e">
        <f>AND(ConsolidatedEventList!#REF!,"AAAAAH//hnA=")</f>
        <v>#REF!</v>
      </c>
      <c r="DJ71" t="e">
        <f>AND(ConsolidatedEventList!#REF!,"AAAAAH//hnE=")</f>
        <v>#REF!</v>
      </c>
      <c r="DK71" t="e">
        <f>AND(ConsolidatedEventList!#REF!,"AAAAAH//hnI=")</f>
        <v>#REF!</v>
      </c>
      <c r="DL71" t="e">
        <f>AND(ConsolidatedEventList!#REF!,"AAAAAH//hnM=")</f>
        <v>#REF!</v>
      </c>
      <c r="DM71" t="e">
        <f>AND(ConsolidatedEventList!#REF!,"AAAAAH//hnQ=")</f>
        <v>#REF!</v>
      </c>
      <c r="DN71" t="e">
        <f>IF(ConsolidatedEventList!#REF!,"AAAAAH//hnU=",0)</f>
        <v>#REF!</v>
      </c>
      <c r="DO71" t="e">
        <f>AND(ConsolidatedEventList!#REF!,"AAAAAH//hnY=")</f>
        <v>#REF!</v>
      </c>
      <c r="DP71" t="e">
        <f>AND(ConsolidatedEventList!#REF!,"AAAAAH//hnc=")</f>
        <v>#REF!</v>
      </c>
      <c r="DQ71" t="e">
        <f>AND(ConsolidatedEventList!#REF!,"AAAAAH//hng=")</f>
        <v>#REF!</v>
      </c>
      <c r="DR71" t="e">
        <f>AND(ConsolidatedEventList!#REF!,"AAAAAH//hnk=")</f>
        <v>#REF!</v>
      </c>
      <c r="DS71" t="e">
        <f>AND(ConsolidatedEventList!#REF!,"AAAAAH//hno=")</f>
        <v>#REF!</v>
      </c>
      <c r="DT71" t="e">
        <f>AND(ConsolidatedEventList!#REF!,"AAAAAH//hns=")</f>
        <v>#REF!</v>
      </c>
      <c r="DU71" t="e">
        <f>AND(ConsolidatedEventList!#REF!,"AAAAAH//hnw=")</f>
        <v>#REF!</v>
      </c>
      <c r="DV71" t="e">
        <f>AND(ConsolidatedEventList!#REF!,"AAAAAH//hn0=")</f>
        <v>#REF!</v>
      </c>
      <c r="DW71" t="e">
        <f>IF(ConsolidatedEventList!#REF!,"AAAAAH//hn4=",0)</f>
        <v>#REF!</v>
      </c>
      <c r="DX71" t="e">
        <f>AND(ConsolidatedEventList!#REF!,"AAAAAH//hn8=")</f>
        <v>#REF!</v>
      </c>
      <c r="DY71" t="e">
        <f>AND(ConsolidatedEventList!#REF!,"AAAAAH//hoA=")</f>
        <v>#REF!</v>
      </c>
      <c r="DZ71" t="e">
        <f>AND(ConsolidatedEventList!#REF!,"AAAAAH//hoE=")</f>
        <v>#REF!</v>
      </c>
      <c r="EA71" t="e">
        <f>AND(ConsolidatedEventList!#REF!,"AAAAAH//hoI=")</f>
        <v>#REF!</v>
      </c>
      <c r="EB71" t="e">
        <f>AND(ConsolidatedEventList!#REF!,"AAAAAH//hoM=")</f>
        <v>#REF!</v>
      </c>
      <c r="EC71" t="e">
        <f>AND(ConsolidatedEventList!#REF!,"AAAAAH//hoQ=")</f>
        <v>#REF!</v>
      </c>
      <c r="ED71" t="e">
        <f>AND(ConsolidatedEventList!#REF!,"AAAAAH//hoU=")</f>
        <v>#REF!</v>
      </c>
      <c r="EE71" t="e">
        <f>AND(ConsolidatedEventList!#REF!,"AAAAAH//hoY=")</f>
        <v>#REF!</v>
      </c>
      <c r="EF71" t="e">
        <f>IF(ConsolidatedEventList!#REF!,"AAAAAH//hoc=",0)</f>
        <v>#REF!</v>
      </c>
      <c r="EG71" t="e">
        <f>AND(ConsolidatedEventList!#REF!,"AAAAAH//hog=")</f>
        <v>#REF!</v>
      </c>
      <c r="EH71" t="e">
        <f>AND(ConsolidatedEventList!#REF!,"AAAAAH//hok=")</f>
        <v>#REF!</v>
      </c>
      <c r="EI71" t="e">
        <f>AND(ConsolidatedEventList!#REF!,"AAAAAH//hoo=")</f>
        <v>#REF!</v>
      </c>
      <c r="EJ71" t="e">
        <f>AND(ConsolidatedEventList!#REF!,"AAAAAH//hos=")</f>
        <v>#REF!</v>
      </c>
      <c r="EK71" t="e">
        <f>AND(ConsolidatedEventList!#REF!,"AAAAAH//how=")</f>
        <v>#REF!</v>
      </c>
      <c r="EL71" t="e">
        <f>AND(ConsolidatedEventList!#REF!,"AAAAAH//ho0=")</f>
        <v>#REF!</v>
      </c>
      <c r="EM71" t="e">
        <f>AND(ConsolidatedEventList!#REF!,"AAAAAH//ho4=")</f>
        <v>#REF!</v>
      </c>
      <c r="EN71" t="e">
        <f>AND(ConsolidatedEventList!#REF!,"AAAAAH//ho8=")</f>
        <v>#REF!</v>
      </c>
      <c r="EO71" t="e">
        <f>IF(ConsolidatedEventList!#REF!,"AAAAAH//hpA=",0)</f>
        <v>#REF!</v>
      </c>
      <c r="EP71" t="e">
        <f>AND(ConsolidatedEventList!#REF!,"AAAAAH//hpE=")</f>
        <v>#REF!</v>
      </c>
      <c r="EQ71" t="e">
        <f>AND(ConsolidatedEventList!#REF!,"AAAAAH//hpI=")</f>
        <v>#REF!</v>
      </c>
      <c r="ER71" t="e">
        <f>AND(ConsolidatedEventList!#REF!,"AAAAAH//hpM=")</f>
        <v>#REF!</v>
      </c>
      <c r="ES71" t="e">
        <f>AND(ConsolidatedEventList!#REF!,"AAAAAH//hpQ=")</f>
        <v>#REF!</v>
      </c>
      <c r="ET71" t="e">
        <f>AND(ConsolidatedEventList!#REF!,"AAAAAH//hpU=")</f>
        <v>#REF!</v>
      </c>
      <c r="EU71" t="e">
        <f>AND(ConsolidatedEventList!#REF!,"AAAAAH//hpY=")</f>
        <v>#REF!</v>
      </c>
      <c r="EV71" t="e">
        <f>AND(ConsolidatedEventList!#REF!,"AAAAAH//hpc=")</f>
        <v>#REF!</v>
      </c>
      <c r="EW71" t="e">
        <f>AND(ConsolidatedEventList!#REF!,"AAAAAH//hpg=")</f>
        <v>#REF!</v>
      </c>
      <c r="EX71" t="e">
        <f>IF(ConsolidatedEventList!#REF!,"AAAAAH//hpk=",0)</f>
        <v>#REF!</v>
      </c>
      <c r="EY71" t="e">
        <f>AND(ConsolidatedEventList!#REF!,"AAAAAH//hpo=")</f>
        <v>#REF!</v>
      </c>
      <c r="EZ71" t="e">
        <f>AND(ConsolidatedEventList!#REF!,"AAAAAH//hps=")</f>
        <v>#REF!</v>
      </c>
      <c r="FA71" t="e">
        <f>AND(ConsolidatedEventList!#REF!,"AAAAAH//hpw=")</f>
        <v>#REF!</v>
      </c>
      <c r="FB71" t="e">
        <f>AND(ConsolidatedEventList!#REF!,"AAAAAH//hp0=")</f>
        <v>#REF!</v>
      </c>
      <c r="FC71" t="e">
        <f>AND(ConsolidatedEventList!#REF!,"AAAAAH//hp4=")</f>
        <v>#REF!</v>
      </c>
      <c r="FD71" t="e">
        <f>AND(ConsolidatedEventList!#REF!,"AAAAAH//hp8=")</f>
        <v>#REF!</v>
      </c>
      <c r="FE71" t="e">
        <f>AND(ConsolidatedEventList!#REF!,"AAAAAH//hqA=")</f>
        <v>#REF!</v>
      </c>
      <c r="FF71" t="e">
        <f>AND(ConsolidatedEventList!#REF!,"AAAAAH//hqE=")</f>
        <v>#REF!</v>
      </c>
      <c r="FG71" t="e">
        <f>IF(ConsolidatedEventList!#REF!,"AAAAAH//hqI=",0)</f>
        <v>#REF!</v>
      </c>
      <c r="FH71" t="e">
        <f>AND(ConsolidatedEventList!#REF!,"AAAAAH//hqM=")</f>
        <v>#REF!</v>
      </c>
      <c r="FI71" t="e">
        <f>AND(ConsolidatedEventList!#REF!,"AAAAAH//hqQ=")</f>
        <v>#REF!</v>
      </c>
      <c r="FJ71" t="e">
        <f>AND(ConsolidatedEventList!#REF!,"AAAAAH//hqU=")</f>
        <v>#REF!</v>
      </c>
      <c r="FK71" t="e">
        <f>AND(ConsolidatedEventList!#REF!,"AAAAAH//hqY=")</f>
        <v>#REF!</v>
      </c>
      <c r="FL71" t="e">
        <f>AND(ConsolidatedEventList!#REF!,"AAAAAH//hqc=")</f>
        <v>#REF!</v>
      </c>
      <c r="FM71" t="e">
        <f>AND(ConsolidatedEventList!#REF!,"AAAAAH//hqg=")</f>
        <v>#REF!</v>
      </c>
      <c r="FN71" t="e">
        <f>AND(ConsolidatedEventList!#REF!,"AAAAAH//hqk=")</f>
        <v>#REF!</v>
      </c>
      <c r="FO71" t="e">
        <f>AND(ConsolidatedEventList!#REF!,"AAAAAH//hqo=")</f>
        <v>#REF!</v>
      </c>
      <c r="FP71" t="e">
        <f>IF(ConsolidatedEventList!#REF!,"AAAAAH//hqs=",0)</f>
        <v>#REF!</v>
      </c>
      <c r="FQ71" t="e">
        <f>AND(ConsolidatedEventList!#REF!,"AAAAAH//hqw=")</f>
        <v>#REF!</v>
      </c>
      <c r="FR71" t="e">
        <f>AND(ConsolidatedEventList!#REF!,"AAAAAH//hq0=")</f>
        <v>#REF!</v>
      </c>
      <c r="FS71" t="e">
        <f>AND(ConsolidatedEventList!#REF!,"AAAAAH//hq4=")</f>
        <v>#REF!</v>
      </c>
      <c r="FT71" t="e">
        <f>AND(ConsolidatedEventList!#REF!,"AAAAAH//hq8=")</f>
        <v>#REF!</v>
      </c>
      <c r="FU71" t="e">
        <f>AND(ConsolidatedEventList!#REF!,"AAAAAH//hrA=")</f>
        <v>#REF!</v>
      </c>
      <c r="FV71" t="e">
        <f>AND(ConsolidatedEventList!#REF!,"AAAAAH//hrE=")</f>
        <v>#REF!</v>
      </c>
      <c r="FW71" t="e">
        <f>AND(ConsolidatedEventList!#REF!,"AAAAAH//hrI=")</f>
        <v>#REF!</v>
      </c>
      <c r="FX71" t="e">
        <f>AND(ConsolidatedEventList!#REF!,"AAAAAH//hrM=")</f>
        <v>#REF!</v>
      </c>
      <c r="FY71" t="e">
        <f>IF(ConsolidatedEventList!#REF!,"AAAAAH//hrQ=",0)</f>
        <v>#REF!</v>
      </c>
      <c r="FZ71" t="e">
        <f>AND(ConsolidatedEventList!#REF!,"AAAAAH//hrU=")</f>
        <v>#REF!</v>
      </c>
      <c r="GA71" t="e">
        <f>AND(ConsolidatedEventList!#REF!,"AAAAAH//hrY=")</f>
        <v>#REF!</v>
      </c>
      <c r="GB71" t="e">
        <f>AND(ConsolidatedEventList!#REF!,"AAAAAH//hrc=")</f>
        <v>#REF!</v>
      </c>
      <c r="GC71" t="e">
        <f>AND(ConsolidatedEventList!#REF!,"AAAAAH//hrg=")</f>
        <v>#REF!</v>
      </c>
      <c r="GD71" t="e">
        <f>AND(ConsolidatedEventList!#REF!,"AAAAAH//hrk=")</f>
        <v>#REF!</v>
      </c>
      <c r="GE71" t="e">
        <f>AND(ConsolidatedEventList!#REF!,"AAAAAH//hro=")</f>
        <v>#REF!</v>
      </c>
      <c r="GF71" t="e">
        <f>AND(ConsolidatedEventList!#REF!,"AAAAAH//hrs=")</f>
        <v>#REF!</v>
      </c>
      <c r="GG71" t="e">
        <f>AND(ConsolidatedEventList!#REF!,"AAAAAH//hrw=")</f>
        <v>#REF!</v>
      </c>
      <c r="GH71" t="e">
        <f>IF(ConsolidatedEventList!#REF!,"AAAAAH//hr0=",0)</f>
        <v>#REF!</v>
      </c>
      <c r="GI71" t="e">
        <f>AND(ConsolidatedEventList!#REF!,"AAAAAH//hr4=")</f>
        <v>#REF!</v>
      </c>
      <c r="GJ71" t="e">
        <f>AND(ConsolidatedEventList!#REF!,"AAAAAH//hr8=")</f>
        <v>#REF!</v>
      </c>
      <c r="GK71" t="e">
        <f>AND(ConsolidatedEventList!#REF!,"AAAAAH//hsA=")</f>
        <v>#REF!</v>
      </c>
      <c r="GL71" t="e">
        <f>AND(ConsolidatedEventList!#REF!,"AAAAAH//hsE=")</f>
        <v>#REF!</v>
      </c>
      <c r="GM71" t="e">
        <f>AND(ConsolidatedEventList!#REF!,"AAAAAH//hsI=")</f>
        <v>#REF!</v>
      </c>
      <c r="GN71" t="e">
        <f>AND(ConsolidatedEventList!#REF!,"AAAAAH//hsM=")</f>
        <v>#REF!</v>
      </c>
      <c r="GO71" t="e">
        <f>AND(ConsolidatedEventList!#REF!,"AAAAAH//hsQ=")</f>
        <v>#REF!</v>
      </c>
      <c r="GP71" t="e">
        <f>AND(ConsolidatedEventList!#REF!,"AAAAAH//hsU=")</f>
        <v>#REF!</v>
      </c>
      <c r="GQ71" t="e">
        <f>IF(ConsolidatedEventList!#REF!,"AAAAAH//hsY=",0)</f>
        <v>#REF!</v>
      </c>
      <c r="GR71" t="e">
        <f>AND(ConsolidatedEventList!#REF!,"AAAAAH//hsc=")</f>
        <v>#REF!</v>
      </c>
      <c r="GS71" t="e">
        <f>AND(ConsolidatedEventList!#REF!,"AAAAAH//hsg=")</f>
        <v>#REF!</v>
      </c>
      <c r="GT71" t="e">
        <f>AND(ConsolidatedEventList!#REF!,"AAAAAH//hsk=")</f>
        <v>#REF!</v>
      </c>
      <c r="GU71" t="e">
        <f>AND(ConsolidatedEventList!#REF!,"AAAAAH//hso=")</f>
        <v>#REF!</v>
      </c>
      <c r="GV71" t="e">
        <f>AND(ConsolidatedEventList!#REF!,"AAAAAH//hss=")</f>
        <v>#REF!</v>
      </c>
      <c r="GW71" t="e">
        <f>AND(ConsolidatedEventList!#REF!,"AAAAAH//hsw=")</f>
        <v>#REF!</v>
      </c>
      <c r="GX71" t="e">
        <f>AND(ConsolidatedEventList!#REF!,"AAAAAH//hs0=")</f>
        <v>#REF!</v>
      </c>
      <c r="GY71" t="e">
        <f>AND(ConsolidatedEventList!#REF!,"AAAAAH//hs4=")</f>
        <v>#REF!</v>
      </c>
      <c r="GZ71" t="e">
        <f>IF(ConsolidatedEventList!#REF!,"AAAAAH//hs8=",0)</f>
        <v>#REF!</v>
      </c>
      <c r="HA71" t="e">
        <f>AND(ConsolidatedEventList!#REF!,"AAAAAH//htA=")</f>
        <v>#REF!</v>
      </c>
      <c r="HB71" t="e">
        <f>AND(ConsolidatedEventList!#REF!,"AAAAAH//htE=")</f>
        <v>#REF!</v>
      </c>
      <c r="HC71" t="e">
        <f>AND(ConsolidatedEventList!#REF!,"AAAAAH//htI=")</f>
        <v>#REF!</v>
      </c>
      <c r="HD71" t="e">
        <f>AND(ConsolidatedEventList!#REF!,"AAAAAH//htM=")</f>
        <v>#REF!</v>
      </c>
      <c r="HE71" t="e">
        <f>AND(ConsolidatedEventList!#REF!,"AAAAAH//htQ=")</f>
        <v>#REF!</v>
      </c>
      <c r="HF71" t="e">
        <f>AND(ConsolidatedEventList!#REF!,"AAAAAH//htU=")</f>
        <v>#REF!</v>
      </c>
      <c r="HG71" t="e">
        <f>AND(ConsolidatedEventList!#REF!,"AAAAAH//htY=")</f>
        <v>#REF!</v>
      </c>
      <c r="HH71" t="e">
        <f>AND(ConsolidatedEventList!#REF!,"AAAAAH//htc=")</f>
        <v>#REF!</v>
      </c>
      <c r="HI71" t="e">
        <f>IF(ConsolidatedEventList!#REF!,"AAAAAH//htg=",0)</f>
        <v>#REF!</v>
      </c>
      <c r="HJ71" t="e">
        <f>AND(ConsolidatedEventList!#REF!,"AAAAAH//htk=")</f>
        <v>#REF!</v>
      </c>
      <c r="HK71" t="e">
        <f>AND(ConsolidatedEventList!#REF!,"AAAAAH//hto=")</f>
        <v>#REF!</v>
      </c>
      <c r="HL71" t="e">
        <f>AND(ConsolidatedEventList!#REF!,"AAAAAH//hts=")</f>
        <v>#REF!</v>
      </c>
      <c r="HM71" t="e">
        <f>AND(ConsolidatedEventList!#REF!,"AAAAAH//htw=")</f>
        <v>#REF!</v>
      </c>
      <c r="HN71" t="e">
        <f>AND(ConsolidatedEventList!#REF!,"AAAAAH//ht0=")</f>
        <v>#REF!</v>
      </c>
      <c r="HO71" t="e">
        <f>AND(ConsolidatedEventList!#REF!,"AAAAAH//ht4=")</f>
        <v>#REF!</v>
      </c>
      <c r="HP71" t="e">
        <f>AND(ConsolidatedEventList!#REF!,"AAAAAH//ht8=")</f>
        <v>#REF!</v>
      </c>
      <c r="HQ71" t="e">
        <f>AND(ConsolidatedEventList!#REF!,"AAAAAH//huA=")</f>
        <v>#REF!</v>
      </c>
      <c r="HR71" t="e">
        <f>IF(ConsolidatedEventList!#REF!,"AAAAAH//huE=",0)</f>
        <v>#REF!</v>
      </c>
      <c r="HS71" t="e">
        <f>AND(ConsolidatedEventList!#REF!,"AAAAAH//huI=")</f>
        <v>#REF!</v>
      </c>
      <c r="HT71" t="e">
        <f>AND(ConsolidatedEventList!#REF!,"AAAAAH//huM=")</f>
        <v>#REF!</v>
      </c>
      <c r="HU71" t="e">
        <f>AND(ConsolidatedEventList!#REF!,"AAAAAH//huQ=")</f>
        <v>#REF!</v>
      </c>
      <c r="HV71" t="e">
        <f>AND(ConsolidatedEventList!#REF!,"AAAAAH//huU=")</f>
        <v>#REF!</v>
      </c>
      <c r="HW71" t="e">
        <f>AND(ConsolidatedEventList!#REF!,"AAAAAH//huY=")</f>
        <v>#REF!</v>
      </c>
      <c r="HX71" t="e">
        <f>AND(ConsolidatedEventList!#REF!,"AAAAAH//huc=")</f>
        <v>#REF!</v>
      </c>
      <c r="HY71" t="e">
        <f>AND(ConsolidatedEventList!#REF!,"AAAAAH//hug=")</f>
        <v>#REF!</v>
      </c>
      <c r="HZ71" t="e">
        <f>AND(ConsolidatedEventList!#REF!,"AAAAAH//huk=")</f>
        <v>#REF!</v>
      </c>
      <c r="IA71" t="e">
        <f>IF(ConsolidatedEventList!#REF!,"AAAAAH//huo=",0)</f>
        <v>#REF!</v>
      </c>
      <c r="IB71" t="e">
        <f>AND(ConsolidatedEventList!#REF!,"AAAAAH//hus=")</f>
        <v>#REF!</v>
      </c>
      <c r="IC71" t="e">
        <f>AND(ConsolidatedEventList!#REF!,"AAAAAH//huw=")</f>
        <v>#REF!</v>
      </c>
      <c r="ID71" t="e">
        <f>AND(ConsolidatedEventList!#REF!,"AAAAAH//hu0=")</f>
        <v>#REF!</v>
      </c>
      <c r="IE71" t="e">
        <f>AND(ConsolidatedEventList!#REF!,"AAAAAH//hu4=")</f>
        <v>#REF!</v>
      </c>
      <c r="IF71" t="e">
        <f>AND(ConsolidatedEventList!#REF!,"AAAAAH//hu8=")</f>
        <v>#REF!</v>
      </c>
      <c r="IG71" t="e">
        <f>AND(ConsolidatedEventList!#REF!,"AAAAAH//hvA=")</f>
        <v>#REF!</v>
      </c>
      <c r="IH71" t="e">
        <f>AND(ConsolidatedEventList!#REF!,"AAAAAH//hvE=")</f>
        <v>#REF!</v>
      </c>
      <c r="II71" t="e">
        <f>AND(ConsolidatedEventList!#REF!,"AAAAAH//hvI=")</f>
        <v>#REF!</v>
      </c>
      <c r="IJ71" t="e">
        <f>IF(ConsolidatedEventList!#REF!,"AAAAAH//hvM=",0)</f>
        <v>#REF!</v>
      </c>
      <c r="IK71" t="e">
        <f>AND(ConsolidatedEventList!#REF!,"AAAAAH//hvQ=")</f>
        <v>#REF!</v>
      </c>
      <c r="IL71" t="e">
        <f>AND(ConsolidatedEventList!#REF!,"AAAAAH//hvU=")</f>
        <v>#REF!</v>
      </c>
      <c r="IM71" t="e">
        <f>AND(ConsolidatedEventList!#REF!,"AAAAAH//hvY=")</f>
        <v>#REF!</v>
      </c>
      <c r="IN71" t="e">
        <f>AND(ConsolidatedEventList!#REF!,"AAAAAH//hvc=")</f>
        <v>#REF!</v>
      </c>
      <c r="IO71" t="e">
        <f>AND(ConsolidatedEventList!#REF!,"AAAAAH//hvg=")</f>
        <v>#REF!</v>
      </c>
      <c r="IP71" t="e">
        <f>AND(ConsolidatedEventList!#REF!,"AAAAAH//hvk=")</f>
        <v>#REF!</v>
      </c>
      <c r="IQ71" t="e">
        <f>AND(ConsolidatedEventList!#REF!,"AAAAAH//hvo=")</f>
        <v>#REF!</v>
      </c>
      <c r="IR71" t="e">
        <f>AND(ConsolidatedEventList!#REF!,"AAAAAH//hvs=")</f>
        <v>#REF!</v>
      </c>
      <c r="IS71" t="e">
        <f>IF(ConsolidatedEventList!#REF!,"AAAAAH//hvw=",0)</f>
        <v>#REF!</v>
      </c>
      <c r="IT71" t="e">
        <f>AND(ConsolidatedEventList!#REF!,"AAAAAH//hv0=")</f>
        <v>#REF!</v>
      </c>
      <c r="IU71" t="e">
        <f>AND(ConsolidatedEventList!#REF!,"AAAAAH//hv4=")</f>
        <v>#REF!</v>
      </c>
      <c r="IV71" t="e">
        <f>AND(ConsolidatedEventList!#REF!,"AAAAAH//hv8=")</f>
        <v>#REF!</v>
      </c>
    </row>
    <row r="72" spans="1:256" x14ac:dyDescent="0.25">
      <c r="A72" t="e">
        <f>AND(ConsolidatedEventList!#REF!,"AAAAAG3/3AA=")</f>
        <v>#REF!</v>
      </c>
      <c r="B72" t="e">
        <f>AND(ConsolidatedEventList!#REF!,"AAAAAG3/3AE=")</f>
        <v>#REF!</v>
      </c>
      <c r="C72" t="e">
        <f>AND(ConsolidatedEventList!#REF!,"AAAAAG3/3AI=")</f>
        <v>#REF!</v>
      </c>
      <c r="D72" t="e">
        <f>AND(ConsolidatedEventList!#REF!,"AAAAAG3/3AM=")</f>
        <v>#REF!</v>
      </c>
      <c r="E72" t="e">
        <f>AND(ConsolidatedEventList!#REF!,"AAAAAG3/3AQ=")</f>
        <v>#REF!</v>
      </c>
      <c r="F72" t="e">
        <f>IF(ConsolidatedEventList!#REF!,"AAAAAG3/3AU=",0)</f>
        <v>#REF!</v>
      </c>
      <c r="G72" t="e">
        <f>AND(ConsolidatedEventList!#REF!,"AAAAAG3/3AY=")</f>
        <v>#REF!</v>
      </c>
      <c r="H72" t="e">
        <f>AND(ConsolidatedEventList!#REF!,"AAAAAG3/3Ac=")</f>
        <v>#REF!</v>
      </c>
      <c r="I72" t="e">
        <f>AND(ConsolidatedEventList!#REF!,"AAAAAG3/3Ag=")</f>
        <v>#REF!</v>
      </c>
      <c r="J72" t="e">
        <f>AND(ConsolidatedEventList!#REF!,"AAAAAG3/3Ak=")</f>
        <v>#REF!</v>
      </c>
      <c r="K72" t="e">
        <f>AND(ConsolidatedEventList!#REF!,"AAAAAG3/3Ao=")</f>
        <v>#REF!</v>
      </c>
      <c r="L72" t="e">
        <f>AND(ConsolidatedEventList!#REF!,"AAAAAG3/3As=")</f>
        <v>#REF!</v>
      </c>
      <c r="M72" t="e">
        <f>AND(ConsolidatedEventList!#REF!,"AAAAAG3/3Aw=")</f>
        <v>#REF!</v>
      </c>
      <c r="N72" t="e">
        <f>AND(ConsolidatedEventList!#REF!,"AAAAAG3/3A0=")</f>
        <v>#REF!</v>
      </c>
      <c r="O72" t="e">
        <f>IF(ConsolidatedEventList!#REF!,"AAAAAG3/3A4=",0)</f>
        <v>#REF!</v>
      </c>
      <c r="P72" t="e">
        <f>AND(ConsolidatedEventList!#REF!,"AAAAAG3/3A8=")</f>
        <v>#REF!</v>
      </c>
      <c r="Q72" t="e">
        <f>AND(ConsolidatedEventList!#REF!,"AAAAAG3/3BA=")</f>
        <v>#REF!</v>
      </c>
      <c r="R72" t="e">
        <f>AND(ConsolidatedEventList!#REF!,"AAAAAG3/3BE=")</f>
        <v>#REF!</v>
      </c>
      <c r="S72" t="e">
        <f>AND(ConsolidatedEventList!#REF!,"AAAAAG3/3BI=")</f>
        <v>#REF!</v>
      </c>
      <c r="T72" t="e">
        <f>AND(ConsolidatedEventList!#REF!,"AAAAAG3/3BM=")</f>
        <v>#REF!</v>
      </c>
      <c r="U72" t="e">
        <f>AND(ConsolidatedEventList!#REF!,"AAAAAG3/3BQ=")</f>
        <v>#REF!</v>
      </c>
      <c r="V72" t="e">
        <f>AND(ConsolidatedEventList!#REF!,"AAAAAG3/3BU=")</f>
        <v>#REF!</v>
      </c>
      <c r="W72" t="e">
        <f>AND(ConsolidatedEventList!#REF!,"AAAAAG3/3BY=")</f>
        <v>#REF!</v>
      </c>
      <c r="X72" t="e">
        <f>IF(ConsolidatedEventList!#REF!,"AAAAAG3/3Bc=",0)</f>
        <v>#REF!</v>
      </c>
      <c r="Y72" t="e">
        <f>AND(ConsolidatedEventList!#REF!,"AAAAAG3/3Bg=")</f>
        <v>#REF!</v>
      </c>
      <c r="Z72" t="e">
        <f>AND(ConsolidatedEventList!#REF!,"AAAAAG3/3Bk=")</f>
        <v>#REF!</v>
      </c>
      <c r="AA72" t="e">
        <f>AND(ConsolidatedEventList!#REF!,"AAAAAG3/3Bo=")</f>
        <v>#REF!</v>
      </c>
      <c r="AB72" t="e">
        <f>AND(ConsolidatedEventList!#REF!,"AAAAAG3/3Bs=")</f>
        <v>#REF!</v>
      </c>
      <c r="AC72" t="e">
        <f>AND(ConsolidatedEventList!#REF!,"AAAAAG3/3Bw=")</f>
        <v>#REF!</v>
      </c>
      <c r="AD72" t="e">
        <f>AND(ConsolidatedEventList!#REF!,"AAAAAG3/3B0=")</f>
        <v>#REF!</v>
      </c>
      <c r="AE72" t="e">
        <f>AND(ConsolidatedEventList!#REF!,"AAAAAG3/3B4=")</f>
        <v>#REF!</v>
      </c>
      <c r="AF72" t="e">
        <f>AND(ConsolidatedEventList!#REF!,"AAAAAG3/3B8=")</f>
        <v>#REF!</v>
      </c>
      <c r="AG72" t="e">
        <f>IF(ConsolidatedEventList!#REF!,"AAAAAG3/3CA=",0)</f>
        <v>#REF!</v>
      </c>
      <c r="AH72" t="e">
        <f>AND(ConsolidatedEventList!#REF!,"AAAAAG3/3CE=")</f>
        <v>#REF!</v>
      </c>
      <c r="AI72" t="e">
        <f>AND(ConsolidatedEventList!#REF!,"AAAAAG3/3CI=")</f>
        <v>#REF!</v>
      </c>
      <c r="AJ72" t="e">
        <f>AND(ConsolidatedEventList!#REF!,"AAAAAG3/3CM=")</f>
        <v>#REF!</v>
      </c>
      <c r="AK72" t="e">
        <f>AND(ConsolidatedEventList!#REF!,"AAAAAG3/3CQ=")</f>
        <v>#REF!</v>
      </c>
      <c r="AL72" t="e">
        <f>AND(ConsolidatedEventList!#REF!,"AAAAAG3/3CU=")</f>
        <v>#REF!</v>
      </c>
      <c r="AM72" t="e">
        <f>AND(ConsolidatedEventList!#REF!,"AAAAAG3/3CY=")</f>
        <v>#REF!</v>
      </c>
      <c r="AN72" t="e">
        <f>AND(ConsolidatedEventList!#REF!,"AAAAAG3/3Cc=")</f>
        <v>#REF!</v>
      </c>
      <c r="AO72" t="e">
        <f>AND(ConsolidatedEventList!#REF!,"AAAAAG3/3Cg=")</f>
        <v>#REF!</v>
      </c>
      <c r="AP72" t="e">
        <f>IF(ConsolidatedEventList!#REF!,"AAAAAG3/3Ck=",0)</f>
        <v>#REF!</v>
      </c>
      <c r="AQ72" t="e">
        <f>AND(ConsolidatedEventList!#REF!,"AAAAAG3/3Co=")</f>
        <v>#REF!</v>
      </c>
      <c r="AR72" t="e">
        <f>AND(ConsolidatedEventList!#REF!,"AAAAAG3/3Cs=")</f>
        <v>#REF!</v>
      </c>
      <c r="AS72" t="e">
        <f>AND(ConsolidatedEventList!#REF!,"AAAAAG3/3Cw=")</f>
        <v>#REF!</v>
      </c>
      <c r="AT72" t="e">
        <f>AND(ConsolidatedEventList!#REF!,"AAAAAG3/3C0=")</f>
        <v>#REF!</v>
      </c>
      <c r="AU72" t="e">
        <f>AND(ConsolidatedEventList!#REF!,"AAAAAG3/3C4=")</f>
        <v>#REF!</v>
      </c>
      <c r="AV72" t="e">
        <f>AND(ConsolidatedEventList!#REF!,"AAAAAG3/3C8=")</f>
        <v>#REF!</v>
      </c>
      <c r="AW72" t="e">
        <f>AND(ConsolidatedEventList!#REF!,"AAAAAG3/3DA=")</f>
        <v>#REF!</v>
      </c>
      <c r="AX72" t="e">
        <f>AND(ConsolidatedEventList!#REF!,"AAAAAG3/3DE=")</f>
        <v>#REF!</v>
      </c>
      <c r="AY72" t="e">
        <f>IF(ConsolidatedEventList!#REF!,"AAAAAG3/3DI=",0)</f>
        <v>#REF!</v>
      </c>
      <c r="AZ72" t="e">
        <f>AND(ConsolidatedEventList!#REF!,"AAAAAG3/3DM=")</f>
        <v>#REF!</v>
      </c>
      <c r="BA72" t="e">
        <f>AND(ConsolidatedEventList!#REF!,"AAAAAG3/3DQ=")</f>
        <v>#REF!</v>
      </c>
      <c r="BB72" t="e">
        <f>AND(ConsolidatedEventList!#REF!,"AAAAAG3/3DU=")</f>
        <v>#REF!</v>
      </c>
      <c r="BC72" t="e">
        <f>AND(ConsolidatedEventList!#REF!,"AAAAAG3/3DY=")</f>
        <v>#REF!</v>
      </c>
      <c r="BD72" t="e">
        <f>AND(ConsolidatedEventList!#REF!,"AAAAAG3/3Dc=")</f>
        <v>#REF!</v>
      </c>
      <c r="BE72" t="e">
        <f>AND(ConsolidatedEventList!#REF!,"AAAAAG3/3Dg=")</f>
        <v>#REF!</v>
      </c>
      <c r="BF72" t="e">
        <f>AND(ConsolidatedEventList!#REF!,"AAAAAG3/3Dk=")</f>
        <v>#REF!</v>
      </c>
      <c r="BG72" t="e">
        <f>AND(ConsolidatedEventList!#REF!,"AAAAAG3/3Do=")</f>
        <v>#REF!</v>
      </c>
      <c r="BH72" t="e">
        <f>IF(ConsolidatedEventList!#REF!,"AAAAAG3/3Ds=",0)</f>
        <v>#REF!</v>
      </c>
      <c r="BI72" t="e">
        <f>AND(ConsolidatedEventList!#REF!,"AAAAAG3/3Dw=")</f>
        <v>#REF!</v>
      </c>
      <c r="BJ72" t="e">
        <f>AND(ConsolidatedEventList!#REF!,"AAAAAG3/3D0=")</f>
        <v>#REF!</v>
      </c>
      <c r="BK72" t="e">
        <f>AND(ConsolidatedEventList!#REF!,"AAAAAG3/3D4=")</f>
        <v>#REF!</v>
      </c>
      <c r="BL72" t="e">
        <f>AND(ConsolidatedEventList!#REF!,"AAAAAG3/3D8=")</f>
        <v>#REF!</v>
      </c>
      <c r="BM72" t="e">
        <f>AND(ConsolidatedEventList!#REF!,"AAAAAG3/3EA=")</f>
        <v>#REF!</v>
      </c>
      <c r="BN72" t="e">
        <f>AND(ConsolidatedEventList!#REF!,"AAAAAG3/3EE=")</f>
        <v>#REF!</v>
      </c>
      <c r="BO72" t="e">
        <f>AND(ConsolidatedEventList!#REF!,"AAAAAG3/3EI=")</f>
        <v>#REF!</v>
      </c>
      <c r="BP72" t="e">
        <f>AND(ConsolidatedEventList!#REF!,"AAAAAG3/3EM=")</f>
        <v>#REF!</v>
      </c>
      <c r="BQ72" t="e">
        <f>IF(ConsolidatedEventList!#REF!,"AAAAAG3/3EQ=",0)</f>
        <v>#REF!</v>
      </c>
      <c r="BR72" t="e">
        <f>AND(ConsolidatedEventList!#REF!,"AAAAAG3/3EU=")</f>
        <v>#REF!</v>
      </c>
      <c r="BS72" t="e">
        <f>AND(ConsolidatedEventList!#REF!,"AAAAAG3/3EY=")</f>
        <v>#REF!</v>
      </c>
      <c r="BT72" t="e">
        <f>AND(ConsolidatedEventList!#REF!,"AAAAAG3/3Ec=")</f>
        <v>#REF!</v>
      </c>
      <c r="BU72" t="e">
        <f>AND(ConsolidatedEventList!#REF!,"AAAAAG3/3Eg=")</f>
        <v>#REF!</v>
      </c>
      <c r="BV72" t="e">
        <f>AND(ConsolidatedEventList!#REF!,"AAAAAG3/3Ek=")</f>
        <v>#REF!</v>
      </c>
      <c r="BW72" t="e">
        <f>AND(ConsolidatedEventList!#REF!,"AAAAAG3/3Eo=")</f>
        <v>#REF!</v>
      </c>
      <c r="BX72" t="e">
        <f>AND(ConsolidatedEventList!#REF!,"AAAAAG3/3Es=")</f>
        <v>#REF!</v>
      </c>
      <c r="BY72" t="e">
        <f>AND(ConsolidatedEventList!#REF!,"AAAAAG3/3Ew=")</f>
        <v>#REF!</v>
      </c>
      <c r="BZ72" t="e">
        <f>IF(ConsolidatedEventList!#REF!,"AAAAAG3/3E0=",0)</f>
        <v>#REF!</v>
      </c>
      <c r="CA72" t="e">
        <f>AND(ConsolidatedEventList!#REF!,"AAAAAG3/3E4=")</f>
        <v>#REF!</v>
      </c>
      <c r="CB72" t="e">
        <f>AND(ConsolidatedEventList!#REF!,"AAAAAG3/3E8=")</f>
        <v>#REF!</v>
      </c>
      <c r="CC72" t="e">
        <f>AND(ConsolidatedEventList!#REF!,"AAAAAG3/3FA=")</f>
        <v>#REF!</v>
      </c>
      <c r="CD72" t="e">
        <f>AND(ConsolidatedEventList!#REF!,"AAAAAG3/3FE=")</f>
        <v>#REF!</v>
      </c>
      <c r="CE72" t="e">
        <f>AND(ConsolidatedEventList!#REF!,"AAAAAG3/3FI=")</f>
        <v>#REF!</v>
      </c>
      <c r="CF72" t="e">
        <f>AND(ConsolidatedEventList!#REF!,"AAAAAG3/3FM=")</f>
        <v>#REF!</v>
      </c>
      <c r="CG72" t="e">
        <f>AND(ConsolidatedEventList!#REF!,"AAAAAG3/3FQ=")</f>
        <v>#REF!</v>
      </c>
      <c r="CH72" t="e">
        <f>AND(ConsolidatedEventList!#REF!,"AAAAAG3/3FU=")</f>
        <v>#REF!</v>
      </c>
      <c r="CI72">
        <f>IF(ConsolidatedEventList!299:299,"AAAAAG3/3FY=",0)</f>
        <v>0</v>
      </c>
      <c r="CJ72" t="e">
        <f>AND(ConsolidatedEventList!A299,"AAAAAG3/3Fc=")</f>
        <v>#VALUE!</v>
      </c>
      <c r="CK72" t="e">
        <f>AND(ConsolidatedEventList!B299,"AAAAAG3/3Fg=")</f>
        <v>#VALUE!</v>
      </c>
      <c r="CL72" t="e">
        <f>AND(ConsolidatedEventList!C299,"AAAAAG3/3Fk=")</f>
        <v>#VALUE!</v>
      </c>
      <c r="CM72" t="e">
        <f>AND(ConsolidatedEventList!D299,"AAAAAG3/3Fo=")</f>
        <v>#VALUE!</v>
      </c>
      <c r="CN72" t="e">
        <f>AND(ConsolidatedEventList!E299,"AAAAAG3/3Fs=")</f>
        <v>#VALUE!</v>
      </c>
      <c r="CO72" t="e">
        <f>AND(ConsolidatedEventList!F299,"AAAAAG3/3Fw=")</f>
        <v>#VALUE!</v>
      </c>
      <c r="CP72" t="e">
        <f>AND(ConsolidatedEventList!G299,"AAAAAG3/3F0=")</f>
        <v>#VALUE!</v>
      </c>
      <c r="CQ72" t="e">
        <f>AND(ConsolidatedEventList!H299,"AAAAAG3/3F4=")</f>
        <v>#VALUE!</v>
      </c>
      <c r="CR72">
        <f>IF(ConsolidatedEventList!300:300,"AAAAAG3/3F8=",0)</f>
        <v>0</v>
      </c>
      <c r="CS72" t="e">
        <f>AND(ConsolidatedEventList!A300,"AAAAAG3/3GA=")</f>
        <v>#VALUE!</v>
      </c>
      <c r="CT72" t="e">
        <f>AND(ConsolidatedEventList!B300,"AAAAAG3/3GE=")</f>
        <v>#VALUE!</v>
      </c>
      <c r="CU72" t="e">
        <f>AND(ConsolidatedEventList!C300,"AAAAAG3/3GI=")</f>
        <v>#VALUE!</v>
      </c>
      <c r="CV72" t="e">
        <f>AND(ConsolidatedEventList!D300,"AAAAAG3/3GM=")</f>
        <v>#VALUE!</v>
      </c>
      <c r="CW72" t="e">
        <f>AND(ConsolidatedEventList!E300,"AAAAAG3/3GQ=")</f>
        <v>#VALUE!</v>
      </c>
      <c r="CX72" t="e">
        <f>AND(ConsolidatedEventList!F300,"AAAAAG3/3GU=")</f>
        <v>#VALUE!</v>
      </c>
      <c r="CY72" t="e">
        <f>AND(ConsolidatedEventList!G300,"AAAAAG3/3GY=")</f>
        <v>#VALUE!</v>
      </c>
      <c r="CZ72" t="e">
        <f>AND(ConsolidatedEventList!H300,"AAAAAG3/3Gc=")</f>
        <v>#VALUE!</v>
      </c>
      <c r="DA72">
        <f>IF(ConsolidatedEventList!301:301,"AAAAAG3/3Gg=",0)</f>
        <v>0</v>
      </c>
      <c r="DB72" t="e">
        <f>AND(ConsolidatedEventList!A301,"AAAAAG3/3Gk=")</f>
        <v>#VALUE!</v>
      </c>
      <c r="DC72" t="e">
        <f>AND(ConsolidatedEventList!B301,"AAAAAG3/3Go=")</f>
        <v>#VALUE!</v>
      </c>
      <c r="DD72" t="e">
        <f>AND(ConsolidatedEventList!C301,"AAAAAG3/3Gs=")</f>
        <v>#VALUE!</v>
      </c>
      <c r="DE72" t="e">
        <f>AND(ConsolidatedEventList!D301,"AAAAAG3/3Gw=")</f>
        <v>#VALUE!</v>
      </c>
      <c r="DF72" t="e">
        <f>AND(ConsolidatedEventList!E301,"AAAAAG3/3G0=")</f>
        <v>#VALUE!</v>
      </c>
      <c r="DG72" t="e">
        <f>AND(ConsolidatedEventList!F301,"AAAAAG3/3G4=")</f>
        <v>#VALUE!</v>
      </c>
      <c r="DH72" t="e">
        <f>AND(ConsolidatedEventList!G301,"AAAAAG3/3G8=")</f>
        <v>#VALUE!</v>
      </c>
      <c r="DI72" t="e">
        <f>AND(ConsolidatedEventList!H301,"AAAAAG3/3HA=")</f>
        <v>#VALUE!</v>
      </c>
      <c r="DJ72">
        <f>IF(ConsolidatedEventList!302:302,"AAAAAG3/3HE=",0)</f>
        <v>0</v>
      </c>
      <c r="DK72" t="e">
        <f>AND(ConsolidatedEventList!A302,"AAAAAG3/3HI=")</f>
        <v>#VALUE!</v>
      </c>
      <c r="DL72" t="e">
        <f>AND(ConsolidatedEventList!B302,"AAAAAG3/3HM=")</f>
        <v>#VALUE!</v>
      </c>
      <c r="DM72" t="e">
        <f>AND(ConsolidatedEventList!C302,"AAAAAG3/3HQ=")</f>
        <v>#VALUE!</v>
      </c>
      <c r="DN72" t="e">
        <f>AND(ConsolidatedEventList!D302,"AAAAAG3/3HU=")</f>
        <v>#VALUE!</v>
      </c>
      <c r="DO72" t="e">
        <f>AND(ConsolidatedEventList!E302,"AAAAAG3/3HY=")</f>
        <v>#VALUE!</v>
      </c>
      <c r="DP72" t="e">
        <f>AND(ConsolidatedEventList!F302,"AAAAAG3/3Hc=")</f>
        <v>#VALUE!</v>
      </c>
      <c r="DQ72" t="e">
        <f>AND(ConsolidatedEventList!G302,"AAAAAG3/3Hg=")</f>
        <v>#VALUE!</v>
      </c>
      <c r="DR72" t="e">
        <f>AND(ConsolidatedEventList!H302,"AAAAAG3/3Hk=")</f>
        <v>#VALUE!</v>
      </c>
      <c r="DS72">
        <f>IF(ConsolidatedEventList!303:303,"AAAAAG3/3Ho=",0)</f>
        <v>0</v>
      </c>
      <c r="DT72" t="e">
        <f>AND(ConsolidatedEventList!A303,"AAAAAG3/3Hs=")</f>
        <v>#VALUE!</v>
      </c>
      <c r="DU72" t="e">
        <f>AND(ConsolidatedEventList!B303,"AAAAAG3/3Hw=")</f>
        <v>#VALUE!</v>
      </c>
      <c r="DV72" t="e">
        <f>AND(ConsolidatedEventList!C303,"AAAAAG3/3H0=")</f>
        <v>#VALUE!</v>
      </c>
      <c r="DW72" t="e">
        <f>AND(ConsolidatedEventList!D303,"AAAAAG3/3H4=")</f>
        <v>#VALUE!</v>
      </c>
      <c r="DX72" t="e">
        <f>AND(ConsolidatedEventList!E303,"AAAAAG3/3H8=")</f>
        <v>#VALUE!</v>
      </c>
      <c r="DY72" t="e">
        <f>AND(ConsolidatedEventList!F303,"AAAAAG3/3IA=")</f>
        <v>#VALUE!</v>
      </c>
      <c r="DZ72" t="e">
        <f>AND(ConsolidatedEventList!G303,"AAAAAG3/3IE=")</f>
        <v>#VALUE!</v>
      </c>
      <c r="EA72" t="e">
        <f>AND(ConsolidatedEventList!H303,"AAAAAG3/3II=")</f>
        <v>#VALUE!</v>
      </c>
      <c r="EB72">
        <f>IF(ConsolidatedEventList!304:304,"AAAAAG3/3IM=",0)</f>
        <v>0</v>
      </c>
      <c r="EC72" t="e">
        <f>AND(ConsolidatedEventList!A304,"AAAAAG3/3IQ=")</f>
        <v>#VALUE!</v>
      </c>
      <c r="ED72" t="e">
        <f>AND(ConsolidatedEventList!B304,"AAAAAG3/3IU=")</f>
        <v>#VALUE!</v>
      </c>
      <c r="EE72" t="e">
        <f>AND(ConsolidatedEventList!C304,"AAAAAG3/3IY=")</f>
        <v>#VALUE!</v>
      </c>
      <c r="EF72" t="e">
        <f>AND(ConsolidatedEventList!D304,"AAAAAG3/3Ic=")</f>
        <v>#VALUE!</v>
      </c>
      <c r="EG72" t="e">
        <f>AND(ConsolidatedEventList!E304,"AAAAAG3/3Ig=")</f>
        <v>#VALUE!</v>
      </c>
      <c r="EH72" t="e">
        <f>AND(ConsolidatedEventList!F304,"AAAAAG3/3Ik=")</f>
        <v>#VALUE!</v>
      </c>
      <c r="EI72" t="e">
        <f>AND(ConsolidatedEventList!G304,"AAAAAG3/3Io=")</f>
        <v>#VALUE!</v>
      </c>
      <c r="EJ72" t="e">
        <f>AND(ConsolidatedEventList!H304,"AAAAAG3/3Is=")</f>
        <v>#VALUE!</v>
      </c>
      <c r="EK72">
        <f>IF(ConsolidatedEventList!305:305,"AAAAAG3/3Iw=",0)</f>
        <v>0</v>
      </c>
      <c r="EL72" t="e">
        <f>AND(ConsolidatedEventList!A305,"AAAAAG3/3I0=")</f>
        <v>#VALUE!</v>
      </c>
      <c r="EM72" t="e">
        <f>AND(ConsolidatedEventList!B305,"AAAAAG3/3I4=")</f>
        <v>#VALUE!</v>
      </c>
      <c r="EN72" t="e">
        <f>AND(ConsolidatedEventList!C305,"AAAAAG3/3I8=")</f>
        <v>#VALUE!</v>
      </c>
      <c r="EO72" t="e">
        <f>AND(ConsolidatedEventList!D305,"AAAAAG3/3JA=")</f>
        <v>#VALUE!</v>
      </c>
      <c r="EP72" t="e">
        <f>AND(ConsolidatedEventList!E305,"AAAAAG3/3JE=")</f>
        <v>#VALUE!</v>
      </c>
      <c r="EQ72" t="e">
        <f>AND(ConsolidatedEventList!F305,"AAAAAG3/3JI=")</f>
        <v>#VALUE!</v>
      </c>
      <c r="ER72" t="e">
        <f>AND(ConsolidatedEventList!G305,"AAAAAG3/3JM=")</f>
        <v>#VALUE!</v>
      </c>
      <c r="ES72" t="e">
        <f>AND(ConsolidatedEventList!H305,"AAAAAG3/3JQ=")</f>
        <v>#VALUE!</v>
      </c>
      <c r="ET72">
        <f>IF(ConsolidatedEventList!306:306,"AAAAAG3/3JU=",0)</f>
        <v>0</v>
      </c>
      <c r="EU72" t="e">
        <f>AND(ConsolidatedEventList!A306,"AAAAAG3/3JY=")</f>
        <v>#VALUE!</v>
      </c>
      <c r="EV72" t="e">
        <f>AND(ConsolidatedEventList!B306,"AAAAAG3/3Jc=")</f>
        <v>#VALUE!</v>
      </c>
      <c r="EW72" t="e">
        <f>AND(ConsolidatedEventList!C306,"AAAAAG3/3Jg=")</f>
        <v>#VALUE!</v>
      </c>
      <c r="EX72" t="e">
        <f>AND(ConsolidatedEventList!D306,"AAAAAG3/3Jk=")</f>
        <v>#VALUE!</v>
      </c>
      <c r="EY72" t="e">
        <f>AND(ConsolidatedEventList!E306,"AAAAAG3/3Jo=")</f>
        <v>#VALUE!</v>
      </c>
      <c r="EZ72" t="e">
        <f>AND(ConsolidatedEventList!F306,"AAAAAG3/3Js=")</f>
        <v>#VALUE!</v>
      </c>
      <c r="FA72" t="e">
        <f>AND(ConsolidatedEventList!G306,"AAAAAG3/3Jw=")</f>
        <v>#VALUE!</v>
      </c>
      <c r="FB72" t="e">
        <f>AND(ConsolidatedEventList!H306,"AAAAAG3/3J0=")</f>
        <v>#VALUE!</v>
      </c>
      <c r="FC72">
        <f>IF(ConsolidatedEventList!307:307,"AAAAAG3/3J4=",0)</f>
        <v>0</v>
      </c>
      <c r="FD72" t="e">
        <f>AND(ConsolidatedEventList!A307,"AAAAAG3/3J8=")</f>
        <v>#VALUE!</v>
      </c>
      <c r="FE72" t="e">
        <f>AND(ConsolidatedEventList!B307,"AAAAAG3/3KA=")</f>
        <v>#VALUE!</v>
      </c>
      <c r="FF72" t="e">
        <f>AND(ConsolidatedEventList!C307,"AAAAAG3/3KE=")</f>
        <v>#VALUE!</v>
      </c>
      <c r="FG72" t="e">
        <f>AND(ConsolidatedEventList!D307,"AAAAAG3/3KI=")</f>
        <v>#VALUE!</v>
      </c>
      <c r="FH72" t="e">
        <f>AND(ConsolidatedEventList!E307,"AAAAAG3/3KM=")</f>
        <v>#VALUE!</v>
      </c>
      <c r="FI72" t="e">
        <f>AND(ConsolidatedEventList!F307,"AAAAAG3/3KQ=")</f>
        <v>#VALUE!</v>
      </c>
      <c r="FJ72" t="e">
        <f>AND(ConsolidatedEventList!G307,"AAAAAG3/3KU=")</f>
        <v>#VALUE!</v>
      </c>
      <c r="FK72" t="e">
        <f>AND(ConsolidatedEventList!H307,"AAAAAG3/3KY=")</f>
        <v>#VALUE!</v>
      </c>
      <c r="FL72">
        <f>IF(ConsolidatedEventList!308:308,"AAAAAG3/3Kc=",0)</f>
        <v>0</v>
      </c>
      <c r="FM72" t="e">
        <f>AND(ConsolidatedEventList!A308,"AAAAAG3/3Kg=")</f>
        <v>#VALUE!</v>
      </c>
      <c r="FN72" t="e">
        <f>AND(ConsolidatedEventList!B308,"AAAAAG3/3Kk=")</f>
        <v>#VALUE!</v>
      </c>
      <c r="FO72" t="e">
        <f>AND(ConsolidatedEventList!C308,"AAAAAG3/3Ko=")</f>
        <v>#VALUE!</v>
      </c>
      <c r="FP72" t="e">
        <f>AND(ConsolidatedEventList!D308,"AAAAAG3/3Ks=")</f>
        <v>#VALUE!</v>
      </c>
      <c r="FQ72" t="e">
        <f>AND(ConsolidatedEventList!E308,"AAAAAG3/3Kw=")</f>
        <v>#VALUE!</v>
      </c>
      <c r="FR72" t="e">
        <f>AND(ConsolidatedEventList!F308,"AAAAAG3/3K0=")</f>
        <v>#VALUE!</v>
      </c>
      <c r="FS72" t="e">
        <f>AND(ConsolidatedEventList!G308,"AAAAAG3/3K4=")</f>
        <v>#VALUE!</v>
      </c>
      <c r="FT72" t="e">
        <f>AND(ConsolidatedEventList!H308,"AAAAAG3/3K8=")</f>
        <v>#VALUE!</v>
      </c>
      <c r="FU72">
        <f>IF(ConsolidatedEventList!309:309,"AAAAAG3/3LA=",0)</f>
        <v>0</v>
      </c>
      <c r="FV72" t="e">
        <f>AND(ConsolidatedEventList!A309,"AAAAAG3/3LE=")</f>
        <v>#VALUE!</v>
      </c>
      <c r="FW72" t="e">
        <f>AND(ConsolidatedEventList!B309,"AAAAAG3/3LI=")</f>
        <v>#VALUE!</v>
      </c>
      <c r="FX72" t="e">
        <f>AND(ConsolidatedEventList!C309,"AAAAAG3/3LM=")</f>
        <v>#VALUE!</v>
      </c>
      <c r="FY72" t="e">
        <f>AND(ConsolidatedEventList!D309,"AAAAAG3/3LQ=")</f>
        <v>#VALUE!</v>
      </c>
      <c r="FZ72" t="e">
        <f>AND(ConsolidatedEventList!E309,"AAAAAG3/3LU=")</f>
        <v>#VALUE!</v>
      </c>
      <c r="GA72" t="e">
        <f>AND(ConsolidatedEventList!F309,"AAAAAG3/3LY=")</f>
        <v>#VALUE!</v>
      </c>
      <c r="GB72" t="e">
        <f>AND(ConsolidatedEventList!G309,"AAAAAG3/3Lc=")</f>
        <v>#VALUE!</v>
      </c>
      <c r="GC72" t="e">
        <f>AND(ConsolidatedEventList!H309,"AAAAAG3/3Lg=")</f>
        <v>#VALUE!</v>
      </c>
      <c r="GD72">
        <f>IF(ConsolidatedEventList!310:310,"AAAAAG3/3Lk=",0)</f>
        <v>0</v>
      </c>
      <c r="GE72" t="e">
        <f>AND(ConsolidatedEventList!A310,"AAAAAG3/3Lo=")</f>
        <v>#VALUE!</v>
      </c>
      <c r="GF72" t="e">
        <f>AND(ConsolidatedEventList!B310,"AAAAAG3/3Ls=")</f>
        <v>#VALUE!</v>
      </c>
      <c r="GG72" t="e">
        <f>AND(ConsolidatedEventList!C310,"AAAAAG3/3Lw=")</f>
        <v>#VALUE!</v>
      </c>
      <c r="GH72" t="e">
        <f>AND(ConsolidatedEventList!D310,"AAAAAG3/3L0=")</f>
        <v>#VALUE!</v>
      </c>
      <c r="GI72" t="e">
        <f>AND(ConsolidatedEventList!E310,"AAAAAG3/3L4=")</f>
        <v>#VALUE!</v>
      </c>
      <c r="GJ72" t="e">
        <f>AND(ConsolidatedEventList!F310,"AAAAAG3/3L8=")</f>
        <v>#VALUE!</v>
      </c>
      <c r="GK72" t="e">
        <f>AND(ConsolidatedEventList!G310,"AAAAAG3/3MA=")</f>
        <v>#VALUE!</v>
      </c>
      <c r="GL72" t="e">
        <f>AND(ConsolidatedEventList!H310,"AAAAAG3/3ME=")</f>
        <v>#VALUE!</v>
      </c>
      <c r="GM72">
        <f>IF(ConsolidatedEventList!311:311,"AAAAAG3/3MI=",0)</f>
        <v>0</v>
      </c>
      <c r="GN72" t="e">
        <f>AND(ConsolidatedEventList!A311,"AAAAAG3/3MM=")</f>
        <v>#VALUE!</v>
      </c>
      <c r="GO72" t="e">
        <f>AND(ConsolidatedEventList!B311,"AAAAAG3/3MQ=")</f>
        <v>#VALUE!</v>
      </c>
      <c r="GP72" t="e">
        <f>AND(ConsolidatedEventList!C311,"AAAAAG3/3MU=")</f>
        <v>#VALUE!</v>
      </c>
      <c r="GQ72" t="e">
        <f>AND(ConsolidatedEventList!D311,"AAAAAG3/3MY=")</f>
        <v>#VALUE!</v>
      </c>
      <c r="GR72" t="e">
        <f>AND(ConsolidatedEventList!E311,"AAAAAG3/3Mc=")</f>
        <v>#VALUE!</v>
      </c>
      <c r="GS72" t="e">
        <f>AND(ConsolidatedEventList!F311,"AAAAAG3/3Mg=")</f>
        <v>#VALUE!</v>
      </c>
      <c r="GT72" t="e">
        <f>AND(ConsolidatedEventList!G311,"AAAAAG3/3Mk=")</f>
        <v>#VALUE!</v>
      </c>
      <c r="GU72" t="e">
        <f>AND(ConsolidatedEventList!H311,"AAAAAG3/3Mo=")</f>
        <v>#VALUE!</v>
      </c>
      <c r="GV72">
        <f>IF(ConsolidatedEventList!312:312,"AAAAAG3/3Ms=",0)</f>
        <v>0</v>
      </c>
      <c r="GW72" t="e">
        <f>AND(ConsolidatedEventList!A312,"AAAAAG3/3Mw=")</f>
        <v>#VALUE!</v>
      </c>
      <c r="GX72" t="e">
        <f>AND(ConsolidatedEventList!B312,"AAAAAG3/3M0=")</f>
        <v>#VALUE!</v>
      </c>
      <c r="GY72" t="e">
        <f>AND(ConsolidatedEventList!C312,"AAAAAG3/3M4=")</f>
        <v>#VALUE!</v>
      </c>
      <c r="GZ72" t="e">
        <f>AND(ConsolidatedEventList!D312,"AAAAAG3/3M8=")</f>
        <v>#VALUE!</v>
      </c>
      <c r="HA72" t="e">
        <f>AND(ConsolidatedEventList!E312,"AAAAAG3/3NA=")</f>
        <v>#VALUE!</v>
      </c>
      <c r="HB72" t="e">
        <f>AND(ConsolidatedEventList!F312,"AAAAAG3/3NE=")</f>
        <v>#VALUE!</v>
      </c>
      <c r="HC72" t="e">
        <f>AND(ConsolidatedEventList!G312,"AAAAAG3/3NI=")</f>
        <v>#VALUE!</v>
      </c>
      <c r="HD72" t="e">
        <f>AND(ConsolidatedEventList!H312,"AAAAAG3/3NM=")</f>
        <v>#VALUE!</v>
      </c>
      <c r="HE72">
        <f>IF(ConsolidatedEventList!313:313,"AAAAAG3/3NQ=",0)</f>
        <v>0</v>
      </c>
      <c r="HF72" t="e">
        <f>AND(ConsolidatedEventList!A313,"AAAAAG3/3NU=")</f>
        <v>#VALUE!</v>
      </c>
      <c r="HG72" t="e">
        <f>AND(ConsolidatedEventList!B313,"AAAAAG3/3NY=")</f>
        <v>#VALUE!</v>
      </c>
      <c r="HH72" t="e">
        <f>AND(ConsolidatedEventList!C313,"AAAAAG3/3Nc=")</f>
        <v>#VALUE!</v>
      </c>
      <c r="HI72" t="e">
        <f>AND(ConsolidatedEventList!D313,"AAAAAG3/3Ng=")</f>
        <v>#VALUE!</v>
      </c>
      <c r="HJ72" t="e">
        <f>AND(ConsolidatedEventList!E313,"AAAAAG3/3Nk=")</f>
        <v>#VALUE!</v>
      </c>
      <c r="HK72" t="e">
        <f>AND(ConsolidatedEventList!F313,"AAAAAG3/3No=")</f>
        <v>#VALUE!</v>
      </c>
      <c r="HL72" t="e">
        <f>AND(ConsolidatedEventList!G313,"AAAAAG3/3Ns=")</f>
        <v>#VALUE!</v>
      </c>
      <c r="HM72" t="e">
        <f>AND(ConsolidatedEventList!H313,"AAAAAG3/3Nw=")</f>
        <v>#VALUE!</v>
      </c>
      <c r="HN72">
        <f>IF(ConsolidatedEventList!314:314,"AAAAAG3/3N0=",0)</f>
        <v>0</v>
      </c>
      <c r="HO72" t="e">
        <f>AND(ConsolidatedEventList!A314,"AAAAAG3/3N4=")</f>
        <v>#VALUE!</v>
      </c>
      <c r="HP72" t="e">
        <f>AND(ConsolidatedEventList!B314,"AAAAAG3/3N8=")</f>
        <v>#VALUE!</v>
      </c>
      <c r="HQ72" t="e">
        <f>AND(ConsolidatedEventList!C314,"AAAAAG3/3OA=")</f>
        <v>#VALUE!</v>
      </c>
      <c r="HR72" t="e">
        <f>AND(ConsolidatedEventList!D314,"AAAAAG3/3OE=")</f>
        <v>#VALUE!</v>
      </c>
      <c r="HS72" t="e">
        <f>AND(ConsolidatedEventList!E314,"AAAAAG3/3OI=")</f>
        <v>#VALUE!</v>
      </c>
      <c r="HT72" t="e">
        <f>AND(ConsolidatedEventList!F314,"AAAAAG3/3OM=")</f>
        <v>#VALUE!</v>
      </c>
      <c r="HU72" t="e">
        <f>AND(ConsolidatedEventList!G314,"AAAAAG3/3OQ=")</f>
        <v>#VALUE!</v>
      </c>
      <c r="HV72" t="e">
        <f>AND(ConsolidatedEventList!H314,"AAAAAG3/3OU=")</f>
        <v>#VALUE!</v>
      </c>
      <c r="HW72">
        <f>IF(ConsolidatedEventList!315:315,"AAAAAG3/3OY=",0)</f>
        <v>0</v>
      </c>
      <c r="HX72" t="e">
        <f>AND(ConsolidatedEventList!A315,"AAAAAG3/3Oc=")</f>
        <v>#VALUE!</v>
      </c>
      <c r="HY72" t="e">
        <f>AND(ConsolidatedEventList!B315,"AAAAAG3/3Og=")</f>
        <v>#VALUE!</v>
      </c>
      <c r="HZ72" t="e">
        <f>AND(ConsolidatedEventList!C315,"AAAAAG3/3Ok=")</f>
        <v>#VALUE!</v>
      </c>
      <c r="IA72" t="e">
        <f>AND(ConsolidatedEventList!D315,"AAAAAG3/3Oo=")</f>
        <v>#VALUE!</v>
      </c>
      <c r="IB72" t="e">
        <f>AND(ConsolidatedEventList!E315,"AAAAAG3/3Os=")</f>
        <v>#VALUE!</v>
      </c>
      <c r="IC72" t="e">
        <f>AND(ConsolidatedEventList!F315,"AAAAAG3/3Ow=")</f>
        <v>#VALUE!</v>
      </c>
      <c r="ID72" t="e">
        <f>AND(ConsolidatedEventList!G315,"AAAAAG3/3O0=")</f>
        <v>#VALUE!</v>
      </c>
      <c r="IE72" t="e">
        <f>AND(ConsolidatedEventList!H315,"AAAAAG3/3O4=")</f>
        <v>#VALUE!</v>
      </c>
      <c r="IF72">
        <f>IF(ConsolidatedEventList!316:316,"AAAAAG3/3O8=",0)</f>
        <v>0</v>
      </c>
      <c r="IG72" t="e">
        <f>AND(ConsolidatedEventList!A316,"AAAAAG3/3PA=")</f>
        <v>#VALUE!</v>
      </c>
      <c r="IH72" t="e">
        <f>AND(ConsolidatedEventList!B316,"AAAAAG3/3PE=")</f>
        <v>#VALUE!</v>
      </c>
      <c r="II72" t="e">
        <f>AND(ConsolidatedEventList!C316,"AAAAAG3/3PI=")</f>
        <v>#VALUE!</v>
      </c>
      <c r="IJ72" t="e">
        <f>AND(ConsolidatedEventList!D316,"AAAAAG3/3PM=")</f>
        <v>#VALUE!</v>
      </c>
      <c r="IK72" t="e">
        <f>AND(ConsolidatedEventList!E316,"AAAAAG3/3PQ=")</f>
        <v>#VALUE!</v>
      </c>
      <c r="IL72" t="e">
        <f>AND(ConsolidatedEventList!F316,"AAAAAG3/3PU=")</f>
        <v>#VALUE!</v>
      </c>
      <c r="IM72" t="e">
        <f>AND(ConsolidatedEventList!G316,"AAAAAG3/3PY=")</f>
        <v>#VALUE!</v>
      </c>
      <c r="IN72" t="e">
        <f>AND(ConsolidatedEventList!H316,"AAAAAG3/3Pc=")</f>
        <v>#VALUE!</v>
      </c>
      <c r="IO72">
        <f>IF(ConsolidatedEventList!317:317,"AAAAAG3/3Pg=",0)</f>
        <v>0</v>
      </c>
      <c r="IP72" t="e">
        <f>AND(ConsolidatedEventList!A317,"AAAAAG3/3Pk=")</f>
        <v>#VALUE!</v>
      </c>
      <c r="IQ72" t="e">
        <f>AND(ConsolidatedEventList!B317,"AAAAAG3/3Po=")</f>
        <v>#VALUE!</v>
      </c>
      <c r="IR72" t="e">
        <f>AND(ConsolidatedEventList!C317,"AAAAAG3/3Ps=")</f>
        <v>#VALUE!</v>
      </c>
      <c r="IS72" t="e">
        <f>AND(ConsolidatedEventList!D317,"AAAAAG3/3Pw=")</f>
        <v>#VALUE!</v>
      </c>
      <c r="IT72" t="e">
        <f>AND(ConsolidatedEventList!E317,"AAAAAG3/3P0=")</f>
        <v>#VALUE!</v>
      </c>
      <c r="IU72" t="e">
        <f>AND(ConsolidatedEventList!F317,"AAAAAG3/3P4=")</f>
        <v>#VALUE!</v>
      </c>
      <c r="IV72" t="e">
        <f>AND(ConsolidatedEventList!G317,"AAAAAG3/3P8=")</f>
        <v>#VALUE!</v>
      </c>
    </row>
    <row r="73" spans="1:256" x14ac:dyDescent="0.25">
      <c r="A73" t="e">
        <f>AND(ConsolidatedEventList!H317,"AAAAAGZLawA=")</f>
        <v>#VALUE!</v>
      </c>
      <c r="B73" t="str">
        <f>IF(ConsolidatedEventList!318:318,"AAAAAGZLawE=",0)</f>
        <v>AAAAAGZLawE=</v>
      </c>
      <c r="C73" t="e">
        <f>AND(ConsolidatedEventList!A318,"AAAAAGZLawI=")</f>
        <v>#VALUE!</v>
      </c>
      <c r="D73" t="e">
        <f>AND(ConsolidatedEventList!B318,"AAAAAGZLawM=")</f>
        <v>#VALUE!</v>
      </c>
      <c r="E73" t="e">
        <f>AND(ConsolidatedEventList!C318,"AAAAAGZLawQ=")</f>
        <v>#VALUE!</v>
      </c>
      <c r="F73" t="e">
        <f>AND(ConsolidatedEventList!D318,"AAAAAGZLawU=")</f>
        <v>#VALUE!</v>
      </c>
      <c r="G73" t="e">
        <f>AND(ConsolidatedEventList!E318,"AAAAAGZLawY=")</f>
        <v>#VALUE!</v>
      </c>
      <c r="H73" t="e">
        <f>AND(ConsolidatedEventList!F318,"AAAAAGZLawc=")</f>
        <v>#VALUE!</v>
      </c>
      <c r="I73" t="e">
        <f>AND(ConsolidatedEventList!G318,"AAAAAGZLawg=")</f>
        <v>#VALUE!</v>
      </c>
      <c r="J73" t="e">
        <f>AND(ConsolidatedEventList!H318,"AAAAAGZLawk=")</f>
        <v>#VALUE!</v>
      </c>
      <c r="K73">
        <f>IF(ConsolidatedEventList!319:319,"AAAAAGZLawo=",0)</f>
        <v>0</v>
      </c>
      <c r="L73" t="e">
        <f>AND(ConsolidatedEventList!A319,"AAAAAGZLaws=")</f>
        <v>#VALUE!</v>
      </c>
      <c r="M73" t="e">
        <f>AND(ConsolidatedEventList!B319,"AAAAAGZLaww=")</f>
        <v>#VALUE!</v>
      </c>
      <c r="N73" t="e">
        <f>AND(ConsolidatedEventList!C319,"AAAAAGZLaw0=")</f>
        <v>#VALUE!</v>
      </c>
      <c r="O73" t="e">
        <f>AND(ConsolidatedEventList!D319,"AAAAAGZLaw4=")</f>
        <v>#VALUE!</v>
      </c>
      <c r="P73" t="e">
        <f>AND(ConsolidatedEventList!E319,"AAAAAGZLaw8=")</f>
        <v>#VALUE!</v>
      </c>
      <c r="Q73" t="e">
        <f>AND(ConsolidatedEventList!F319,"AAAAAGZLaxA=")</f>
        <v>#VALUE!</v>
      </c>
      <c r="R73" t="e">
        <f>AND(ConsolidatedEventList!G319,"AAAAAGZLaxE=")</f>
        <v>#VALUE!</v>
      </c>
      <c r="S73" t="e">
        <f>AND(ConsolidatedEventList!H319,"AAAAAGZLaxI=")</f>
        <v>#VALUE!</v>
      </c>
      <c r="T73">
        <f>IF(ConsolidatedEventList!320:320,"AAAAAGZLaxM=",0)</f>
        <v>0</v>
      </c>
      <c r="U73" t="e">
        <f>AND(ConsolidatedEventList!A320,"AAAAAGZLaxQ=")</f>
        <v>#VALUE!</v>
      </c>
      <c r="V73" t="e">
        <f>AND(ConsolidatedEventList!B320,"AAAAAGZLaxU=")</f>
        <v>#VALUE!</v>
      </c>
      <c r="W73" t="e">
        <f>AND(ConsolidatedEventList!C320,"AAAAAGZLaxY=")</f>
        <v>#VALUE!</v>
      </c>
      <c r="X73" t="e">
        <f>AND(ConsolidatedEventList!D320,"AAAAAGZLaxc=")</f>
        <v>#VALUE!</v>
      </c>
      <c r="Y73" t="e">
        <f>AND(ConsolidatedEventList!E320,"AAAAAGZLaxg=")</f>
        <v>#VALUE!</v>
      </c>
      <c r="Z73" t="e">
        <f>AND(ConsolidatedEventList!F320,"AAAAAGZLaxk=")</f>
        <v>#VALUE!</v>
      </c>
      <c r="AA73" t="e">
        <f>AND(ConsolidatedEventList!G320,"AAAAAGZLaxo=")</f>
        <v>#VALUE!</v>
      </c>
      <c r="AB73" t="e">
        <f>AND(ConsolidatedEventList!H320,"AAAAAGZLaxs=")</f>
        <v>#VALUE!</v>
      </c>
      <c r="AC73">
        <f>IF(ConsolidatedEventList!321:321,"AAAAAGZLaxw=",0)</f>
        <v>0</v>
      </c>
      <c r="AD73" t="e">
        <f>AND(ConsolidatedEventList!A321,"AAAAAGZLax0=")</f>
        <v>#VALUE!</v>
      </c>
      <c r="AE73" t="e">
        <f>AND(ConsolidatedEventList!B321,"AAAAAGZLax4=")</f>
        <v>#VALUE!</v>
      </c>
      <c r="AF73" t="e">
        <f>AND(ConsolidatedEventList!C321,"AAAAAGZLax8=")</f>
        <v>#VALUE!</v>
      </c>
      <c r="AG73" t="e">
        <f>AND(ConsolidatedEventList!D321,"AAAAAGZLayA=")</f>
        <v>#VALUE!</v>
      </c>
      <c r="AH73" t="e">
        <f>AND(ConsolidatedEventList!E321,"AAAAAGZLayE=")</f>
        <v>#VALUE!</v>
      </c>
      <c r="AI73" t="e">
        <f>AND(ConsolidatedEventList!F321,"AAAAAGZLayI=")</f>
        <v>#VALUE!</v>
      </c>
      <c r="AJ73" t="e">
        <f>AND(ConsolidatedEventList!G321,"AAAAAGZLayM=")</f>
        <v>#VALUE!</v>
      </c>
      <c r="AK73" t="e">
        <f>AND(ConsolidatedEventList!H321,"AAAAAGZLayQ=")</f>
        <v>#VALUE!</v>
      </c>
      <c r="AL73">
        <f>IF(ConsolidatedEventList!322:322,"AAAAAGZLayU=",0)</f>
        <v>0</v>
      </c>
      <c r="AM73" t="e">
        <f>AND(ConsolidatedEventList!A322,"AAAAAGZLayY=")</f>
        <v>#VALUE!</v>
      </c>
      <c r="AN73" t="e">
        <f>AND(ConsolidatedEventList!B322,"AAAAAGZLayc=")</f>
        <v>#VALUE!</v>
      </c>
      <c r="AO73" t="e">
        <f>AND(ConsolidatedEventList!C322,"AAAAAGZLayg=")</f>
        <v>#VALUE!</v>
      </c>
      <c r="AP73" t="e">
        <f>AND(ConsolidatedEventList!D322,"AAAAAGZLayk=")</f>
        <v>#VALUE!</v>
      </c>
      <c r="AQ73" t="e">
        <f>AND(ConsolidatedEventList!E322,"AAAAAGZLayo=")</f>
        <v>#VALUE!</v>
      </c>
      <c r="AR73" t="e">
        <f>AND(ConsolidatedEventList!F322,"AAAAAGZLays=")</f>
        <v>#VALUE!</v>
      </c>
      <c r="AS73" t="e">
        <f>AND(ConsolidatedEventList!G322,"AAAAAGZLayw=")</f>
        <v>#VALUE!</v>
      </c>
      <c r="AT73" t="e">
        <f>AND(ConsolidatedEventList!H322,"AAAAAGZLay0=")</f>
        <v>#VALUE!</v>
      </c>
      <c r="AU73" t="e">
        <f>IF(ConsolidatedEventList!#REF!,"AAAAAGZLay4=",0)</f>
        <v>#REF!</v>
      </c>
      <c r="AV73" t="e">
        <f>AND(ConsolidatedEventList!#REF!,"AAAAAGZLay8=")</f>
        <v>#REF!</v>
      </c>
      <c r="AW73" t="e">
        <f>AND(ConsolidatedEventList!#REF!,"AAAAAGZLazA=")</f>
        <v>#REF!</v>
      </c>
      <c r="AX73" t="e">
        <f>AND(ConsolidatedEventList!#REF!,"AAAAAGZLazE=")</f>
        <v>#REF!</v>
      </c>
      <c r="AY73" t="e">
        <f>AND(ConsolidatedEventList!#REF!,"AAAAAGZLazI=")</f>
        <v>#REF!</v>
      </c>
      <c r="AZ73" t="e">
        <f>AND(ConsolidatedEventList!#REF!,"AAAAAGZLazM=")</f>
        <v>#REF!</v>
      </c>
      <c r="BA73" t="e">
        <f>AND(ConsolidatedEventList!#REF!,"AAAAAGZLazQ=")</f>
        <v>#REF!</v>
      </c>
      <c r="BB73" t="e">
        <f>AND(ConsolidatedEventList!#REF!,"AAAAAGZLazU=")</f>
        <v>#REF!</v>
      </c>
      <c r="BC73" t="e">
        <f>AND(ConsolidatedEventList!#REF!,"AAAAAGZLazY=")</f>
        <v>#REF!</v>
      </c>
      <c r="BD73" t="e">
        <f>IF(ConsolidatedEventList!#REF!,"AAAAAGZLazc=",0)</f>
        <v>#REF!</v>
      </c>
      <c r="BE73" t="e">
        <f>AND(ConsolidatedEventList!#REF!,"AAAAAGZLazg=")</f>
        <v>#REF!</v>
      </c>
      <c r="BF73" t="e">
        <f>AND(ConsolidatedEventList!#REF!,"AAAAAGZLazk=")</f>
        <v>#REF!</v>
      </c>
      <c r="BG73" t="e">
        <f>AND(ConsolidatedEventList!#REF!,"AAAAAGZLazo=")</f>
        <v>#REF!</v>
      </c>
      <c r="BH73" t="e">
        <f>AND(ConsolidatedEventList!#REF!,"AAAAAGZLazs=")</f>
        <v>#REF!</v>
      </c>
      <c r="BI73" t="e">
        <f>AND(ConsolidatedEventList!#REF!,"AAAAAGZLazw=")</f>
        <v>#REF!</v>
      </c>
      <c r="BJ73" t="e">
        <f>AND(ConsolidatedEventList!#REF!,"AAAAAGZLaz0=")</f>
        <v>#REF!</v>
      </c>
      <c r="BK73" t="e">
        <f>AND(ConsolidatedEventList!#REF!,"AAAAAGZLaz4=")</f>
        <v>#REF!</v>
      </c>
      <c r="BL73" t="e">
        <f>AND(ConsolidatedEventList!#REF!,"AAAAAGZLaz8=")</f>
        <v>#REF!</v>
      </c>
      <c r="BM73">
        <f>IF(ConsolidatedEventList!323:323,"AAAAAGZLa0A=",0)</f>
        <v>0</v>
      </c>
      <c r="BN73" t="e">
        <f>AND(ConsolidatedEventList!A323,"AAAAAGZLa0E=")</f>
        <v>#VALUE!</v>
      </c>
      <c r="BO73" t="e">
        <f>AND(ConsolidatedEventList!B323,"AAAAAGZLa0I=")</f>
        <v>#VALUE!</v>
      </c>
      <c r="BP73" t="e">
        <f>AND(ConsolidatedEventList!C323,"AAAAAGZLa0M=")</f>
        <v>#VALUE!</v>
      </c>
      <c r="BQ73" t="e">
        <f>AND(ConsolidatedEventList!D323,"AAAAAGZLa0Q=")</f>
        <v>#VALUE!</v>
      </c>
      <c r="BR73" t="e">
        <f>AND(ConsolidatedEventList!E323,"AAAAAGZLa0U=")</f>
        <v>#VALUE!</v>
      </c>
      <c r="BS73" t="e">
        <f>AND(ConsolidatedEventList!F323,"AAAAAGZLa0Y=")</f>
        <v>#VALUE!</v>
      </c>
      <c r="BT73" t="e">
        <f>AND(ConsolidatedEventList!G323,"AAAAAGZLa0c=")</f>
        <v>#VALUE!</v>
      </c>
      <c r="BU73" t="e">
        <f>AND(ConsolidatedEventList!H323,"AAAAAGZLa0g=")</f>
        <v>#VALUE!</v>
      </c>
      <c r="BV73">
        <f>IF(ConsolidatedEventList!324:324,"AAAAAGZLa0k=",0)</f>
        <v>0</v>
      </c>
      <c r="BW73" t="e">
        <f>AND(ConsolidatedEventList!A324,"AAAAAGZLa0o=")</f>
        <v>#VALUE!</v>
      </c>
      <c r="BX73" t="e">
        <f>AND(ConsolidatedEventList!B324,"AAAAAGZLa0s=")</f>
        <v>#VALUE!</v>
      </c>
      <c r="BY73" t="e">
        <f>AND(ConsolidatedEventList!C324,"AAAAAGZLa0w=")</f>
        <v>#VALUE!</v>
      </c>
      <c r="BZ73" t="e">
        <f>AND(ConsolidatedEventList!D324,"AAAAAGZLa00=")</f>
        <v>#VALUE!</v>
      </c>
      <c r="CA73" t="e">
        <f>AND(ConsolidatedEventList!E324,"AAAAAGZLa04=")</f>
        <v>#VALUE!</v>
      </c>
      <c r="CB73" t="e">
        <f>AND(ConsolidatedEventList!F324,"AAAAAGZLa08=")</f>
        <v>#VALUE!</v>
      </c>
      <c r="CC73" t="e">
        <f>AND(ConsolidatedEventList!G324,"AAAAAGZLa1A=")</f>
        <v>#VALUE!</v>
      </c>
      <c r="CD73" t="e">
        <f>AND(ConsolidatedEventList!H324,"AAAAAGZLa1E=")</f>
        <v>#VALUE!</v>
      </c>
      <c r="CE73">
        <f>IF(ConsolidatedEventList!325:325,"AAAAAGZLa1I=",0)</f>
        <v>0</v>
      </c>
      <c r="CF73" t="e">
        <f>AND(ConsolidatedEventList!A325,"AAAAAGZLa1M=")</f>
        <v>#VALUE!</v>
      </c>
      <c r="CG73" t="e">
        <f>AND(ConsolidatedEventList!B325,"AAAAAGZLa1Q=")</f>
        <v>#VALUE!</v>
      </c>
      <c r="CH73" t="e">
        <f>AND(ConsolidatedEventList!C325,"AAAAAGZLa1U=")</f>
        <v>#VALUE!</v>
      </c>
      <c r="CI73" t="e">
        <f>AND(ConsolidatedEventList!D325,"AAAAAGZLa1Y=")</f>
        <v>#VALUE!</v>
      </c>
      <c r="CJ73" t="e">
        <f>AND(ConsolidatedEventList!E325,"AAAAAGZLa1c=")</f>
        <v>#VALUE!</v>
      </c>
      <c r="CK73" t="e">
        <f>AND(ConsolidatedEventList!F325,"AAAAAGZLa1g=")</f>
        <v>#VALUE!</v>
      </c>
      <c r="CL73" t="e">
        <f>AND(ConsolidatedEventList!G325,"AAAAAGZLa1k=")</f>
        <v>#VALUE!</v>
      </c>
      <c r="CM73" t="e">
        <f>AND(ConsolidatedEventList!H325,"AAAAAGZLa1o=")</f>
        <v>#VALUE!</v>
      </c>
      <c r="CN73">
        <f>IF(ConsolidatedEventList!326:326,"AAAAAGZLa1s=",0)</f>
        <v>0</v>
      </c>
      <c r="CO73" t="e">
        <f>AND(ConsolidatedEventList!A326,"AAAAAGZLa1w=")</f>
        <v>#VALUE!</v>
      </c>
      <c r="CP73" t="e">
        <f>AND(ConsolidatedEventList!B326,"AAAAAGZLa10=")</f>
        <v>#VALUE!</v>
      </c>
      <c r="CQ73" t="e">
        <f>AND(ConsolidatedEventList!C326,"AAAAAGZLa14=")</f>
        <v>#VALUE!</v>
      </c>
      <c r="CR73" t="e">
        <f>AND(ConsolidatedEventList!D326,"AAAAAGZLa18=")</f>
        <v>#VALUE!</v>
      </c>
      <c r="CS73" t="e">
        <f>AND(ConsolidatedEventList!E326,"AAAAAGZLa2A=")</f>
        <v>#VALUE!</v>
      </c>
      <c r="CT73" t="e">
        <f>AND(ConsolidatedEventList!F326,"AAAAAGZLa2E=")</f>
        <v>#VALUE!</v>
      </c>
      <c r="CU73" t="e">
        <f>AND(ConsolidatedEventList!G326,"AAAAAGZLa2I=")</f>
        <v>#VALUE!</v>
      </c>
      <c r="CV73" t="e">
        <f>AND(ConsolidatedEventList!H326,"AAAAAGZLa2M=")</f>
        <v>#VALUE!</v>
      </c>
      <c r="CW73">
        <f>IF(ConsolidatedEventList!327:327,"AAAAAGZLa2Q=",0)</f>
        <v>0</v>
      </c>
      <c r="CX73" t="e">
        <f>AND(ConsolidatedEventList!A327,"AAAAAGZLa2U=")</f>
        <v>#VALUE!</v>
      </c>
      <c r="CY73" t="e">
        <f>AND(ConsolidatedEventList!B327,"AAAAAGZLa2Y=")</f>
        <v>#VALUE!</v>
      </c>
      <c r="CZ73" t="e">
        <f>AND(ConsolidatedEventList!C327,"AAAAAGZLa2c=")</f>
        <v>#VALUE!</v>
      </c>
      <c r="DA73" t="e">
        <f>AND(ConsolidatedEventList!D327,"AAAAAGZLa2g=")</f>
        <v>#VALUE!</v>
      </c>
      <c r="DB73" t="e">
        <f>AND(ConsolidatedEventList!E327,"AAAAAGZLa2k=")</f>
        <v>#VALUE!</v>
      </c>
      <c r="DC73" t="e">
        <f>AND(ConsolidatedEventList!F327,"AAAAAGZLa2o=")</f>
        <v>#VALUE!</v>
      </c>
      <c r="DD73" t="e">
        <f>AND(ConsolidatedEventList!G327,"AAAAAGZLa2s=")</f>
        <v>#VALUE!</v>
      </c>
      <c r="DE73" t="e">
        <f>AND(ConsolidatedEventList!H327,"AAAAAGZLa2w=")</f>
        <v>#VALUE!</v>
      </c>
      <c r="DF73">
        <f>IF(ConsolidatedEventList!328:328,"AAAAAGZLa20=",0)</f>
        <v>0</v>
      </c>
      <c r="DG73" t="e">
        <f>AND(ConsolidatedEventList!A328,"AAAAAGZLa24=")</f>
        <v>#VALUE!</v>
      </c>
      <c r="DH73" t="e">
        <f>AND(ConsolidatedEventList!B328,"AAAAAGZLa28=")</f>
        <v>#VALUE!</v>
      </c>
      <c r="DI73" t="e">
        <f>AND(ConsolidatedEventList!C328,"AAAAAGZLa3A=")</f>
        <v>#VALUE!</v>
      </c>
      <c r="DJ73" t="e">
        <f>AND(ConsolidatedEventList!D328,"AAAAAGZLa3E=")</f>
        <v>#VALUE!</v>
      </c>
      <c r="DK73" t="e">
        <f>AND(ConsolidatedEventList!E328,"AAAAAGZLa3I=")</f>
        <v>#VALUE!</v>
      </c>
      <c r="DL73" t="e">
        <f>AND(ConsolidatedEventList!F328,"AAAAAGZLa3M=")</f>
        <v>#VALUE!</v>
      </c>
      <c r="DM73" t="e">
        <f>AND(ConsolidatedEventList!G328,"AAAAAGZLa3Q=")</f>
        <v>#VALUE!</v>
      </c>
      <c r="DN73" t="e">
        <f>AND(ConsolidatedEventList!H328,"AAAAAGZLa3U=")</f>
        <v>#VALUE!</v>
      </c>
      <c r="DO73">
        <f>IF(ConsolidatedEventList!329:329,"AAAAAGZLa3Y=",0)</f>
        <v>0</v>
      </c>
      <c r="DP73" t="e">
        <f>AND(ConsolidatedEventList!A329,"AAAAAGZLa3c=")</f>
        <v>#VALUE!</v>
      </c>
      <c r="DQ73" t="e">
        <f>AND(ConsolidatedEventList!B329,"AAAAAGZLa3g=")</f>
        <v>#VALUE!</v>
      </c>
      <c r="DR73" t="e">
        <f>AND(ConsolidatedEventList!C329,"AAAAAGZLa3k=")</f>
        <v>#VALUE!</v>
      </c>
      <c r="DS73" t="e">
        <f>AND(ConsolidatedEventList!D329,"AAAAAGZLa3o=")</f>
        <v>#VALUE!</v>
      </c>
      <c r="DT73" t="e">
        <f>AND(ConsolidatedEventList!E329,"AAAAAGZLa3s=")</f>
        <v>#VALUE!</v>
      </c>
      <c r="DU73" t="e">
        <f>AND(ConsolidatedEventList!F329,"AAAAAGZLa3w=")</f>
        <v>#VALUE!</v>
      </c>
      <c r="DV73" t="e">
        <f>AND(ConsolidatedEventList!G329,"AAAAAGZLa30=")</f>
        <v>#VALUE!</v>
      </c>
      <c r="DW73" t="e">
        <f>AND(ConsolidatedEventList!H329,"AAAAAGZLa34=")</f>
        <v>#VALUE!</v>
      </c>
      <c r="DX73">
        <f>IF(ConsolidatedEventList!330:330,"AAAAAGZLa38=",0)</f>
        <v>0</v>
      </c>
      <c r="DY73" t="e">
        <f>AND(ConsolidatedEventList!A330,"AAAAAGZLa4A=")</f>
        <v>#VALUE!</v>
      </c>
      <c r="DZ73" t="e">
        <f>AND(ConsolidatedEventList!B330,"AAAAAGZLa4E=")</f>
        <v>#VALUE!</v>
      </c>
      <c r="EA73" t="e">
        <f>AND(ConsolidatedEventList!C330,"AAAAAGZLa4I=")</f>
        <v>#VALUE!</v>
      </c>
      <c r="EB73" t="e">
        <f>AND(ConsolidatedEventList!D330,"AAAAAGZLa4M=")</f>
        <v>#VALUE!</v>
      </c>
      <c r="EC73" t="e">
        <f>AND(ConsolidatedEventList!E330,"AAAAAGZLa4Q=")</f>
        <v>#VALUE!</v>
      </c>
      <c r="ED73" t="e">
        <f>AND(ConsolidatedEventList!F330,"AAAAAGZLa4U=")</f>
        <v>#VALUE!</v>
      </c>
      <c r="EE73" t="e">
        <f>AND(ConsolidatedEventList!G330,"AAAAAGZLa4Y=")</f>
        <v>#VALUE!</v>
      </c>
      <c r="EF73" t="e">
        <f>AND(ConsolidatedEventList!H330,"AAAAAGZLa4c=")</f>
        <v>#VALUE!</v>
      </c>
      <c r="EG73">
        <f>IF(ConsolidatedEventList!331:331,"AAAAAGZLa4g=",0)</f>
        <v>0</v>
      </c>
      <c r="EH73" t="e">
        <f>AND(ConsolidatedEventList!A331,"AAAAAGZLa4k=")</f>
        <v>#VALUE!</v>
      </c>
      <c r="EI73" t="e">
        <f>AND(ConsolidatedEventList!B331,"AAAAAGZLa4o=")</f>
        <v>#VALUE!</v>
      </c>
      <c r="EJ73" t="e">
        <f>AND(ConsolidatedEventList!C331,"AAAAAGZLa4s=")</f>
        <v>#VALUE!</v>
      </c>
      <c r="EK73" t="e">
        <f>AND(ConsolidatedEventList!D331,"AAAAAGZLa4w=")</f>
        <v>#VALUE!</v>
      </c>
      <c r="EL73" t="e">
        <f>AND(ConsolidatedEventList!E331,"AAAAAGZLa40=")</f>
        <v>#VALUE!</v>
      </c>
      <c r="EM73" t="e">
        <f>AND(ConsolidatedEventList!F331,"AAAAAGZLa44=")</f>
        <v>#VALUE!</v>
      </c>
      <c r="EN73" t="e">
        <f>AND(ConsolidatedEventList!G331,"AAAAAGZLa48=")</f>
        <v>#VALUE!</v>
      </c>
      <c r="EO73" t="e">
        <f>AND(ConsolidatedEventList!H331,"AAAAAGZLa5A=")</f>
        <v>#VALUE!</v>
      </c>
      <c r="EP73">
        <f>IF(ConsolidatedEventList!332:332,"AAAAAGZLa5E=",0)</f>
        <v>0</v>
      </c>
      <c r="EQ73" t="e">
        <f>AND(ConsolidatedEventList!A332,"AAAAAGZLa5I=")</f>
        <v>#VALUE!</v>
      </c>
      <c r="ER73" t="e">
        <f>AND(ConsolidatedEventList!B332,"AAAAAGZLa5M=")</f>
        <v>#VALUE!</v>
      </c>
      <c r="ES73" t="e">
        <f>AND(ConsolidatedEventList!C332,"AAAAAGZLa5Q=")</f>
        <v>#VALUE!</v>
      </c>
      <c r="ET73" t="e">
        <f>AND(ConsolidatedEventList!D332,"AAAAAGZLa5U=")</f>
        <v>#VALUE!</v>
      </c>
      <c r="EU73" t="e">
        <f>AND(ConsolidatedEventList!E332,"AAAAAGZLa5Y=")</f>
        <v>#VALUE!</v>
      </c>
      <c r="EV73" t="e">
        <f>AND(ConsolidatedEventList!F332,"AAAAAGZLa5c=")</f>
        <v>#VALUE!</v>
      </c>
      <c r="EW73" t="e">
        <f>AND(ConsolidatedEventList!G332,"AAAAAGZLa5g=")</f>
        <v>#VALUE!</v>
      </c>
      <c r="EX73" t="e">
        <f>AND(ConsolidatedEventList!H332,"AAAAAGZLa5k=")</f>
        <v>#VALUE!</v>
      </c>
      <c r="EY73">
        <f>IF(ConsolidatedEventList!333:333,"AAAAAGZLa5o=",0)</f>
        <v>0</v>
      </c>
      <c r="EZ73" t="e">
        <f>AND(ConsolidatedEventList!A333,"AAAAAGZLa5s=")</f>
        <v>#VALUE!</v>
      </c>
      <c r="FA73" t="e">
        <f>AND(ConsolidatedEventList!B333,"AAAAAGZLa5w=")</f>
        <v>#VALUE!</v>
      </c>
      <c r="FB73" t="e">
        <f>AND(ConsolidatedEventList!C333,"AAAAAGZLa50=")</f>
        <v>#VALUE!</v>
      </c>
      <c r="FC73" t="e">
        <f>AND(ConsolidatedEventList!D333,"AAAAAGZLa54=")</f>
        <v>#VALUE!</v>
      </c>
      <c r="FD73" t="e">
        <f>AND(ConsolidatedEventList!E333,"AAAAAGZLa58=")</f>
        <v>#VALUE!</v>
      </c>
      <c r="FE73" t="e">
        <f>AND(ConsolidatedEventList!F333,"AAAAAGZLa6A=")</f>
        <v>#VALUE!</v>
      </c>
      <c r="FF73" t="e">
        <f>AND(ConsolidatedEventList!G333,"AAAAAGZLa6E=")</f>
        <v>#VALUE!</v>
      </c>
      <c r="FG73" t="e">
        <f>AND(ConsolidatedEventList!H333,"AAAAAGZLa6I=")</f>
        <v>#VALUE!</v>
      </c>
      <c r="FH73">
        <f>IF(ConsolidatedEventList!334:334,"AAAAAGZLa6M=",0)</f>
        <v>0</v>
      </c>
      <c r="FI73" t="e">
        <f>AND(ConsolidatedEventList!A334,"AAAAAGZLa6Q=")</f>
        <v>#VALUE!</v>
      </c>
      <c r="FJ73" t="e">
        <f>AND(ConsolidatedEventList!B334,"AAAAAGZLa6U=")</f>
        <v>#VALUE!</v>
      </c>
      <c r="FK73" t="e">
        <f>AND(ConsolidatedEventList!C334,"AAAAAGZLa6Y=")</f>
        <v>#VALUE!</v>
      </c>
      <c r="FL73" t="e">
        <f>AND(ConsolidatedEventList!D334,"AAAAAGZLa6c=")</f>
        <v>#VALUE!</v>
      </c>
      <c r="FM73" t="e">
        <f>AND(ConsolidatedEventList!E334,"AAAAAGZLa6g=")</f>
        <v>#VALUE!</v>
      </c>
      <c r="FN73" t="e">
        <f>AND(ConsolidatedEventList!F334,"AAAAAGZLa6k=")</f>
        <v>#VALUE!</v>
      </c>
      <c r="FO73" t="e">
        <f>AND(ConsolidatedEventList!G334,"AAAAAGZLa6o=")</f>
        <v>#VALUE!</v>
      </c>
      <c r="FP73" t="e">
        <f>AND(ConsolidatedEventList!H334,"AAAAAGZLa6s=")</f>
        <v>#VALUE!</v>
      </c>
      <c r="FQ73">
        <f>IF(ConsolidatedEventList!335:335,"AAAAAGZLa6w=",0)</f>
        <v>0</v>
      </c>
      <c r="FR73" t="e">
        <f>AND(ConsolidatedEventList!A335,"AAAAAGZLa60=")</f>
        <v>#VALUE!</v>
      </c>
      <c r="FS73" t="e">
        <f>AND(ConsolidatedEventList!B335,"AAAAAGZLa64=")</f>
        <v>#VALUE!</v>
      </c>
      <c r="FT73" t="e">
        <f>AND(ConsolidatedEventList!C335,"AAAAAGZLa68=")</f>
        <v>#VALUE!</v>
      </c>
      <c r="FU73" t="e">
        <f>AND(ConsolidatedEventList!D335,"AAAAAGZLa7A=")</f>
        <v>#VALUE!</v>
      </c>
      <c r="FV73" t="e">
        <f>AND(ConsolidatedEventList!E335,"AAAAAGZLa7E=")</f>
        <v>#VALUE!</v>
      </c>
      <c r="FW73" t="e">
        <f>AND(ConsolidatedEventList!F335,"AAAAAGZLa7I=")</f>
        <v>#VALUE!</v>
      </c>
      <c r="FX73" t="e">
        <f>AND(ConsolidatedEventList!G335,"AAAAAGZLa7M=")</f>
        <v>#VALUE!</v>
      </c>
      <c r="FY73" t="e">
        <f>AND(ConsolidatedEventList!H335,"AAAAAGZLa7Q=")</f>
        <v>#VALUE!</v>
      </c>
      <c r="FZ73">
        <f>IF(ConsolidatedEventList!336:336,"AAAAAGZLa7U=",0)</f>
        <v>0</v>
      </c>
      <c r="GA73" t="e">
        <f>AND(ConsolidatedEventList!A336,"AAAAAGZLa7Y=")</f>
        <v>#VALUE!</v>
      </c>
      <c r="GB73" t="e">
        <f>AND(ConsolidatedEventList!B336,"AAAAAGZLa7c=")</f>
        <v>#VALUE!</v>
      </c>
      <c r="GC73" t="e">
        <f>AND(ConsolidatedEventList!C336,"AAAAAGZLa7g=")</f>
        <v>#VALUE!</v>
      </c>
      <c r="GD73" t="e">
        <f>AND(ConsolidatedEventList!D336,"AAAAAGZLa7k=")</f>
        <v>#VALUE!</v>
      </c>
      <c r="GE73" t="e">
        <f>AND(ConsolidatedEventList!E336,"AAAAAGZLa7o=")</f>
        <v>#VALUE!</v>
      </c>
      <c r="GF73" t="e">
        <f>AND(ConsolidatedEventList!F336,"AAAAAGZLa7s=")</f>
        <v>#VALUE!</v>
      </c>
      <c r="GG73" t="e">
        <f>AND(ConsolidatedEventList!G336,"AAAAAGZLa7w=")</f>
        <v>#VALUE!</v>
      </c>
      <c r="GH73" t="e">
        <f>AND(ConsolidatedEventList!H336,"AAAAAGZLa70=")</f>
        <v>#VALUE!</v>
      </c>
      <c r="GI73">
        <f>IF(ConsolidatedEventList!337:337,"AAAAAGZLa74=",0)</f>
        <v>0</v>
      </c>
      <c r="GJ73" t="e">
        <f>AND(ConsolidatedEventList!A337,"AAAAAGZLa78=")</f>
        <v>#VALUE!</v>
      </c>
      <c r="GK73" t="e">
        <f>AND(ConsolidatedEventList!B337,"AAAAAGZLa8A=")</f>
        <v>#VALUE!</v>
      </c>
      <c r="GL73" t="e">
        <f>AND(ConsolidatedEventList!C337,"AAAAAGZLa8E=")</f>
        <v>#VALUE!</v>
      </c>
      <c r="GM73" t="e">
        <f>AND(ConsolidatedEventList!D337,"AAAAAGZLa8I=")</f>
        <v>#VALUE!</v>
      </c>
      <c r="GN73" t="e">
        <f>AND(ConsolidatedEventList!E337,"AAAAAGZLa8M=")</f>
        <v>#VALUE!</v>
      </c>
      <c r="GO73" t="e">
        <f>AND(ConsolidatedEventList!F337,"AAAAAGZLa8Q=")</f>
        <v>#VALUE!</v>
      </c>
      <c r="GP73" t="e">
        <f>AND(ConsolidatedEventList!G337,"AAAAAGZLa8U=")</f>
        <v>#VALUE!</v>
      </c>
      <c r="GQ73" t="e">
        <f>AND(ConsolidatedEventList!H337,"AAAAAGZLa8Y=")</f>
        <v>#VALUE!</v>
      </c>
      <c r="GR73">
        <f>IF(ConsolidatedEventList!338:338,"AAAAAGZLa8c=",0)</f>
        <v>0</v>
      </c>
      <c r="GS73" t="e">
        <f>AND(ConsolidatedEventList!A338,"AAAAAGZLa8g=")</f>
        <v>#VALUE!</v>
      </c>
      <c r="GT73" t="e">
        <f>AND(ConsolidatedEventList!B338,"AAAAAGZLa8k=")</f>
        <v>#VALUE!</v>
      </c>
      <c r="GU73" t="e">
        <f>AND(ConsolidatedEventList!C338,"AAAAAGZLa8o=")</f>
        <v>#VALUE!</v>
      </c>
      <c r="GV73" t="e">
        <f>AND(ConsolidatedEventList!D338,"AAAAAGZLa8s=")</f>
        <v>#VALUE!</v>
      </c>
      <c r="GW73" t="e">
        <f>AND(ConsolidatedEventList!E338,"AAAAAGZLa8w=")</f>
        <v>#VALUE!</v>
      </c>
      <c r="GX73" t="e">
        <f>AND(ConsolidatedEventList!F338,"AAAAAGZLa80=")</f>
        <v>#VALUE!</v>
      </c>
      <c r="GY73" t="e">
        <f>AND(ConsolidatedEventList!G338,"AAAAAGZLa84=")</f>
        <v>#VALUE!</v>
      </c>
      <c r="GZ73" t="e">
        <f>AND(ConsolidatedEventList!H338,"AAAAAGZLa88=")</f>
        <v>#VALUE!</v>
      </c>
      <c r="HA73">
        <f>IF(ConsolidatedEventList!339:339,"AAAAAGZLa9A=",0)</f>
        <v>0</v>
      </c>
      <c r="HB73" t="e">
        <f>AND(ConsolidatedEventList!A339,"AAAAAGZLa9E=")</f>
        <v>#VALUE!</v>
      </c>
      <c r="HC73" t="e">
        <f>AND(ConsolidatedEventList!B339,"AAAAAGZLa9I=")</f>
        <v>#VALUE!</v>
      </c>
      <c r="HD73" t="e">
        <f>AND(ConsolidatedEventList!C339,"AAAAAGZLa9M=")</f>
        <v>#VALUE!</v>
      </c>
      <c r="HE73" t="e">
        <f>AND(ConsolidatedEventList!D339,"AAAAAGZLa9Q=")</f>
        <v>#VALUE!</v>
      </c>
      <c r="HF73" t="e">
        <f>AND(ConsolidatedEventList!E339,"AAAAAGZLa9U=")</f>
        <v>#VALUE!</v>
      </c>
      <c r="HG73" t="e">
        <f>AND(ConsolidatedEventList!F339,"AAAAAGZLa9Y=")</f>
        <v>#VALUE!</v>
      </c>
      <c r="HH73" t="e">
        <f>AND(ConsolidatedEventList!G339,"AAAAAGZLa9c=")</f>
        <v>#VALUE!</v>
      </c>
      <c r="HI73" t="e">
        <f>AND(ConsolidatedEventList!H339,"AAAAAGZLa9g=")</f>
        <v>#VALUE!</v>
      </c>
      <c r="HJ73">
        <f>IF(ConsolidatedEventList!340:340,"AAAAAGZLa9k=",0)</f>
        <v>0</v>
      </c>
      <c r="HK73" t="e">
        <f>AND(ConsolidatedEventList!A340,"AAAAAGZLa9o=")</f>
        <v>#VALUE!</v>
      </c>
      <c r="HL73" t="e">
        <f>AND(ConsolidatedEventList!B340,"AAAAAGZLa9s=")</f>
        <v>#VALUE!</v>
      </c>
      <c r="HM73" t="e">
        <f>AND(ConsolidatedEventList!C340,"AAAAAGZLa9w=")</f>
        <v>#VALUE!</v>
      </c>
      <c r="HN73" t="e">
        <f>AND(ConsolidatedEventList!D340,"AAAAAGZLa90=")</f>
        <v>#VALUE!</v>
      </c>
      <c r="HO73" t="e">
        <f>AND(ConsolidatedEventList!E340,"AAAAAGZLa94=")</f>
        <v>#VALUE!</v>
      </c>
      <c r="HP73" t="e">
        <f>AND(ConsolidatedEventList!F340,"AAAAAGZLa98=")</f>
        <v>#VALUE!</v>
      </c>
      <c r="HQ73" t="e">
        <f>AND(ConsolidatedEventList!G340,"AAAAAGZLa+A=")</f>
        <v>#VALUE!</v>
      </c>
      <c r="HR73" t="e">
        <f>AND(ConsolidatedEventList!H340,"AAAAAGZLa+E=")</f>
        <v>#VALUE!</v>
      </c>
      <c r="HS73">
        <f>IF(ConsolidatedEventList!341:341,"AAAAAGZLa+I=",0)</f>
        <v>0</v>
      </c>
      <c r="HT73" t="e">
        <f>AND(ConsolidatedEventList!A341,"AAAAAGZLa+M=")</f>
        <v>#VALUE!</v>
      </c>
      <c r="HU73" t="e">
        <f>AND(ConsolidatedEventList!B341,"AAAAAGZLa+Q=")</f>
        <v>#VALUE!</v>
      </c>
      <c r="HV73" t="e">
        <f>AND(ConsolidatedEventList!C341,"AAAAAGZLa+U=")</f>
        <v>#VALUE!</v>
      </c>
      <c r="HW73" t="e">
        <f>AND(ConsolidatedEventList!D341,"AAAAAGZLa+Y=")</f>
        <v>#VALUE!</v>
      </c>
      <c r="HX73" t="e">
        <f>AND(ConsolidatedEventList!E341,"AAAAAGZLa+c=")</f>
        <v>#VALUE!</v>
      </c>
      <c r="HY73" t="e">
        <f>AND(ConsolidatedEventList!F341,"AAAAAGZLa+g=")</f>
        <v>#VALUE!</v>
      </c>
      <c r="HZ73" t="e">
        <f>AND(ConsolidatedEventList!G341,"AAAAAGZLa+k=")</f>
        <v>#VALUE!</v>
      </c>
      <c r="IA73" t="e">
        <f>AND(ConsolidatedEventList!H341,"AAAAAGZLa+o=")</f>
        <v>#VALUE!</v>
      </c>
      <c r="IB73">
        <f>IF(ConsolidatedEventList!342:342,"AAAAAGZLa+s=",0)</f>
        <v>0</v>
      </c>
      <c r="IC73" t="e">
        <f>AND(ConsolidatedEventList!A342,"AAAAAGZLa+w=")</f>
        <v>#VALUE!</v>
      </c>
      <c r="ID73" t="e">
        <f>AND(ConsolidatedEventList!B342,"AAAAAGZLa+0=")</f>
        <v>#VALUE!</v>
      </c>
      <c r="IE73" t="e">
        <f>AND(ConsolidatedEventList!C342,"AAAAAGZLa+4=")</f>
        <v>#VALUE!</v>
      </c>
      <c r="IF73" t="e">
        <f>AND(ConsolidatedEventList!D342,"AAAAAGZLa+8=")</f>
        <v>#VALUE!</v>
      </c>
      <c r="IG73" t="e">
        <f>AND(ConsolidatedEventList!E342,"AAAAAGZLa/A=")</f>
        <v>#VALUE!</v>
      </c>
      <c r="IH73" t="e">
        <f>AND(ConsolidatedEventList!F342,"AAAAAGZLa/E=")</f>
        <v>#VALUE!</v>
      </c>
      <c r="II73" t="e">
        <f>AND(ConsolidatedEventList!G342,"AAAAAGZLa/I=")</f>
        <v>#VALUE!</v>
      </c>
      <c r="IJ73" t="e">
        <f>AND(ConsolidatedEventList!H342,"AAAAAGZLa/M=")</f>
        <v>#VALUE!</v>
      </c>
      <c r="IK73" t="e">
        <f>IF(ConsolidatedEventList!#REF!,"AAAAAGZLa/Q=",0)</f>
        <v>#REF!</v>
      </c>
      <c r="IL73" t="e">
        <f>AND(ConsolidatedEventList!#REF!,"AAAAAGZLa/U=")</f>
        <v>#REF!</v>
      </c>
      <c r="IM73" t="e">
        <f>AND(ConsolidatedEventList!#REF!,"AAAAAGZLa/Y=")</f>
        <v>#REF!</v>
      </c>
      <c r="IN73" t="e">
        <f>AND(ConsolidatedEventList!#REF!,"AAAAAGZLa/c=")</f>
        <v>#REF!</v>
      </c>
      <c r="IO73" t="e">
        <f>AND(ConsolidatedEventList!#REF!,"AAAAAGZLa/g=")</f>
        <v>#REF!</v>
      </c>
      <c r="IP73" t="e">
        <f>AND(ConsolidatedEventList!#REF!,"AAAAAGZLa/k=")</f>
        <v>#REF!</v>
      </c>
      <c r="IQ73" t="e">
        <f>AND(ConsolidatedEventList!#REF!,"AAAAAGZLa/o=")</f>
        <v>#REF!</v>
      </c>
      <c r="IR73" t="e">
        <f>AND(ConsolidatedEventList!#REF!,"AAAAAGZLa/s=")</f>
        <v>#REF!</v>
      </c>
      <c r="IS73" t="e">
        <f>AND(ConsolidatedEventList!#REF!,"AAAAAGZLa/w=")</f>
        <v>#REF!</v>
      </c>
      <c r="IT73" t="e">
        <f>IF(ConsolidatedEventList!#REF!,"AAAAAGZLa/0=",0)</f>
        <v>#REF!</v>
      </c>
      <c r="IU73" t="e">
        <f>AND(ConsolidatedEventList!#REF!,"AAAAAGZLa/4=")</f>
        <v>#REF!</v>
      </c>
      <c r="IV73" t="e">
        <f>AND(ConsolidatedEventList!#REF!,"AAAAAGZLa/8=")</f>
        <v>#REF!</v>
      </c>
    </row>
    <row r="74" spans="1:256" x14ac:dyDescent="0.25">
      <c r="A74" t="e">
        <f>AND(ConsolidatedEventList!#REF!,"AAAAAFH37wA=")</f>
        <v>#REF!</v>
      </c>
      <c r="B74" t="e">
        <f>AND(ConsolidatedEventList!#REF!,"AAAAAFH37wE=")</f>
        <v>#REF!</v>
      </c>
      <c r="C74" t="e">
        <f>AND(ConsolidatedEventList!#REF!,"AAAAAFH37wI=")</f>
        <v>#REF!</v>
      </c>
      <c r="D74" t="e">
        <f>AND(ConsolidatedEventList!#REF!,"AAAAAFH37wM=")</f>
        <v>#REF!</v>
      </c>
      <c r="E74" t="e">
        <f>AND(ConsolidatedEventList!#REF!,"AAAAAFH37wQ=")</f>
        <v>#REF!</v>
      </c>
      <c r="F74" t="e">
        <f>AND(ConsolidatedEventList!#REF!,"AAAAAFH37wU=")</f>
        <v>#REF!</v>
      </c>
      <c r="G74">
        <f>IF(ConsolidatedEventList!343:343,"AAAAAFH37wY=",0)</f>
        <v>0</v>
      </c>
      <c r="H74" t="e">
        <f>AND(ConsolidatedEventList!A343,"AAAAAFH37wc=")</f>
        <v>#VALUE!</v>
      </c>
      <c r="I74" t="e">
        <f>AND(ConsolidatedEventList!B343,"AAAAAFH37wg=")</f>
        <v>#VALUE!</v>
      </c>
      <c r="J74" t="e">
        <f>AND(ConsolidatedEventList!C343,"AAAAAFH37wk=")</f>
        <v>#VALUE!</v>
      </c>
      <c r="K74" t="e">
        <f>AND(ConsolidatedEventList!D343,"AAAAAFH37wo=")</f>
        <v>#VALUE!</v>
      </c>
      <c r="L74" t="e">
        <f>AND(ConsolidatedEventList!E343,"AAAAAFH37ws=")</f>
        <v>#VALUE!</v>
      </c>
      <c r="M74" t="e">
        <f>AND(ConsolidatedEventList!F343,"AAAAAFH37ww=")</f>
        <v>#VALUE!</v>
      </c>
      <c r="N74" t="e">
        <f>AND(ConsolidatedEventList!G343,"AAAAAFH37w0=")</f>
        <v>#VALUE!</v>
      </c>
      <c r="O74" t="e">
        <f>AND(ConsolidatedEventList!H343,"AAAAAFH37w4=")</f>
        <v>#VALUE!</v>
      </c>
      <c r="P74">
        <f>IF(ConsolidatedEventList!344:344,"AAAAAFH37w8=",0)</f>
        <v>0</v>
      </c>
      <c r="Q74" t="e">
        <f>AND(ConsolidatedEventList!A344,"AAAAAFH37xA=")</f>
        <v>#VALUE!</v>
      </c>
      <c r="R74" t="e">
        <f>AND(ConsolidatedEventList!B344,"AAAAAFH37xE=")</f>
        <v>#VALUE!</v>
      </c>
      <c r="S74" t="e">
        <f>AND(ConsolidatedEventList!C344,"AAAAAFH37xI=")</f>
        <v>#VALUE!</v>
      </c>
      <c r="T74" t="e">
        <f>AND(ConsolidatedEventList!D344,"AAAAAFH37xM=")</f>
        <v>#VALUE!</v>
      </c>
      <c r="U74" t="e">
        <f>AND(ConsolidatedEventList!E344,"AAAAAFH37xQ=")</f>
        <v>#VALUE!</v>
      </c>
      <c r="V74" t="e">
        <f>AND(ConsolidatedEventList!F344,"AAAAAFH37xU=")</f>
        <v>#VALUE!</v>
      </c>
      <c r="W74" t="e">
        <f>AND(ConsolidatedEventList!G344,"AAAAAFH37xY=")</f>
        <v>#VALUE!</v>
      </c>
      <c r="X74" t="e">
        <f>AND(ConsolidatedEventList!H344,"AAAAAFH37xc=")</f>
        <v>#VALUE!</v>
      </c>
      <c r="Y74">
        <f>IF(ConsolidatedEventList!345:345,"AAAAAFH37xg=",0)</f>
        <v>0</v>
      </c>
      <c r="Z74" t="e">
        <f>AND(ConsolidatedEventList!A345,"AAAAAFH37xk=")</f>
        <v>#VALUE!</v>
      </c>
      <c r="AA74" t="e">
        <f>AND(ConsolidatedEventList!B345,"AAAAAFH37xo=")</f>
        <v>#VALUE!</v>
      </c>
      <c r="AB74" t="e">
        <f>AND(ConsolidatedEventList!C345,"AAAAAFH37xs=")</f>
        <v>#VALUE!</v>
      </c>
      <c r="AC74" t="e">
        <f>AND(ConsolidatedEventList!D345,"AAAAAFH37xw=")</f>
        <v>#VALUE!</v>
      </c>
      <c r="AD74" t="e">
        <f>AND(ConsolidatedEventList!E345,"AAAAAFH37x0=")</f>
        <v>#VALUE!</v>
      </c>
      <c r="AE74" t="e">
        <f>AND(ConsolidatedEventList!F345,"AAAAAFH37x4=")</f>
        <v>#VALUE!</v>
      </c>
      <c r="AF74" t="e">
        <f>AND(ConsolidatedEventList!G345,"AAAAAFH37x8=")</f>
        <v>#VALUE!</v>
      </c>
      <c r="AG74" t="e">
        <f>AND(ConsolidatedEventList!H345,"AAAAAFH37yA=")</f>
        <v>#VALUE!</v>
      </c>
      <c r="AH74">
        <f>IF(ConsolidatedEventList!346:346,"AAAAAFH37yE=",0)</f>
        <v>0</v>
      </c>
      <c r="AI74" t="e">
        <f>AND(ConsolidatedEventList!A346,"AAAAAFH37yI=")</f>
        <v>#VALUE!</v>
      </c>
      <c r="AJ74" t="e">
        <f>AND(ConsolidatedEventList!B346,"AAAAAFH37yM=")</f>
        <v>#VALUE!</v>
      </c>
      <c r="AK74" t="e">
        <f>AND(ConsolidatedEventList!C346,"AAAAAFH37yQ=")</f>
        <v>#VALUE!</v>
      </c>
      <c r="AL74" t="e">
        <f>AND(ConsolidatedEventList!D346,"AAAAAFH37yU=")</f>
        <v>#VALUE!</v>
      </c>
      <c r="AM74" t="e">
        <f>AND(ConsolidatedEventList!E346,"AAAAAFH37yY=")</f>
        <v>#VALUE!</v>
      </c>
      <c r="AN74" t="e">
        <f>AND(ConsolidatedEventList!F346,"AAAAAFH37yc=")</f>
        <v>#VALUE!</v>
      </c>
      <c r="AO74" t="e">
        <f>AND(ConsolidatedEventList!G346,"AAAAAFH37yg=")</f>
        <v>#VALUE!</v>
      </c>
      <c r="AP74" t="e">
        <f>AND(ConsolidatedEventList!H346,"AAAAAFH37yk=")</f>
        <v>#VALUE!</v>
      </c>
      <c r="AQ74">
        <f>IF(ConsolidatedEventList!347:347,"AAAAAFH37yo=",0)</f>
        <v>0</v>
      </c>
      <c r="AR74" t="e">
        <f>AND(ConsolidatedEventList!A347,"AAAAAFH37ys=")</f>
        <v>#VALUE!</v>
      </c>
      <c r="AS74" t="e">
        <f>AND(ConsolidatedEventList!B347,"AAAAAFH37yw=")</f>
        <v>#VALUE!</v>
      </c>
      <c r="AT74" t="e">
        <f>AND(ConsolidatedEventList!C347,"AAAAAFH37y0=")</f>
        <v>#VALUE!</v>
      </c>
      <c r="AU74" t="e">
        <f>AND(ConsolidatedEventList!D347,"AAAAAFH37y4=")</f>
        <v>#VALUE!</v>
      </c>
      <c r="AV74" t="e">
        <f>AND(ConsolidatedEventList!E347,"AAAAAFH37y8=")</f>
        <v>#VALUE!</v>
      </c>
      <c r="AW74" t="e">
        <f>AND(ConsolidatedEventList!F347,"AAAAAFH37zA=")</f>
        <v>#VALUE!</v>
      </c>
      <c r="AX74" t="e">
        <f>AND(ConsolidatedEventList!G347,"AAAAAFH37zE=")</f>
        <v>#VALUE!</v>
      </c>
      <c r="AY74" t="e">
        <f>AND(ConsolidatedEventList!H347,"AAAAAFH37zI=")</f>
        <v>#VALUE!</v>
      </c>
      <c r="AZ74">
        <f>IF(ConsolidatedEventList!348:348,"AAAAAFH37zM=",0)</f>
        <v>0</v>
      </c>
      <c r="BA74" t="e">
        <f>AND(ConsolidatedEventList!A348,"AAAAAFH37zQ=")</f>
        <v>#VALUE!</v>
      </c>
      <c r="BB74" t="e">
        <f>AND(ConsolidatedEventList!B348,"AAAAAFH37zU=")</f>
        <v>#VALUE!</v>
      </c>
      <c r="BC74" t="e">
        <f>AND(ConsolidatedEventList!C348,"AAAAAFH37zY=")</f>
        <v>#VALUE!</v>
      </c>
      <c r="BD74" t="e">
        <f>AND(ConsolidatedEventList!D348,"AAAAAFH37zc=")</f>
        <v>#VALUE!</v>
      </c>
      <c r="BE74" t="e">
        <f>AND(ConsolidatedEventList!E348,"AAAAAFH37zg=")</f>
        <v>#VALUE!</v>
      </c>
      <c r="BF74" t="e">
        <f>AND(ConsolidatedEventList!F348,"AAAAAFH37zk=")</f>
        <v>#VALUE!</v>
      </c>
      <c r="BG74" t="e">
        <f>AND(ConsolidatedEventList!G348,"AAAAAFH37zo=")</f>
        <v>#VALUE!</v>
      </c>
      <c r="BH74" t="e">
        <f>AND(ConsolidatedEventList!H348,"AAAAAFH37zs=")</f>
        <v>#VALUE!</v>
      </c>
      <c r="BI74">
        <f>IF(ConsolidatedEventList!349:349,"AAAAAFH37zw=",0)</f>
        <v>0</v>
      </c>
      <c r="BJ74" t="e">
        <f>AND(ConsolidatedEventList!A349,"AAAAAFH37z0=")</f>
        <v>#VALUE!</v>
      </c>
      <c r="BK74" t="e">
        <f>AND(ConsolidatedEventList!B349,"AAAAAFH37z4=")</f>
        <v>#VALUE!</v>
      </c>
      <c r="BL74" t="e">
        <f>AND(ConsolidatedEventList!C349,"AAAAAFH37z8=")</f>
        <v>#VALUE!</v>
      </c>
      <c r="BM74" t="e">
        <f>AND(ConsolidatedEventList!D349,"AAAAAFH370A=")</f>
        <v>#VALUE!</v>
      </c>
      <c r="BN74" t="e">
        <f>AND(ConsolidatedEventList!E349,"AAAAAFH370E=")</f>
        <v>#VALUE!</v>
      </c>
      <c r="BO74" t="e">
        <f>AND(ConsolidatedEventList!F349,"AAAAAFH370I=")</f>
        <v>#VALUE!</v>
      </c>
      <c r="BP74" t="e">
        <f>AND(ConsolidatedEventList!G349,"AAAAAFH370M=")</f>
        <v>#VALUE!</v>
      </c>
      <c r="BQ74" t="e">
        <f>AND(ConsolidatedEventList!H349,"AAAAAFH370Q=")</f>
        <v>#VALUE!</v>
      </c>
      <c r="BR74">
        <f>IF(ConsolidatedEventList!350:350,"AAAAAFH370U=",0)</f>
        <v>0</v>
      </c>
      <c r="BS74" t="e">
        <f>AND(ConsolidatedEventList!A350,"AAAAAFH370Y=")</f>
        <v>#VALUE!</v>
      </c>
      <c r="BT74" t="e">
        <f>AND(ConsolidatedEventList!B350,"AAAAAFH370c=")</f>
        <v>#VALUE!</v>
      </c>
      <c r="BU74" t="e">
        <f>AND(ConsolidatedEventList!C350,"AAAAAFH370g=")</f>
        <v>#VALUE!</v>
      </c>
      <c r="BV74" t="e">
        <f>AND(ConsolidatedEventList!D350,"AAAAAFH370k=")</f>
        <v>#VALUE!</v>
      </c>
      <c r="BW74" t="e">
        <f>AND(ConsolidatedEventList!E350,"AAAAAFH370o=")</f>
        <v>#VALUE!</v>
      </c>
      <c r="BX74" t="e">
        <f>AND(ConsolidatedEventList!F350,"AAAAAFH370s=")</f>
        <v>#VALUE!</v>
      </c>
      <c r="BY74" t="e">
        <f>AND(ConsolidatedEventList!G350,"AAAAAFH370w=")</f>
        <v>#VALUE!</v>
      </c>
      <c r="BZ74" t="e">
        <f>AND(ConsolidatedEventList!H350,"AAAAAFH3700=")</f>
        <v>#VALUE!</v>
      </c>
      <c r="CA74" t="e">
        <f>IF(ConsolidatedEventList!#REF!,"AAAAAFH3704=",0)</f>
        <v>#REF!</v>
      </c>
      <c r="CB74" t="e">
        <f>AND(ConsolidatedEventList!#REF!,"AAAAAFH3708=")</f>
        <v>#REF!</v>
      </c>
      <c r="CC74" t="e">
        <f>AND(ConsolidatedEventList!#REF!,"AAAAAFH371A=")</f>
        <v>#REF!</v>
      </c>
      <c r="CD74" t="e">
        <f>AND(ConsolidatedEventList!#REF!,"AAAAAFH371E=")</f>
        <v>#REF!</v>
      </c>
      <c r="CE74" t="e">
        <f>AND(ConsolidatedEventList!#REF!,"AAAAAFH371I=")</f>
        <v>#REF!</v>
      </c>
      <c r="CF74" t="e">
        <f>AND(ConsolidatedEventList!#REF!,"AAAAAFH371M=")</f>
        <v>#REF!</v>
      </c>
      <c r="CG74" t="e">
        <f>AND(ConsolidatedEventList!#REF!,"AAAAAFH371Q=")</f>
        <v>#REF!</v>
      </c>
      <c r="CH74" t="e">
        <f>AND(ConsolidatedEventList!#REF!,"AAAAAFH371U=")</f>
        <v>#REF!</v>
      </c>
      <c r="CI74" t="e">
        <f>AND(ConsolidatedEventList!#REF!,"AAAAAFH371Y=")</f>
        <v>#REF!</v>
      </c>
      <c r="CJ74" t="e">
        <f>IF(ConsolidatedEventList!#REF!,"AAAAAFH371c=",0)</f>
        <v>#REF!</v>
      </c>
      <c r="CK74" t="e">
        <f>AND(ConsolidatedEventList!#REF!,"AAAAAFH371g=")</f>
        <v>#REF!</v>
      </c>
      <c r="CL74" t="e">
        <f>AND(ConsolidatedEventList!#REF!,"AAAAAFH371k=")</f>
        <v>#REF!</v>
      </c>
      <c r="CM74" t="e">
        <f>AND(ConsolidatedEventList!#REF!,"AAAAAFH371o=")</f>
        <v>#REF!</v>
      </c>
      <c r="CN74" t="e">
        <f>AND(ConsolidatedEventList!#REF!,"AAAAAFH371s=")</f>
        <v>#REF!</v>
      </c>
      <c r="CO74" t="e">
        <f>AND(ConsolidatedEventList!#REF!,"AAAAAFH371w=")</f>
        <v>#REF!</v>
      </c>
      <c r="CP74" t="e">
        <f>AND(ConsolidatedEventList!#REF!,"AAAAAFH3710=")</f>
        <v>#REF!</v>
      </c>
      <c r="CQ74" t="e">
        <f>AND(ConsolidatedEventList!#REF!,"AAAAAFH3714=")</f>
        <v>#REF!</v>
      </c>
      <c r="CR74" t="e">
        <f>AND(ConsolidatedEventList!#REF!,"AAAAAFH3718=")</f>
        <v>#REF!</v>
      </c>
      <c r="CS74">
        <f>IF(ConsolidatedEventList!351:351,"AAAAAFH372A=",0)</f>
        <v>0</v>
      </c>
      <c r="CT74" t="e">
        <f>AND(ConsolidatedEventList!A351,"AAAAAFH372E=")</f>
        <v>#VALUE!</v>
      </c>
      <c r="CU74" t="e">
        <f>AND(ConsolidatedEventList!B351,"AAAAAFH372I=")</f>
        <v>#VALUE!</v>
      </c>
      <c r="CV74" t="e">
        <f>AND(ConsolidatedEventList!C351,"AAAAAFH372M=")</f>
        <v>#VALUE!</v>
      </c>
      <c r="CW74" t="e">
        <f>AND(ConsolidatedEventList!D351,"AAAAAFH372Q=")</f>
        <v>#VALUE!</v>
      </c>
      <c r="CX74" t="e">
        <f>AND(ConsolidatedEventList!E351,"AAAAAFH372U=")</f>
        <v>#VALUE!</v>
      </c>
      <c r="CY74" t="e">
        <f>AND(ConsolidatedEventList!F351,"AAAAAFH372Y=")</f>
        <v>#VALUE!</v>
      </c>
      <c r="CZ74" t="e">
        <f>AND(ConsolidatedEventList!G351,"AAAAAFH372c=")</f>
        <v>#VALUE!</v>
      </c>
      <c r="DA74" t="e">
        <f>AND(ConsolidatedEventList!H351,"AAAAAFH372g=")</f>
        <v>#VALUE!</v>
      </c>
      <c r="DB74">
        <f>IF(ConsolidatedEventList!352:352,"AAAAAFH372k=",0)</f>
        <v>0</v>
      </c>
      <c r="DC74" t="e">
        <f>AND(ConsolidatedEventList!A352,"AAAAAFH372o=")</f>
        <v>#VALUE!</v>
      </c>
      <c r="DD74" t="e">
        <f>AND(ConsolidatedEventList!B352,"AAAAAFH372s=")</f>
        <v>#VALUE!</v>
      </c>
      <c r="DE74" t="e">
        <f>AND(ConsolidatedEventList!C352,"AAAAAFH372w=")</f>
        <v>#VALUE!</v>
      </c>
      <c r="DF74" t="e">
        <f>AND(ConsolidatedEventList!D352,"AAAAAFH3720=")</f>
        <v>#VALUE!</v>
      </c>
      <c r="DG74" t="e">
        <f>AND(ConsolidatedEventList!E352,"AAAAAFH3724=")</f>
        <v>#VALUE!</v>
      </c>
      <c r="DH74" t="e">
        <f>AND(ConsolidatedEventList!F352,"AAAAAFH3728=")</f>
        <v>#VALUE!</v>
      </c>
      <c r="DI74" t="e">
        <f>AND(ConsolidatedEventList!G352,"AAAAAFH373A=")</f>
        <v>#VALUE!</v>
      </c>
      <c r="DJ74" t="e">
        <f>AND(ConsolidatedEventList!H352,"AAAAAFH373E=")</f>
        <v>#VALUE!</v>
      </c>
      <c r="DK74">
        <f>IF(ConsolidatedEventList!353:353,"AAAAAFH373I=",0)</f>
        <v>0</v>
      </c>
      <c r="DL74" t="e">
        <f>AND(ConsolidatedEventList!A353,"AAAAAFH373M=")</f>
        <v>#VALUE!</v>
      </c>
      <c r="DM74" t="e">
        <f>AND(ConsolidatedEventList!B353,"AAAAAFH373Q=")</f>
        <v>#VALUE!</v>
      </c>
      <c r="DN74" t="e">
        <f>AND(ConsolidatedEventList!C353,"AAAAAFH373U=")</f>
        <v>#VALUE!</v>
      </c>
      <c r="DO74" t="e">
        <f>AND(ConsolidatedEventList!D353,"AAAAAFH373Y=")</f>
        <v>#VALUE!</v>
      </c>
      <c r="DP74" t="e">
        <f>AND(ConsolidatedEventList!E353,"AAAAAFH373c=")</f>
        <v>#VALUE!</v>
      </c>
      <c r="DQ74" t="e">
        <f>AND(ConsolidatedEventList!F353,"AAAAAFH373g=")</f>
        <v>#VALUE!</v>
      </c>
      <c r="DR74" t="e">
        <f>AND(ConsolidatedEventList!G353,"AAAAAFH373k=")</f>
        <v>#VALUE!</v>
      </c>
      <c r="DS74" t="e">
        <f>AND(ConsolidatedEventList!H353,"AAAAAFH373o=")</f>
        <v>#VALUE!</v>
      </c>
      <c r="DT74">
        <f>IF(ConsolidatedEventList!354:354,"AAAAAFH373s=",0)</f>
        <v>0</v>
      </c>
      <c r="DU74" t="e">
        <f>AND(ConsolidatedEventList!A354,"AAAAAFH373w=")</f>
        <v>#VALUE!</v>
      </c>
      <c r="DV74" t="e">
        <f>AND(ConsolidatedEventList!B354,"AAAAAFH3730=")</f>
        <v>#VALUE!</v>
      </c>
      <c r="DW74" t="e">
        <f>AND(ConsolidatedEventList!C354,"AAAAAFH3734=")</f>
        <v>#VALUE!</v>
      </c>
      <c r="DX74" t="e">
        <f>AND(ConsolidatedEventList!D354,"AAAAAFH3738=")</f>
        <v>#VALUE!</v>
      </c>
      <c r="DY74" t="e">
        <f>AND(ConsolidatedEventList!E354,"AAAAAFH374A=")</f>
        <v>#VALUE!</v>
      </c>
      <c r="DZ74" t="e">
        <f>AND(ConsolidatedEventList!F354,"AAAAAFH374E=")</f>
        <v>#VALUE!</v>
      </c>
      <c r="EA74" t="e">
        <f>AND(ConsolidatedEventList!G354,"AAAAAFH374I=")</f>
        <v>#VALUE!</v>
      </c>
      <c r="EB74" t="e">
        <f>AND(ConsolidatedEventList!H354,"AAAAAFH374M=")</f>
        <v>#VALUE!</v>
      </c>
      <c r="EC74">
        <f>IF(ConsolidatedEventList!355:355,"AAAAAFH374Q=",0)</f>
        <v>0</v>
      </c>
      <c r="ED74" t="e">
        <f>AND(ConsolidatedEventList!A355,"AAAAAFH374U=")</f>
        <v>#VALUE!</v>
      </c>
      <c r="EE74" t="e">
        <f>AND(ConsolidatedEventList!B355,"AAAAAFH374Y=")</f>
        <v>#VALUE!</v>
      </c>
      <c r="EF74" t="e">
        <f>AND(ConsolidatedEventList!C355,"AAAAAFH374c=")</f>
        <v>#VALUE!</v>
      </c>
      <c r="EG74" t="e">
        <f>AND(ConsolidatedEventList!D355,"AAAAAFH374g=")</f>
        <v>#VALUE!</v>
      </c>
      <c r="EH74" t="e">
        <f>AND(ConsolidatedEventList!E355,"AAAAAFH374k=")</f>
        <v>#VALUE!</v>
      </c>
      <c r="EI74" t="e">
        <f>AND(ConsolidatedEventList!F355,"AAAAAFH374o=")</f>
        <v>#VALUE!</v>
      </c>
      <c r="EJ74" t="e">
        <f>AND(ConsolidatedEventList!G355,"AAAAAFH374s=")</f>
        <v>#VALUE!</v>
      </c>
      <c r="EK74" t="e">
        <f>AND(ConsolidatedEventList!H355,"AAAAAFH374w=")</f>
        <v>#VALUE!</v>
      </c>
      <c r="EL74" t="e">
        <f>IF(ConsolidatedEventList!#REF!,"AAAAAFH3740=",0)</f>
        <v>#REF!</v>
      </c>
      <c r="EM74" t="e">
        <f>AND(ConsolidatedEventList!#REF!,"AAAAAFH3744=")</f>
        <v>#REF!</v>
      </c>
      <c r="EN74" t="e">
        <f>AND(ConsolidatedEventList!#REF!,"AAAAAFH3748=")</f>
        <v>#REF!</v>
      </c>
      <c r="EO74" t="e">
        <f>AND(ConsolidatedEventList!#REF!,"AAAAAFH375A=")</f>
        <v>#REF!</v>
      </c>
      <c r="EP74" t="e">
        <f>AND(ConsolidatedEventList!#REF!,"AAAAAFH375E=")</f>
        <v>#REF!</v>
      </c>
      <c r="EQ74" t="e">
        <f>AND(ConsolidatedEventList!#REF!,"AAAAAFH375I=")</f>
        <v>#REF!</v>
      </c>
      <c r="ER74" t="e">
        <f>AND(ConsolidatedEventList!#REF!,"AAAAAFH375M=")</f>
        <v>#REF!</v>
      </c>
      <c r="ES74" t="e">
        <f>AND(ConsolidatedEventList!#REF!,"AAAAAFH375Q=")</f>
        <v>#REF!</v>
      </c>
      <c r="ET74" t="e">
        <f>AND(ConsolidatedEventList!#REF!,"AAAAAFH375U=")</f>
        <v>#REF!</v>
      </c>
      <c r="EU74" t="e">
        <f>IF(ConsolidatedEventList!#REF!,"AAAAAFH375Y=",0)</f>
        <v>#REF!</v>
      </c>
      <c r="EV74" t="e">
        <f>AND(ConsolidatedEventList!#REF!,"AAAAAFH375c=")</f>
        <v>#REF!</v>
      </c>
      <c r="EW74" t="e">
        <f>AND(ConsolidatedEventList!#REF!,"AAAAAFH375g=")</f>
        <v>#REF!</v>
      </c>
      <c r="EX74" t="e">
        <f>AND(ConsolidatedEventList!#REF!,"AAAAAFH375k=")</f>
        <v>#REF!</v>
      </c>
      <c r="EY74" t="e">
        <f>AND(ConsolidatedEventList!#REF!,"AAAAAFH375o=")</f>
        <v>#REF!</v>
      </c>
      <c r="EZ74" t="e">
        <f>AND(ConsolidatedEventList!#REF!,"AAAAAFH375s=")</f>
        <v>#REF!</v>
      </c>
      <c r="FA74" t="e">
        <f>AND(ConsolidatedEventList!#REF!,"AAAAAFH375w=")</f>
        <v>#REF!</v>
      </c>
      <c r="FB74" t="e">
        <f>AND(ConsolidatedEventList!#REF!,"AAAAAFH3750=")</f>
        <v>#REF!</v>
      </c>
      <c r="FC74" t="e">
        <f>AND(ConsolidatedEventList!#REF!,"AAAAAFH3754=")</f>
        <v>#REF!</v>
      </c>
      <c r="FD74" t="e">
        <f>IF(ConsolidatedEventList!#REF!,"AAAAAFH3758=",0)</f>
        <v>#REF!</v>
      </c>
      <c r="FE74" t="e">
        <f>AND(ConsolidatedEventList!#REF!,"AAAAAFH376A=")</f>
        <v>#REF!</v>
      </c>
      <c r="FF74" t="e">
        <f>AND(ConsolidatedEventList!#REF!,"AAAAAFH376E=")</f>
        <v>#REF!</v>
      </c>
      <c r="FG74" t="e">
        <f>AND(ConsolidatedEventList!#REF!,"AAAAAFH376I=")</f>
        <v>#REF!</v>
      </c>
      <c r="FH74" t="e">
        <f>AND(ConsolidatedEventList!#REF!,"AAAAAFH376M=")</f>
        <v>#REF!</v>
      </c>
      <c r="FI74" t="e">
        <f>AND(ConsolidatedEventList!#REF!,"AAAAAFH376Q=")</f>
        <v>#REF!</v>
      </c>
      <c r="FJ74" t="e">
        <f>AND(ConsolidatedEventList!#REF!,"AAAAAFH376U=")</f>
        <v>#REF!</v>
      </c>
      <c r="FK74" t="e">
        <f>AND(ConsolidatedEventList!#REF!,"AAAAAFH376Y=")</f>
        <v>#REF!</v>
      </c>
      <c r="FL74" t="e">
        <f>AND(ConsolidatedEventList!#REF!,"AAAAAFH376c=")</f>
        <v>#REF!</v>
      </c>
      <c r="FM74" t="e">
        <f>IF(ConsolidatedEventList!#REF!,"AAAAAFH376g=",0)</f>
        <v>#REF!</v>
      </c>
      <c r="FN74" t="e">
        <f>AND(ConsolidatedEventList!#REF!,"AAAAAFH376k=")</f>
        <v>#REF!</v>
      </c>
      <c r="FO74" t="e">
        <f>AND(ConsolidatedEventList!#REF!,"AAAAAFH376o=")</f>
        <v>#REF!</v>
      </c>
      <c r="FP74" t="e">
        <f>AND(ConsolidatedEventList!#REF!,"AAAAAFH376s=")</f>
        <v>#REF!</v>
      </c>
      <c r="FQ74" t="e">
        <f>AND(ConsolidatedEventList!#REF!,"AAAAAFH376w=")</f>
        <v>#REF!</v>
      </c>
      <c r="FR74" t="e">
        <f>AND(ConsolidatedEventList!#REF!,"AAAAAFH3760=")</f>
        <v>#REF!</v>
      </c>
      <c r="FS74" t="e">
        <f>AND(ConsolidatedEventList!#REF!,"AAAAAFH3764=")</f>
        <v>#REF!</v>
      </c>
      <c r="FT74" t="e">
        <f>AND(ConsolidatedEventList!#REF!,"AAAAAFH3768=")</f>
        <v>#REF!</v>
      </c>
      <c r="FU74" t="e">
        <f>AND(ConsolidatedEventList!#REF!,"AAAAAFH377A=")</f>
        <v>#REF!</v>
      </c>
      <c r="FV74" t="e">
        <f>IF(ConsolidatedEventList!#REF!,"AAAAAFH377E=",0)</f>
        <v>#REF!</v>
      </c>
      <c r="FW74" t="e">
        <f>AND(ConsolidatedEventList!#REF!,"AAAAAFH377I=")</f>
        <v>#REF!</v>
      </c>
      <c r="FX74" t="e">
        <f>AND(ConsolidatedEventList!#REF!,"AAAAAFH377M=")</f>
        <v>#REF!</v>
      </c>
      <c r="FY74" t="e">
        <f>AND(ConsolidatedEventList!#REF!,"AAAAAFH377Q=")</f>
        <v>#REF!</v>
      </c>
      <c r="FZ74" t="e">
        <f>AND(ConsolidatedEventList!#REF!,"AAAAAFH377U=")</f>
        <v>#REF!</v>
      </c>
      <c r="GA74" t="e">
        <f>AND(ConsolidatedEventList!#REF!,"AAAAAFH377Y=")</f>
        <v>#REF!</v>
      </c>
      <c r="GB74" t="e">
        <f>AND(ConsolidatedEventList!#REF!,"AAAAAFH377c=")</f>
        <v>#REF!</v>
      </c>
      <c r="GC74" t="e">
        <f>AND(ConsolidatedEventList!#REF!,"AAAAAFH377g=")</f>
        <v>#REF!</v>
      </c>
      <c r="GD74" t="e">
        <f>AND(ConsolidatedEventList!#REF!,"AAAAAFH377k=")</f>
        <v>#REF!</v>
      </c>
      <c r="GE74" t="e">
        <f>IF(ConsolidatedEventList!#REF!,"AAAAAFH377o=",0)</f>
        <v>#REF!</v>
      </c>
      <c r="GF74" t="e">
        <f>AND(ConsolidatedEventList!#REF!,"AAAAAFH377s=")</f>
        <v>#REF!</v>
      </c>
      <c r="GG74" t="e">
        <f>AND(ConsolidatedEventList!#REF!,"AAAAAFH377w=")</f>
        <v>#REF!</v>
      </c>
      <c r="GH74" t="e">
        <f>AND(ConsolidatedEventList!#REF!,"AAAAAFH3770=")</f>
        <v>#REF!</v>
      </c>
      <c r="GI74" t="e">
        <f>AND(ConsolidatedEventList!#REF!,"AAAAAFH3774=")</f>
        <v>#REF!</v>
      </c>
      <c r="GJ74" t="e">
        <f>AND(ConsolidatedEventList!#REF!,"AAAAAFH3778=")</f>
        <v>#REF!</v>
      </c>
      <c r="GK74" t="e">
        <f>AND(ConsolidatedEventList!#REF!,"AAAAAFH378A=")</f>
        <v>#REF!</v>
      </c>
      <c r="GL74" t="e">
        <f>AND(ConsolidatedEventList!#REF!,"AAAAAFH378E=")</f>
        <v>#REF!</v>
      </c>
      <c r="GM74" t="e">
        <f>AND(ConsolidatedEventList!#REF!,"AAAAAFH378I=")</f>
        <v>#REF!</v>
      </c>
      <c r="GN74" t="e">
        <f>IF(ConsolidatedEventList!#REF!,"AAAAAFH378M=",0)</f>
        <v>#REF!</v>
      </c>
      <c r="GO74" t="e">
        <f>AND(ConsolidatedEventList!#REF!,"AAAAAFH378Q=")</f>
        <v>#REF!</v>
      </c>
      <c r="GP74" t="e">
        <f>AND(ConsolidatedEventList!#REF!,"AAAAAFH378U=")</f>
        <v>#REF!</v>
      </c>
      <c r="GQ74" t="e">
        <f>AND(ConsolidatedEventList!#REF!,"AAAAAFH378Y=")</f>
        <v>#REF!</v>
      </c>
      <c r="GR74" t="e">
        <f>AND(ConsolidatedEventList!#REF!,"AAAAAFH378c=")</f>
        <v>#REF!</v>
      </c>
      <c r="GS74" t="e">
        <f>AND(ConsolidatedEventList!#REF!,"AAAAAFH378g=")</f>
        <v>#REF!</v>
      </c>
      <c r="GT74" t="e">
        <f>AND(ConsolidatedEventList!#REF!,"AAAAAFH378k=")</f>
        <v>#REF!</v>
      </c>
      <c r="GU74" t="e">
        <f>AND(ConsolidatedEventList!#REF!,"AAAAAFH378o=")</f>
        <v>#REF!</v>
      </c>
      <c r="GV74" t="e">
        <f>AND(ConsolidatedEventList!#REF!,"AAAAAFH378s=")</f>
        <v>#REF!</v>
      </c>
      <c r="GW74" t="e">
        <f>IF(ConsolidatedEventList!#REF!,"AAAAAFH378w=",0)</f>
        <v>#REF!</v>
      </c>
      <c r="GX74" t="e">
        <f>AND(ConsolidatedEventList!#REF!,"AAAAAFH3780=")</f>
        <v>#REF!</v>
      </c>
      <c r="GY74" t="e">
        <f>AND(ConsolidatedEventList!#REF!,"AAAAAFH3784=")</f>
        <v>#REF!</v>
      </c>
      <c r="GZ74" t="e">
        <f>AND(ConsolidatedEventList!#REF!,"AAAAAFH3788=")</f>
        <v>#REF!</v>
      </c>
      <c r="HA74" t="e">
        <f>AND(ConsolidatedEventList!#REF!,"AAAAAFH379A=")</f>
        <v>#REF!</v>
      </c>
      <c r="HB74" t="e">
        <f>AND(ConsolidatedEventList!#REF!,"AAAAAFH379E=")</f>
        <v>#REF!</v>
      </c>
      <c r="HC74" t="e">
        <f>AND(ConsolidatedEventList!#REF!,"AAAAAFH379I=")</f>
        <v>#REF!</v>
      </c>
      <c r="HD74" t="e">
        <f>AND(ConsolidatedEventList!#REF!,"AAAAAFH379M=")</f>
        <v>#REF!</v>
      </c>
      <c r="HE74" t="e">
        <f>AND(ConsolidatedEventList!#REF!,"AAAAAFH379Q=")</f>
        <v>#REF!</v>
      </c>
      <c r="HF74" t="e">
        <f>IF(ConsolidatedEventList!#REF!,"AAAAAFH379U=",0)</f>
        <v>#REF!</v>
      </c>
      <c r="HG74" t="e">
        <f>AND(ConsolidatedEventList!#REF!,"AAAAAFH379Y=")</f>
        <v>#REF!</v>
      </c>
      <c r="HH74" t="e">
        <f>AND(ConsolidatedEventList!#REF!,"AAAAAFH379c=")</f>
        <v>#REF!</v>
      </c>
      <c r="HI74" t="e">
        <f>AND(ConsolidatedEventList!#REF!,"AAAAAFH379g=")</f>
        <v>#REF!</v>
      </c>
      <c r="HJ74" t="e">
        <f>AND(ConsolidatedEventList!#REF!,"AAAAAFH379k=")</f>
        <v>#REF!</v>
      </c>
      <c r="HK74" t="e">
        <f>AND(ConsolidatedEventList!#REF!,"AAAAAFH379o=")</f>
        <v>#REF!</v>
      </c>
      <c r="HL74" t="e">
        <f>AND(ConsolidatedEventList!#REF!,"AAAAAFH379s=")</f>
        <v>#REF!</v>
      </c>
      <c r="HM74" t="e">
        <f>AND(ConsolidatedEventList!#REF!,"AAAAAFH379w=")</f>
        <v>#REF!</v>
      </c>
      <c r="HN74" t="e">
        <f>AND(ConsolidatedEventList!#REF!,"AAAAAFH3790=")</f>
        <v>#REF!</v>
      </c>
      <c r="HO74" t="e">
        <f>IF(ConsolidatedEventList!#REF!,"AAAAAFH3794=",0)</f>
        <v>#REF!</v>
      </c>
      <c r="HP74" t="e">
        <f>AND(ConsolidatedEventList!#REF!,"AAAAAFH3798=")</f>
        <v>#REF!</v>
      </c>
      <c r="HQ74" t="e">
        <f>AND(ConsolidatedEventList!#REF!,"AAAAAFH37+A=")</f>
        <v>#REF!</v>
      </c>
      <c r="HR74" t="e">
        <f>AND(ConsolidatedEventList!#REF!,"AAAAAFH37+E=")</f>
        <v>#REF!</v>
      </c>
      <c r="HS74" t="e">
        <f>AND(ConsolidatedEventList!#REF!,"AAAAAFH37+I=")</f>
        <v>#REF!</v>
      </c>
      <c r="HT74" t="e">
        <f>AND(ConsolidatedEventList!#REF!,"AAAAAFH37+M=")</f>
        <v>#REF!</v>
      </c>
      <c r="HU74" t="e">
        <f>AND(ConsolidatedEventList!#REF!,"AAAAAFH37+Q=")</f>
        <v>#REF!</v>
      </c>
      <c r="HV74" t="e">
        <f>AND(ConsolidatedEventList!#REF!,"AAAAAFH37+U=")</f>
        <v>#REF!</v>
      </c>
      <c r="HW74" t="e">
        <f>AND(ConsolidatedEventList!#REF!,"AAAAAFH37+Y=")</f>
        <v>#REF!</v>
      </c>
      <c r="HX74" t="e">
        <f>IF(ConsolidatedEventList!#REF!,"AAAAAFH37+c=",0)</f>
        <v>#REF!</v>
      </c>
      <c r="HY74" t="e">
        <f>AND(ConsolidatedEventList!#REF!,"AAAAAFH37+g=")</f>
        <v>#REF!</v>
      </c>
      <c r="HZ74" t="e">
        <f>AND(ConsolidatedEventList!#REF!,"AAAAAFH37+k=")</f>
        <v>#REF!</v>
      </c>
      <c r="IA74" t="e">
        <f>AND(ConsolidatedEventList!#REF!,"AAAAAFH37+o=")</f>
        <v>#REF!</v>
      </c>
      <c r="IB74" t="e">
        <f>AND(ConsolidatedEventList!#REF!,"AAAAAFH37+s=")</f>
        <v>#REF!</v>
      </c>
      <c r="IC74" t="e">
        <f>AND(ConsolidatedEventList!#REF!,"AAAAAFH37+w=")</f>
        <v>#REF!</v>
      </c>
      <c r="ID74" t="e">
        <f>AND(ConsolidatedEventList!#REF!,"AAAAAFH37+0=")</f>
        <v>#REF!</v>
      </c>
      <c r="IE74" t="e">
        <f>AND(ConsolidatedEventList!#REF!,"AAAAAFH37+4=")</f>
        <v>#REF!</v>
      </c>
      <c r="IF74" t="e">
        <f>AND(ConsolidatedEventList!#REF!,"AAAAAFH37+8=")</f>
        <v>#REF!</v>
      </c>
      <c r="IG74">
        <f>IF(ConsolidatedEventList!356:356,"AAAAAFH37/A=",0)</f>
        <v>0</v>
      </c>
      <c r="IH74" t="e">
        <f>AND(ConsolidatedEventList!A356,"AAAAAFH37/E=")</f>
        <v>#VALUE!</v>
      </c>
      <c r="II74" t="e">
        <f>AND(ConsolidatedEventList!B356,"AAAAAFH37/I=")</f>
        <v>#VALUE!</v>
      </c>
      <c r="IJ74" t="e">
        <f>AND(ConsolidatedEventList!C356,"AAAAAFH37/M=")</f>
        <v>#VALUE!</v>
      </c>
      <c r="IK74" t="e">
        <f>AND(ConsolidatedEventList!D356,"AAAAAFH37/Q=")</f>
        <v>#VALUE!</v>
      </c>
      <c r="IL74" t="e">
        <f>AND(ConsolidatedEventList!E356,"AAAAAFH37/U=")</f>
        <v>#VALUE!</v>
      </c>
      <c r="IM74" t="e">
        <f>AND(ConsolidatedEventList!F356,"AAAAAFH37/Y=")</f>
        <v>#VALUE!</v>
      </c>
      <c r="IN74" t="e">
        <f>AND(ConsolidatedEventList!G356,"AAAAAFH37/c=")</f>
        <v>#VALUE!</v>
      </c>
      <c r="IO74" t="e">
        <f>AND(ConsolidatedEventList!H356,"AAAAAFH37/g=")</f>
        <v>#VALUE!</v>
      </c>
      <c r="IP74">
        <f>IF(ConsolidatedEventList!357:357,"AAAAAFH37/k=",0)</f>
        <v>0</v>
      </c>
      <c r="IQ74" t="e">
        <f>AND(ConsolidatedEventList!A357,"AAAAAFH37/o=")</f>
        <v>#VALUE!</v>
      </c>
      <c r="IR74" t="e">
        <f>AND(ConsolidatedEventList!B357,"AAAAAFH37/s=")</f>
        <v>#VALUE!</v>
      </c>
      <c r="IS74" t="e">
        <f>AND(ConsolidatedEventList!C357,"AAAAAFH37/w=")</f>
        <v>#VALUE!</v>
      </c>
      <c r="IT74" t="e">
        <f>AND(ConsolidatedEventList!D357,"AAAAAFH37/0=")</f>
        <v>#VALUE!</v>
      </c>
      <c r="IU74" t="e">
        <f>AND(ConsolidatedEventList!E357,"AAAAAFH37/4=")</f>
        <v>#VALUE!</v>
      </c>
      <c r="IV74" t="e">
        <f>AND(ConsolidatedEventList!F357,"AAAAAFH37/8=")</f>
        <v>#VALUE!</v>
      </c>
    </row>
    <row r="75" spans="1:256" x14ac:dyDescent="0.25">
      <c r="A75" t="e">
        <f>AND(ConsolidatedEventList!G357,"AAAAAG/ifgA=")</f>
        <v>#VALUE!</v>
      </c>
      <c r="B75" t="e">
        <f>AND(ConsolidatedEventList!H357,"AAAAAG/ifgE=")</f>
        <v>#VALUE!</v>
      </c>
      <c r="C75" t="e">
        <f>IF(ConsolidatedEventList!358:358,"AAAAAG/ifgI=",0)</f>
        <v>#VALUE!</v>
      </c>
      <c r="D75" t="e">
        <f>AND(ConsolidatedEventList!A358,"AAAAAG/ifgM=")</f>
        <v>#VALUE!</v>
      </c>
      <c r="E75" t="e">
        <f>AND(ConsolidatedEventList!B358,"AAAAAG/ifgQ=")</f>
        <v>#VALUE!</v>
      </c>
      <c r="F75" t="e">
        <f>AND(ConsolidatedEventList!C358,"AAAAAG/ifgU=")</f>
        <v>#VALUE!</v>
      </c>
      <c r="G75" t="e">
        <f>AND(ConsolidatedEventList!D358,"AAAAAG/ifgY=")</f>
        <v>#VALUE!</v>
      </c>
      <c r="H75" t="e">
        <f>AND(ConsolidatedEventList!E358,"AAAAAG/ifgc=")</f>
        <v>#VALUE!</v>
      </c>
      <c r="I75" t="e">
        <f>AND(ConsolidatedEventList!F358,"AAAAAG/ifgg=")</f>
        <v>#VALUE!</v>
      </c>
      <c r="J75" t="e">
        <f>AND(ConsolidatedEventList!G358,"AAAAAG/ifgk=")</f>
        <v>#VALUE!</v>
      </c>
      <c r="K75" t="e">
        <f>AND(ConsolidatedEventList!H358,"AAAAAG/ifgo=")</f>
        <v>#VALUE!</v>
      </c>
      <c r="L75">
        <f>IF(ConsolidatedEventList!359:359,"AAAAAG/ifgs=",0)</f>
        <v>0</v>
      </c>
      <c r="M75" t="e">
        <f>AND(ConsolidatedEventList!A359,"AAAAAG/ifgw=")</f>
        <v>#VALUE!</v>
      </c>
      <c r="N75" t="e">
        <f>AND(ConsolidatedEventList!B359,"AAAAAG/ifg0=")</f>
        <v>#VALUE!</v>
      </c>
      <c r="O75" t="e">
        <f>AND(ConsolidatedEventList!C359,"AAAAAG/ifg4=")</f>
        <v>#VALUE!</v>
      </c>
      <c r="P75" t="e">
        <f>AND(ConsolidatedEventList!D359,"AAAAAG/ifg8=")</f>
        <v>#VALUE!</v>
      </c>
      <c r="Q75" t="e">
        <f>AND(ConsolidatedEventList!E359,"AAAAAG/ifhA=")</f>
        <v>#VALUE!</v>
      </c>
      <c r="R75" t="e">
        <f>AND(ConsolidatedEventList!F359,"AAAAAG/ifhE=")</f>
        <v>#VALUE!</v>
      </c>
      <c r="S75" t="e">
        <f>AND(ConsolidatedEventList!G359,"AAAAAG/ifhI=")</f>
        <v>#VALUE!</v>
      </c>
      <c r="T75" t="e">
        <f>AND(ConsolidatedEventList!H359,"AAAAAG/ifhM=")</f>
        <v>#VALUE!</v>
      </c>
      <c r="U75">
        <f>IF(ConsolidatedEventList!360:360,"AAAAAG/ifhQ=",0)</f>
        <v>0</v>
      </c>
      <c r="V75" t="e">
        <f>AND(ConsolidatedEventList!A360,"AAAAAG/ifhU=")</f>
        <v>#VALUE!</v>
      </c>
      <c r="W75" t="e">
        <f>AND(ConsolidatedEventList!B360,"AAAAAG/ifhY=")</f>
        <v>#VALUE!</v>
      </c>
      <c r="X75" t="e">
        <f>AND(ConsolidatedEventList!C360,"AAAAAG/ifhc=")</f>
        <v>#VALUE!</v>
      </c>
      <c r="Y75" t="e">
        <f>AND(ConsolidatedEventList!D360,"AAAAAG/ifhg=")</f>
        <v>#VALUE!</v>
      </c>
      <c r="Z75" t="e">
        <f>AND(ConsolidatedEventList!E360,"AAAAAG/ifhk=")</f>
        <v>#VALUE!</v>
      </c>
      <c r="AA75" t="e">
        <f>AND(ConsolidatedEventList!F360,"AAAAAG/ifho=")</f>
        <v>#VALUE!</v>
      </c>
      <c r="AB75" t="e">
        <f>AND(ConsolidatedEventList!G360,"AAAAAG/ifhs=")</f>
        <v>#VALUE!</v>
      </c>
      <c r="AC75" t="e">
        <f>AND(ConsolidatedEventList!H360,"AAAAAG/ifhw=")</f>
        <v>#VALUE!</v>
      </c>
      <c r="AD75">
        <f>IF(ConsolidatedEventList!361:361,"AAAAAG/ifh0=",0)</f>
        <v>0</v>
      </c>
      <c r="AE75" t="e">
        <f>AND(ConsolidatedEventList!A361,"AAAAAG/ifh4=")</f>
        <v>#VALUE!</v>
      </c>
      <c r="AF75" t="e">
        <f>AND(ConsolidatedEventList!B361,"AAAAAG/ifh8=")</f>
        <v>#VALUE!</v>
      </c>
      <c r="AG75" t="e">
        <f>AND(ConsolidatedEventList!C361,"AAAAAG/ifiA=")</f>
        <v>#VALUE!</v>
      </c>
      <c r="AH75" t="e">
        <f>AND(ConsolidatedEventList!D361,"AAAAAG/ifiE=")</f>
        <v>#VALUE!</v>
      </c>
      <c r="AI75" t="e">
        <f>AND(ConsolidatedEventList!E361,"AAAAAG/ifiI=")</f>
        <v>#VALUE!</v>
      </c>
      <c r="AJ75" t="e">
        <f>AND(ConsolidatedEventList!F361,"AAAAAG/ifiM=")</f>
        <v>#VALUE!</v>
      </c>
      <c r="AK75" t="e">
        <f>AND(ConsolidatedEventList!G361,"AAAAAG/ifiQ=")</f>
        <v>#VALUE!</v>
      </c>
      <c r="AL75" t="e">
        <f>AND(ConsolidatedEventList!H361,"AAAAAG/ifiU=")</f>
        <v>#VALUE!</v>
      </c>
      <c r="AM75">
        <f>IF(ConsolidatedEventList!362:362,"AAAAAG/ifiY=",0)</f>
        <v>0</v>
      </c>
      <c r="AN75" t="e">
        <f>AND(ConsolidatedEventList!A362,"AAAAAG/ific=")</f>
        <v>#VALUE!</v>
      </c>
      <c r="AO75" t="e">
        <f>AND(ConsolidatedEventList!B362,"AAAAAG/ifig=")</f>
        <v>#VALUE!</v>
      </c>
      <c r="AP75" t="e">
        <f>AND(ConsolidatedEventList!C362,"AAAAAG/ifik=")</f>
        <v>#VALUE!</v>
      </c>
      <c r="AQ75" t="e">
        <f>AND(ConsolidatedEventList!D362,"AAAAAG/ifio=")</f>
        <v>#VALUE!</v>
      </c>
      <c r="AR75" t="e">
        <f>AND(ConsolidatedEventList!E362,"AAAAAG/ifis=")</f>
        <v>#VALUE!</v>
      </c>
      <c r="AS75" t="e">
        <f>AND(ConsolidatedEventList!F362,"AAAAAG/ifiw=")</f>
        <v>#VALUE!</v>
      </c>
      <c r="AT75" t="e">
        <f>AND(ConsolidatedEventList!G362,"AAAAAG/ifi0=")</f>
        <v>#VALUE!</v>
      </c>
      <c r="AU75" t="e">
        <f>AND(ConsolidatedEventList!H362,"AAAAAG/ifi4=")</f>
        <v>#VALUE!</v>
      </c>
      <c r="AV75">
        <f>IF(ConsolidatedEventList!363:363,"AAAAAG/ifi8=",0)</f>
        <v>0</v>
      </c>
      <c r="AW75" t="e">
        <f>AND(ConsolidatedEventList!A363,"AAAAAG/ifjA=")</f>
        <v>#VALUE!</v>
      </c>
      <c r="AX75" t="e">
        <f>AND(ConsolidatedEventList!B363,"AAAAAG/ifjE=")</f>
        <v>#VALUE!</v>
      </c>
      <c r="AY75" t="e">
        <f>AND(ConsolidatedEventList!C363,"AAAAAG/ifjI=")</f>
        <v>#VALUE!</v>
      </c>
      <c r="AZ75" t="e">
        <f>AND(ConsolidatedEventList!D363,"AAAAAG/ifjM=")</f>
        <v>#VALUE!</v>
      </c>
      <c r="BA75" t="e">
        <f>AND(ConsolidatedEventList!E363,"AAAAAG/ifjQ=")</f>
        <v>#VALUE!</v>
      </c>
      <c r="BB75" t="e">
        <f>AND(ConsolidatedEventList!F363,"AAAAAG/ifjU=")</f>
        <v>#VALUE!</v>
      </c>
      <c r="BC75" t="e">
        <f>AND(ConsolidatedEventList!G363,"AAAAAG/ifjY=")</f>
        <v>#VALUE!</v>
      </c>
      <c r="BD75" t="e">
        <f>AND(ConsolidatedEventList!H363,"AAAAAG/ifjc=")</f>
        <v>#VALUE!</v>
      </c>
      <c r="BE75">
        <f>IF(ConsolidatedEventList!364:364,"AAAAAG/ifjg=",0)</f>
        <v>0</v>
      </c>
      <c r="BF75" t="e">
        <f>AND(ConsolidatedEventList!A364,"AAAAAG/ifjk=")</f>
        <v>#VALUE!</v>
      </c>
      <c r="BG75" t="e">
        <f>AND(ConsolidatedEventList!B364,"AAAAAG/ifjo=")</f>
        <v>#VALUE!</v>
      </c>
      <c r="BH75" t="e">
        <f>AND(ConsolidatedEventList!C364,"AAAAAG/ifjs=")</f>
        <v>#VALUE!</v>
      </c>
      <c r="BI75" t="e">
        <f>AND(ConsolidatedEventList!D364,"AAAAAG/ifjw=")</f>
        <v>#VALUE!</v>
      </c>
      <c r="BJ75" t="e">
        <f>AND(ConsolidatedEventList!E364,"AAAAAG/ifj0=")</f>
        <v>#VALUE!</v>
      </c>
      <c r="BK75" t="e">
        <f>AND(ConsolidatedEventList!F364,"AAAAAG/ifj4=")</f>
        <v>#VALUE!</v>
      </c>
      <c r="BL75" t="e">
        <f>AND(ConsolidatedEventList!G364,"AAAAAG/ifj8=")</f>
        <v>#VALUE!</v>
      </c>
      <c r="BM75" t="e">
        <f>AND(ConsolidatedEventList!H364,"AAAAAG/ifkA=")</f>
        <v>#VALUE!</v>
      </c>
      <c r="BN75">
        <f>IF(ConsolidatedEventList!365:365,"AAAAAG/ifkE=",0)</f>
        <v>0</v>
      </c>
      <c r="BO75" t="e">
        <f>AND(ConsolidatedEventList!A365,"AAAAAG/ifkI=")</f>
        <v>#VALUE!</v>
      </c>
      <c r="BP75" t="e">
        <f>AND(ConsolidatedEventList!B365,"AAAAAG/ifkM=")</f>
        <v>#VALUE!</v>
      </c>
      <c r="BQ75" t="e">
        <f>AND(ConsolidatedEventList!C365,"AAAAAG/ifkQ=")</f>
        <v>#VALUE!</v>
      </c>
      <c r="BR75" t="e">
        <f>AND(ConsolidatedEventList!D365,"AAAAAG/ifkU=")</f>
        <v>#VALUE!</v>
      </c>
      <c r="BS75" t="e">
        <f>AND(ConsolidatedEventList!E365,"AAAAAG/ifkY=")</f>
        <v>#VALUE!</v>
      </c>
      <c r="BT75" t="e">
        <f>AND(ConsolidatedEventList!F365,"AAAAAG/ifkc=")</f>
        <v>#VALUE!</v>
      </c>
      <c r="BU75" t="e">
        <f>AND(ConsolidatedEventList!G365,"AAAAAG/ifkg=")</f>
        <v>#VALUE!</v>
      </c>
      <c r="BV75" t="e">
        <f>AND(ConsolidatedEventList!H365,"AAAAAG/ifkk=")</f>
        <v>#VALUE!</v>
      </c>
      <c r="BW75">
        <f>IF(ConsolidatedEventList!366:366,"AAAAAG/ifko=",0)</f>
        <v>0</v>
      </c>
      <c r="BX75" t="e">
        <f>AND(ConsolidatedEventList!A366,"AAAAAG/ifks=")</f>
        <v>#VALUE!</v>
      </c>
      <c r="BY75" t="e">
        <f>AND(ConsolidatedEventList!B366,"AAAAAG/ifkw=")</f>
        <v>#VALUE!</v>
      </c>
      <c r="BZ75" t="e">
        <f>AND(ConsolidatedEventList!C366,"AAAAAG/ifk0=")</f>
        <v>#VALUE!</v>
      </c>
      <c r="CA75" t="e">
        <f>AND(ConsolidatedEventList!D366,"AAAAAG/ifk4=")</f>
        <v>#VALUE!</v>
      </c>
      <c r="CB75" t="e">
        <f>AND(ConsolidatedEventList!E366,"AAAAAG/ifk8=")</f>
        <v>#VALUE!</v>
      </c>
      <c r="CC75" t="e">
        <f>AND(ConsolidatedEventList!F366,"AAAAAG/iflA=")</f>
        <v>#VALUE!</v>
      </c>
      <c r="CD75" t="e">
        <f>AND(ConsolidatedEventList!G366,"AAAAAG/iflE=")</f>
        <v>#VALUE!</v>
      </c>
      <c r="CE75" t="e">
        <f>AND(ConsolidatedEventList!H366,"AAAAAG/iflI=")</f>
        <v>#VALUE!</v>
      </c>
      <c r="CF75">
        <f>IF(ConsolidatedEventList!367:367,"AAAAAG/iflM=",0)</f>
        <v>0</v>
      </c>
      <c r="CG75" t="e">
        <f>AND(ConsolidatedEventList!A367,"AAAAAG/iflQ=")</f>
        <v>#VALUE!</v>
      </c>
      <c r="CH75" t="e">
        <f>AND(ConsolidatedEventList!B367,"AAAAAG/iflU=")</f>
        <v>#VALUE!</v>
      </c>
      <c r="CI75" t="e">
        <f>AND(ConsolidatedEventList!C367,"AAAAAG/iflY=")</f>
        <v>#VALUE!</v>
      </c>
      <c r="CJ75" t="e">
        <f>AND(ConsolidatedEventList!D367,"AAAAAG/iflc=")</f>
        <v>#VALUE!</v>
      </c>
      <c r="CK75" t="e">
        <f>AND(ConsolidatedEventList!E367,"AAAAAG/iflg=")</f>
        <v>#VALUE!</v>
      </c>
      <c r="CL75" t="e">
        <f>AND(ConsolidatedEventList!F367,"AAAAAG/iflk=")</f>
        <v>#VALUE!</v>
      </c>
      <c r="CM75" t="e">
        <f>AND(ConsolidatedEventList!G367,"AAAAAG/iflo=")</f>
        <v>#VALUE!</v>
      </c>
      <c r="CN75" t="e">
        <f>AND(ConsolidatedEventList!H367,"AAAAAG/ifls=")</f>
        <v>#VALUE!</v>
      </c>
      <c r="CO75">
        <f>IF(ConsolidatedEventList!368:368,"AAAAAG/iflw=",0)</f>
        <v>0</v>
      </c>
      <c r="CP75" t="e">
        <f>AND(ConsolidatedEventList!A368,"AAAAAG/ifl0=")</f>
        <v>#VALUE!</v>
      </c>
      <c r="CQ75" t="e">
        <f>AND(ConsolidatedEventList!B368,"AAAAAG/ifl4=")</f>
        <v>#VALUE!</v>
      </c>
      <c r="CR75" t="e">
        <f>AND(ConsolidatedEventList!C368,"AAAAAG/ifl8=")</f>
        <v>#VALUE!</v>
      </c>
      <c r="CS75" t="e">
        <f>AND(ConsolidatedEventList!D368,"AAAAAG/ifmA=")</f>
        <v>#VALUE!</v>
      </c>
      <c r="CT75" t="e">
        <f>AND(ConsolidatedEventList!E368,"AAAAAG/ifmE=")</f>
        <v>#VALUE!</v>
      </c>
      <c r="CU75" t="e">
        <f>AND(ConsolidatedEventList!F368,"AAAAAG/ifmI=")</f>
        <v>#VALUE!</v>
      </c>
      <c r="CV75" t="e">
        <f>AND(ConsolidatedEventList!G368,"AAAAAG/ifmM=")</f>
        <v>#VALUE!</v>
      </c>
      <c r="CW75" t="e">
        <f>AND(ConsolidatedEventList!H368,"AAAAAG/ifmQ=")</f>
        <v>#VALUE!</v>
      </c>
      <c r="CX75">
        <f>IF(ConsolidatedEventList!369:369,"AAAAAG/ifmU=",0)</f>
        <v>0</v>
      </c>
      <c r="CY75" t="e">
        <f>AND(ConsolidatedEventList!A369,"AAAAAG/ifmY=")</f>
        <v>#VALUE!</v>
      </c>
      <c r="CZ75" t="e">
        <f>AND(ConsolidatedEventList!B369,"AAAAAG/ifmc=")</f>
        <v>#VALUE!</v>
      </c>
      <c r="DA75" t="e">
        <f>AND(ConsolidatedEventList!C369,"AAAAAG/ifmg=")</f>
        <v>#VALUE!</v>
      </c>
      <c r="DB75" t="e">
        <f>AND(ConsolidatedEventList!D369,"AAAAAG/ifmk=")</f>
        <v>#VALUE!</v>
      </c>
      <c r="DC75" t="e">
        <f>AND(ConsolidatedEventList!E369,"AAAAAG/ifmo=")</f>
        <v>#VALUE!</v>
      </c>
      <c r="DD75" t="e">
        <f>AND(ConsolidatedEventList!F369,"AAAAAG/ifms=")</f>
        <v>#VALUE!</v>
      </c>
      <c r="DE75" t="e">
        <f>AND(ConsolidatedEventList!G369,"AAAAAG/ifmw=")</f>
        <v>#VALUE!</v>
      </c>
      <c r="DF75" t="e">
        <f>AND(ConsolidatedEventList!H369,"AAAAAG/ifm0=")</f>
        <v>#VALUE!</v>
      </c>
      <c r="DG75">
        <f>IF(ConsolidatedEventList!370:370,"AAAAAG/ifm4=",0)</f>
        <v>0</v>
      </c>
      <c r="DH75" t="e">
        <f>AND(ConsolidatedEventList!A370,"AAAAAG/ifm8=")</f>
        <v>#VALUE!</v>
      </c>
      <c r="DI75" t="e">
        <f>AND(ConsolidatedEventList!B370,"AAAAAG/ifnA=")</f>
        <v>#VALUE!</v>
      </c>
      <c r="DJ75" t="e">
        <f>AND(ConsolidatedEventList!C370,"AAAAAG/ifnE=")</f>
        <v>#VALUE!</v>
      </c>
      <c r="DK75" t="e">
        <f>AND(ConsolidatedEventList!D370,"AAAAAG/ifnI=")</f>
        <v>#VALUE!</v>
      </c>
      <c r="DL75" t="e">
        <f>AND(ConsolidatedEventList!E370,"AAAAAG/ifnM=")</f>
        <v>#VALUE!</v>
      </c>
      <c r="DM75" t="e">
        <f>AND(ConsolidatedEventList!F370,"AAAAAG/ifnQ=")</f>
        <v>#VALUE!</v>
      </c>
      <c r="DN75" t="e">
        <f>AND(ConsolidatedEventList!G370,"AAAAAG/ifnU=")</f>
        <v>#VALUE!</v>
      </c>
      <c r="DO75" t="e">
        <f>AND(ConsolidatedEventList!H370,"AAAAAG/ifnY=")</f>
        <v>#VALUE!</v>
      </c>
      <c r="DP75">
        <f>IF(ConsolidatedEventList!371:371,"AAAAAG/ifnc=",0)</f>
        <v>0</v>
      </c>
      <c r="DQ75" t="e">
        <f>AND(ConsolidatedEventList!A371,"AAAAAG/ifng=")</f>
        <v>#VALUE!</v>
      </c>
      <c r="DR75" t="e">
        <f>AND(ConsolidatedEventList!B371,"AAAAAG/ifnk=")</f>
        <v>#VALUE!</v>
      </c>
      <c r="DS75" t="e">
        <f>AND(ConsolidatedEventList!C371,"AAAAAG/ifno=")</f>
        <v>#VALUE!</v>
      </c>
      <c r="DT75" t="e">
        <f>AND(ConsolidatedEventList!D371,"AAAAAG/ifns=")</f>
        <v>#VALUE!</v>
      </c>
      <c r="DU75" t="e">
        <f>AND(ConsolidatedEventList!E371,"AAAAAG/ifnw=")</f>
        <v>#VALUE!</v>
      </c>
      <c r="DV75" t="e">
        <f>AND(ConsolidatedEventList!F371,"AAAAAG/ifn0=")</f>
        <v>#VALUE!</v>
      </c>
      <c r="DW75" t="e">
        <f>AND(ConsolidatedEventList!G371,"AAAAAG/ifn4=")</f>
        <v>#VALUE!</v>
      </c>
      <c r="DX75" t="e">
        <f>AND(ConsolidatedEventList!H371,"AAAAAG/ifn8=")</f>
        <v>#VALUE!</v>
      </c>
      <c r="DY75">
        <f>IF(ConsolidatedEventList!372:372,"AAAAAG/ifoA=",0)</f>
        <v>0</v>
      </c>
      <c r="DZ75" t="e">
        <f>AND(ConsolidatedEventList!A372,"AAAAAG/ifoE=")</f>
        <v>#VALUE!</v>
      </c>
      <c r="EA75" t="e">
        <f>AND(ConsolidatedEventList!B372,"AAAAAG/ifoI=")</f>
        <v>#VALUE!</v>
      </c>
      <c r="EB75" t="e">
        <f>AND(ConsolidatedEventList!C372,"AAAAAG/ifoM=")</f>
        <v>#VALUE!</v>
      </c>
      <c r="EC75" t="e">
        <f>AND(ConsolidatedEventList!D372,"AAAAAG/ifoQ=")</f>
        <v>#VALUE!</v>
      </c>
      <c r="ED75" t="e">
        <f>AND(ConsolidatedEventList!E372,"AAAAAG/ifoU=")</f>
        <v>#VALUE!</v>
      </c>
      <c r="EE75" t="e">
        <f>AND(ConsolidatedEventList!F372,"AAAAAG/ifoY=")</f>
        <v>#VALUE!</v>
      </c>
      <c r="EF75" t="e">
        <f>AND(ConsolidatedEventList!G372,"AAAAAG/ifoc=")</f>
        <v>#VALUE!</v>
      </c>
      <c r="EG75" t="e">
        <f>AND(ConsolidatedEventList!H372,"AAAAAG/ifog=")</f>
        <v>#VALUE!</v>
      </c>
      <c r="EH75">
        <f>IF(ConsolidatedEventList!373:373,"AAAAAG/ifok=",0)</f>
        <v>0</v>
      </c>
      <c r="EI75" t="e">
        <f>AND(ConsolidatedEventList!A373,"AAAAAG/ifoo=")</f>
        <v>#VALUE!</v>
      </c>
      <c r="EJ75" t="e">
        <f>AND(ConsolidatedEventList!B373,"AAAAAG/ifos=")</f>
        <v>#VALUE!</v>
      </c>
      <c r="EK75" t="e">
        <f>AND(ConsolidatedEventList!C373,"AAAAAG/ifow=")</f>
        <v>#VALUE!</v>
      </c>
      <c r="EL75" t="e">
        <f>AND(ConsolidatedEventList!D373,"AAAAAG/ifo0=")</f>
        <v>#VALUE!</v>
      </c>
      <c r="EM75" t="e">
        <f>AND(ConsolidatedEventList!E373,"AAAAAG/ifo4=")</f>
        <v>#VALUE!</v>
      </c>
      <c r="EN75" t="e">
        <f>AND(ConsolidatedEventList!F373,"AAAAAG/ifo8=")</f>
        <v>#VALUE!</v>
      </c>
      <c r="EO75" t="e">
        <f>AND(ConsolidatedEventList!G373,"AAAAAG/ifpA=")</f>
        <v>#VALUE!</v>
      </c>
      <c r="EP75" t="e">
        <f>AND(ConsolidatedEventList!H373,"AAAAAG/ifpE=")</f>
        <v>#VALUE!</v>
      </c>
      <c r="EQ75">
        <f>IF(ConsolidatedEventList!374:374,"AAAAAG/ifpI=",0)</f>
        <v>0</v>
      </c>
      <c r="ER75" t="e">
        <f>AND(ConsolidatedEventList!A374,"AAAAAG/ifpM=")</f>
        <v>#VALUE!</v>
      </c>
      <c r="ES75" t="e">
        <f>AND(ConsolidatedEventList!B374,"AAAAAG/ifpQ=")</f>
        <v>#VALUE!</v>
      </c>
      <c r="ET75" t="e">
        <f>AND(ConsolidatedEventList!C374,"AAAAAG/ifpU=")</f>
        <v>#VALUE!</v>
      </c>
      <c r="EU75" t="e">
        <f>AND(ConsolidatedEventList!D374,"AAAAAG/ifpY=")</f>
        <v>#VALUE!</v>
      </c>
      <c r="EV75" t="e">
        <f>AND(ConsolidatedEventList!E374,"AAAAAG/ifpc=")</f>
        <v>#VALUE!</v>
      </c>
      <c r="EW75" t="e">
        <f>AND(ConsolidatedEventList!F374,"AAAAAG/ifpg=")</f>
        <v>#VALUE!</v>
      </c>
      <c r="EX75" t="e">
        <f>AND(ConsolidatedEventList!G374,"AAAAAG/ifpk=")</f>
        <v>#VALUE!</v>
      </c>
      <c r="EY75" t="e">
        <f>AND(ConsolidatedEventList!H374,"AAAAAG/ifpo=")</f>
        <v>#VALUE!</v>
      </c>
      <c r="EZ75">
        <f>IF(ConsolidatedEventList!375:375,"AAAAAG/ifps=",0)</f>
        <v>0</v>
      </c>
      <c r="FA75" t="e">
        <f>AND(ConsolidatedEventList!A375,"AAAAAG/ifpw=")</f>
        <v>#VALUE!</v>
      </c>
      <c r="FB75" t="e">
        <f>AND(ConsolidatedEventList!B375,"AAAAAG/ifp0=")</f>
        <v>#VALUE!</v>
      </c>
      <c r="FC75" t="e">
        <f>AND(ConsolidatedEventList!C375,"AAAAAG/ifp4=")</f>
        <v>#VALUE!</v>
      </c>
      <c r="FD75" t="e">
        <f>AND(ConsolidatedEventList!D375,"AAAAAG/ifp8=")</f>
        <v>#VALUE!</v>
      </c>
      <c r="FE75" t="e">
        <f>AND(ConsolidatedEventList!E375,"AAAAAG/ifqA=")</f>
        <v>#VALUE!</v>
      </c>
      <c r="FF75" t="e">
        <f>AND(ConsolidatedEventList!F375,"AAAAAG/ifqE=")</f>
        <v>#VALUE!</v>
      </c>
      <c r="FG75" t="e">
        <f>AND(ConsolidatedEventList!G375,"AAAAAG/ifqI=")</f>
        <v>#VALUE!</v>
      </c>
      <c r="FH75" t="e">
        <f>AND(ConsolidatedEventList!H375,"AAAAAG/ifqM=")</f>
        <v>#VALUE!</v>
      </c>
      <c r="FI75" t="e">
        <f>IF(ConsolidatedEventList!#REF!,"AAAAAG/ifqQ=",0)</f>
        <v>#REF!</v>
      </c>
      <c r="FJ75" t="e">
        <f>AND(ConsolidatedEventList!#REF!,"AAAAAG/ifqU=")</f>
        <v>#REF!</v>
      </c>
      <c r="FK75" t="e">
        <f>AND(ConsolidatedEventList!#REF!,"AAAAAG/ifqY=")</f>
        <v>#REF!</v>
      </c>
      <c r="FL75" t="e">
        <f>AND(ConsolidatedEventList!#REF!,"AAAAAG/ifqc=")</f>
        <v>#REF!</v>
      </c>
      <c r="FM75" t="e">
        <f>AND(ConsolidatedEventList!#REF!,"AAAAAG/ifqg=")</f>
        <v>#REF!</v>
      </c>
      <c r="FN75" t="e">
        <f>AND(ConsolidatedEventList!#REF!,"AAAAAG/ifqk=")</f>
        <v>#REF!</v>
      </c>
      <c r="FO75" t="e">
        <f>AND(ConsolidatedEventList!#REF!,"AAAAAG/ifqo=")</f>
        <v>#REF!</v>
      </c>
      <c r="FP75" t="e">
        <f>AND(ConsolidatedEventList!#REF!,"AAAAAG/ifqs=")</f>
        <v>#REF!</v>
      </c>
      <c r="FQ75" t="e">
        <f>AND(ConsolidatedEventList!#REF!,"AAAAAG/ifqw=")</f>
        <v>#REF!</v>
      </c>
      <c r="FR75" t="e">
        <f>IF(ConsolidatedEventList!#REF!,"AAAAAG/ifq0=",0)</f>
        <v>#REF!</v>
      </c>
      <c r="FS75" t="e">
        <f>AND(ConsolidatedEventList!#REF!,"AAAAAG/ifq4=")</f>
        <v>#REF!</v>
      </c>
      <c r="FT75" t="e">
        <f>AND(ConsolidatedEventList!#REF!,"AAAAAG/ifq8=")</f>
        <v>#REF!</v>
      </c>
      <c r="FU75" t="e">
        <f>AND(ConsolidatedEventList!#REF!,"AAAAAG/ifrA=")</f>
        <v>#REF!</v>
      </c>
      <c r="FV75" t="e">
        <f>AND(ConsolidatedEventList!#REF!,"AAAAAG/ifrE=")</f>
        <v>#REF!</v>
      </c>
      <c r="FW75" t="e">
        <f>AND(ConsolidatedEventList!#REF!,"AAAAAG/ifrI=")</f>
        <v>#REF!</v>
      </c>
      <c r="FX75" t="e">
        <f>AND(ConsolidatedEventList!#REF!,"AAAAAG/ifrM=")</f>
        <v>#REF!</v>
      </c>
      <c r="FY75" t="e">
        <f>AND(ConsolidatedEventList!#REF!,"AAAAAG/ifrQ=")</f>
        <v>#REF!</v>
      </c>
      <c r="FZ75" t="e">
        <f>AND(ConsolidatedEventList!#REF!,"AAAAAG/ifrU=")</f>
        <v>#REF!</v>
      </c>
      <c r="GA75">
        <f>IF(ConsolidatedEventList!376:376,"AAAAAG/ifrY=",0)</f>
        <v>0</v>
      </c>
      <c r="GB75" t="e">
        <f>AND(ConsolidatedEventList!A376,"AAAAAG/ifrc=")</f>
        <v>#VALUE!</v>
      </c>
      <c r="GC75" t="e">
        <f>AND(ConsolidatedEventList!B376,"AAAAAG/ifrg=")</f>
        <v>#VALUE!</v>
      </c>
      <c r="GD75" t="e">
        <f>AND(ConsolidatedEventList!C376,"AAAAAG/ifrk=")</f>
        <v>#VALUE!</v>
      </c>
      <c r="GE75" t="e">
        <f>AND(ConsolidatedEventList!D376,"AAAAAG/ifro=")</f>
        <v>#VALUE!</v>
      </c>
      <c r="GF75" t="e">
        <f>AND(ConsolidatedEventList!E376,"AAAAAG/ifrs=")</f>
        <v>#VALUE!</v>
      </c>
      <c r="GG75" t="e">
        <f>AND(ConsolidatedEventList!F376,"AAAAAG/ifrw=")</f>
        <v>#VALUE!</v>
      </c>
      <c r="GH75" t="e">
        <f>AND(ConsolidatedEventList!G376,"AAAAAG/ifr0=")</f>
        <v>#VALUE!</v>
      </c>
      <c r="GI75" t="e">
        <f>AND(ConsolidatedEventList!H376,"AAAAAG/ifr4=")</f>
        <v>#VALUE!</v>
      </c>
      <c r="GJ75">
        <f>IF(ConsolidatedEventList!377:377,"AAAAAG/ifr8=",0)</f>
        <v>0</v>
      </c>
      <c r="GK75" t="e">
        <f>AND(ConsolidatedEventList!A377,"AAAAAG/ifsA=")</f>
        <v>#VALUE!</v>
      </c>
      <c r="GL75" t="e">
        <f>AND(ConsolidatedEventList!B377,"AAAAAG/ifsE=")</f>
        <v>#VALUE!</v>
      </c>
      <c r="GM75" t="e">
        <f>AND(ConsolidatedEventList!C377,"AAAAAG/ifsI=")</f>
        <v>#VALUE!</v>
      </c>
      <c r="GN75" t="e">
        <f>AND(ConsolidatedEventList!D377,"AAAAAG/ifsM=")</f>
        <v>#VALUE!</v>
      </c>
      <c r="GO75" t="e">
        <f>AND(ConsolidatedEventList!E377,"AAAAAG/ifsQ=")</f>
        <v>#VALUE!</v>
      </c>
      <c r="GP75" t="e">
        <f>AND(ConsolidatedEventList!F377,"AAAAAG/ifsU=")</f>
        <v>#VALUE!</v>
      </c>
      <c r="GQ75" t="e">
        <f>AND(ConsolidatedEventList!G377,"AAAAAG/ifsY=")</f>
        <v>#VALUE!</v>
      </c>
      <c r="GR75" t="e">
        <f>AND(ConsolidatedEventList!H377,"AAAAAG/ifsc=")</f>
        <v>#VALUE!</v>
      </c>
      <c r="GS75">
        <f>IF(ConsolidatedEventList!378:378,"AAAAAG/ifsg=",0)</f>
        <v>0</v>
      </c>
      <c r="GT75" t="e">
        <f>AND(ConsolidatedEventList!A378,"AAAAAG/ifsk=")</f>
        <v>#VALUE!</v>
      </c>
      <c r="GU75" t="e">
        <f>AND(ConsolidatedEventList!B378,"AAAAAG/ifso=")</f>
        <v>#VALUE!</v>
      </c>
      <c r="GV75" t="e">
        <f>AND(ConsolidatedEventList!C378,"AAAAAG/ifss=")</f>
        <v>#VALUE!</v>
      </c>
      <c r="GW75" t="e">
        <f>AND(ConsolidatedEventList!D378,"AAAAAG/ifsw=")</f>
        <v>#VALUE!</v>
      </c>
      <c r="GX75" t="e">
        <f>AND(ConsolidatedEventList!E378,"AAAAAG/ifs0=")</f>
        <v>#VALUE!</v>
      </c>
      <c r="GY75" t="e">
        <f>AND(ConsolidatedEventList!F378,"AAAAAG/ifs4=")</f>
        <v>#VALUE!</v>
      </c>
      <c r="GZ75" t="e">
        <f>AND(ConsolidatedEventList!G378,"AAAAAG/ifs8=")</f>
        <v>#VALUE!</v>
      </c>
      <c r="HA75" t="e">
        <f>AND(ConsolidatedEventList!H378,"AAAAAG/iftA=")</f>
        <v>#VALUE!</v>
      </c>
      <c r="HB75">
        <f>IF(ConsolidatedEventList!379:379,"AAAAAG/iftE=",0)</f>
        <v>0</v>
      </c>
      <c r="HC75" t="e">
        <f>AND(ConsolidatedEventList!A379,"AAAAAG/iftI=")</f>
        <v>#VALUE!</v>
      </c>
      <c r="HD75" t="e">
        <f>AND(ConsolidatedEventList!B379,"AAAAAG/iftM=")</f>
        <v>#VALUE!</v>
      </c>
      <c r="HE75" t="e">
        <f>AND(ConsolidatedEventList!C379,"AAAAAG/iftQ=")</f>
        <v>#VALUE!</v>
      </c>
      <c r="HF75" t="e">
        <f>AND(ConsolidatedEventList!D379,"AAAAAG/iftU=")</f>
        <v>#VALUE!</v>
      </c>
      <c r="HG75" t="e">
        <f>AND(ConsolidatedEventList!E379,"AAAAAG/iftY=")</f>
        <v>#VALUE!</v>
      </c>
      <c r="HH75" t="e">
        <f>AND(ConsolidatedEventList!F379,"AAAAAG/iftc=")</f>
        <v>#VALUE!</v>
      </c>
      <c r="HI75" t="e">
        <f>AND(ConsolidatedEventList!G379,"AAAAAG/iftg=")</f>
        <v>#VALUE!</v>
      </c>
      <c r="HJ75" t="e">
        <f>AND(ConsolidatedEventList!H379,"AAAAAG/iftk=")</f>
        <v>#VALUE!</v>
      </c>
      <c r="HK75">
        <f>IF(ConsolidatedEventList!380:380,"AAAAAG/ifto=",0)</f>
        <v>0</v>
      </c>
      <c r="HL75" t="e">
        <f>AND(ConsolidatedEventList!A380,"AAAAAG/ifts=")</f>
        <v>#VALUE!</v>
      </c>
      <c r="HM75" t="e">
        <f>AND(ConsolidatedEventList!B380,"AAAAAG/iftw=")</f>
        <v>#VALUE!</v>
      </c>
      <c r="HN75" t="e">
        <f>AND(ConsolidatedEventList!C380,"AAAAAG/ift0=")</f>
        <v>#VALUE!</v>
      </c>
      <c r="HO75" t="e">
        <f>AND(ConsolidatedEventList!D380,"AAAAAG/ift4=")</f>
        <v>#VALUE!</v>
      </c>
      <c r="HP75" t="e">
        <f>AND(ConsolidatedEventList!E380,"AAAAAG/ift8=")</f>
        <v>#VALUE!</v>
      </c>
      <c r="HQ75" t="e">
        <f>AND(ConsolidatedEventList!F380,"AAAAAG/ifuA=")</f>
        <v>#VALUE!</v>
      </c>
      <c r="HR75" t="e">
        <f>AND(ConsolidatedEventList!G380,"AAAAAG/ifuE=")</f>
        <v>#VALUE!</v>
      </c>
      <c r="HS75" t="e">
        <f>AND(ConsolidatedEventList!H380,"AAAAAG/ifuI=")</f>
        <v>#VALUE!</v>
      </c>
      <c r="HT75">
        <f>IF(ConsolidatedEventList!381:381,"AAAAAG/ifuM=",0)</f>
        <v>0</v>
      </c>
      <c r="HU75" t="e">
        <f>AND(ConsolidatedEventList!A381,"AAAAAG/ifuQ=")</f>
        <v>#VALUE!</v>
      </c>
      <c r="HV75" t="e">
        <f>AND(ConsolidatedEventList!B381,"AAAAAG/ifuU=")</f>
        <v>#VALUE!</v>
      </c>
      <c r="HW75" t="e">
        <f>AND(ConsolidatedEventList!C381,"AAAAAG/ifuY=")</f>
        <v>#VALUE!</v>
      </c>
      <c r="HX75" t="e">
        <f>AND(ConsolidatedEventList!D381,"AAAAAG/ifuc=")</f>
        <v>#VALUE!</v>
      </c>
      <c r="HY75" t="e">
        <f>AND(ConsolidatedEventList!E381,"AAAAAG/ifug=")</f>
        <v>#VALUE!</v>
      </c>
      <c r="HZ75" t="e">
        <f>AND(ConsolidatedEventList!F381,"AAAAAG/ifuk=")</f>
        <v>#VALUE!</v>
      </c>
      <c r="IA75" t="e">
        <f>AND(ConsolidatedEventList!G381,"AAAAAG/ifuo=")</f>
        <v>#VALUE!</v>
      </c>
      <c r="IB75" t="e">
        <f>AND(ConsolidatedEventList!H381,"AAAAAG/ifus=")</f>
        <v>#VALUE!</v>
      </c>
      <c r="IC75">
        <f>IF(ConsolidatedEventList!382:382,"AAAAAG/ifuw=",0)</f>
        <v>0</v>
      </c>
      <c r="ID75" t="e">
        <f>AND(ConsolidatedEventList!A382,"AAAAAG/ifu0=")</f>
        <v>#VALUE!</v>
      </c>
      <c r="IE75" t="e">
        <f>AND(ConsolidatedEventList!B382,"AAAAAG/ifu4=")</f>
        <v>#VALUE!</v>
      </c>
      <c r="IF75" t="e">
        <f>AND(ConsolidatedEventList!C382,"AAAAAG/ifu8=")</f>
        <v>#VALUE!</v>
      </c>
      <c r="IG75" t="e">
        <f>AND(ConsolidatedEventList!D382,"AAAAAG/ifvA=")</f>
        <v>#VALUE!</v>
      </c>
      <c r="IH75" t="e">
        <f>AND(ConsolidatedEventList!E382,"AAAAAG/ifvE=")</f>
        <v>#VALUE!</v>
      </c>
      <c r="II75" t="e">
        <f>AND(ConsolidatedEventList!F382,"AAAAAG/ifvI=")</f>
        <v>#VALUE!</v>
      </c>
      <c r="IJ75" t="e">
        <f>AND(ConsolidatedEventList!G382,"AAAAAG/ifvM=")</f>
        <v>#VALUE!</v>
      </c>
      <c r="IK75" t="e">
        <f>AND(ConsolidatedEventList!H382,"AAAAAG/ifvQ=")</f>
        <v>#VALUE!</v>
      </c>
      <c r="IL75">
        <f>IF(ConsolidatedEventList!383:383,"AAAAAG/ifvU=",0)</f>
        <v>0</v>
      </c>
      <c r="IM75" t="e">
        <f>AND(ConsolidatedEventList!A383,"AAAAAG/ifvY=")</f>
        <v>#VALUE!</v>
      </c>
      <c r="IN75" t="e">
        <f>AND(ConsolidatedEventList!B383,"AAAAAG/ifvc=")</f>
        <v>#VALUE!</v>
      </c>
      <c r="IO75" t="e">
        <f>AND(ConsolidatedEventList!C383,"AAAAAG/ifvg=")</f>
        <v>#VALUE!</v>
      </c>
      <c r="IP75" t="e">
        <f>AND(ConsolidatedEventList!D383,"AAAAAG/ifvk=")</f>
        <v>#VALUE!</v>
      </c>
      <c r="IQ75" t="e">
        <f>AND(ConsolidatedEventList!E383,"AAAAAG/ifvo=")</f>
        <v>#VALUE!</v>
      </c>
      <c r="IR75" t="e">
        <f>AND(ConsolidatedEventList!F383,"AAAAAG/ifvs=")</f>
        <v>#VALUE!</v>
      </c>
      <c r="IS75" t="e">
        <f>AND(ConsolidatedEventList!G383,"AAAAAG/ifvw=")</f>
        <v>#VALUE!</v>
      </c>
      <c r="IT75" t="e">
        <f>AND(ConsolidatedEventList!H383,"AAAAAG/ifv0=")</f>
        <v>#VALUE!</v>
      </c>
      <c r="IU75">
        <f>IF(ConsolidatedEventList!384:384,"AAAAAG/ifv4=",0)</f>
        <v>0</v>
      </c>
      <c r="IV75" t="e">
        <f>AND(ConsolidatedEventList!A384,"AAAAAG/ifv8=")</f>
        <v>#VALUE!</v>
      </c>
    </row>
    <row r="76" spans="1:256" x14ac:dyDescent="0.25">
      <c r="A76" t="e">
        <f>AND(ConsolidatedEventList!B384,"AAAAAH/VzgA=")</f>
        <v>#VALUE!</v>
      </c>
      <c r="B76" t="e">
        <f>AND(ConsolidatedEventList!C384,"AAAAAH/VzgE=")</f>
        <v>#VALUE!</v>
      </c>
      <c r="C76" t="e">
        <f>AND(ConsolidatedEventList!D384,"AAAAAH/VzgI=")</f>
        <v>#VALUE!</v>
      </c>
      <c r="D76" t="e">
        <f>AND(ConsolidatedEventList!E384,"AAAAAH/VzgM=")</f>
        <v>#VALUE!</v>
      </c>
      <c r="E76" t="e">
        <f>AND(ConsolidatedEventList!F384,"AAAAAH/VzgQ=")</f>
        <v>#VALUE!</v>
      </c>
      <c r="F76" t="e">
        <f>AND(ConsolidatedEventList!G384,"AAAAAH/VzgU=")</f>
        <v>#VALUE!</v>
      </c>
      <c r="G76" t="e">
        <f>AND(ConsolidatedEventList!H384,"AAAAAH/VzgY=")</f>
        <v>#VALUE!</v>
      </c>
      <c r="H76">
        <f>IF(ConsolidatedEventList!385:385,"AAAAAH/Vzgc=",0)</f>
        <v>0</v>
      </c>
      <c r="I76" t="e">
        <f>AND(ConsolidatedEventList!A385,"AAAAAH/Vzgg=")</f>
        <v>#VALUE!</v>
      </c>
      <c r="J76" t="e">
        <f>AND(ConsolidatedEventList!B385,"AAAAAH/Vzgk=")</f>
        <v>#VALUE!</v>
      </c>
      <c r="K76" t="e">
        <f>AND(ConsolidatedEventList!C385,"AAAAAH/Vzgo=")</f>
        <v>#VALUE!</v>
      </c>
      <c r="L76" t="e">
        <f>AND(ConsolidatedEventList!D385,"AAAAAH/Vzgs=")</f>
        <v>#VALUE!</v>
      </c>
      <c r="M76" t="e">
        <f>AND(ConsolidatedEventList!E385,"AAAAAH/Vzgw=")</f>
        <v>#VALUE!</v>
      </c>
      <c r="N76" t="e">
        <f>AND(ConsolidatedEventList!F385,"AAAAAH/Vzg0=")</f>
        <v>#VALUE!</v>
      </c>
      <c r="O76" t="e">
        <f>AND(ConsolidatedEventList!G385,"AAAAAH/Vzg4=")</f>
        <v>#VALUE!</v>
      </c>
      <c r="P76" t="e">
        <f>AND(ConsolidatedEventList!H385,"AAAAAH/Vzg8=")</f>
        <v>#VALUE!</v>
      </c>
      <c r="Q76">
        <f>IF(ConsolidatedEventList!386:386,"AAAAAH/VzhA=",0)</f>
        <v>0</v>
      </c>
      <c r="R76" t="e">
        <f>AND(ConsolidatedEventList!A386,"AAAAAH/VzhE=")</f>
        <v>#VALUE!</v>
      </c>
      <c r="S76" t="e">
        <f>AND(ConsolidatedEventList!B386,"AAAAAH/VzhI=")</f>
        <v>#VALUE!</v>
      </c>
      <c r="T76" t="e">
        <f>AND(ConsolidatedEventList!C386,"AAAAAH/VzhM=")</f>
        <v>#VALUE!</v>
      </c>
      <c r="U76" t="e">
        <f>AND(ConsolidatedEventList!D386,"AAAAAH/VzhQ=")</f>
        <v>#VALUE!</v>
      </c>
      <c r="V76" t="e">
        <f>AND(ConsolidatedEventList!E386,"AAAAAH/VzhU=")</f>
        <v>#VALUE!</v>
      </c>
      <c r="W76" t="e">
        <f>AND(ConsolidatedEventList!F386,"AAAAAH/VzhY=")</f>
        <v>#VALUE!</v>
      </c>
      <c r="X76" t="e">
        <f>AND(ConsolidatedEventList!G386,"AAAAAH/Vzhc=")</f>
        <v>#VALUE!</v>
      </c>
      <c r="Y76" t="e">
        <f>AND(ConsolidatedEventList!H386,"AAAAAH/Vzhg=")</f>
        <v>#VALUE!</v>
      </c>
      <c r="Z76">
        <f>IF(ConsolidatedEventList!387:387,"AAAAAH/Vzhk=",0)</f>
        <v>0</v>
      </c>
      <c r="AA76" t="e">
        <f>AND(ConsolidatedEventList!A387,"AAAAAH/Vzho=")</f>
        <v>#VALUE!</v>
      </c>
      <c r="AB76" t="e">
        <f>AND(ConsolidatedEventList!B387,"AAAAAH/Vzhs=")</f>
        <v>#VALUE!</v>
      </c>
      <c r="AC76" t="e">
        <f>AND(ConsolidatedEventList!C387,"AAAAAH/Vzhw=")</f>
        <v>#VALUE!</v>
      </c>
      <c r="AD76" t="e">
        <f>AND(ConsolidatedEventList!D387,"AAAAAH/Vzh0=")</f>
        <v>#VALUE!</v>
      </c>
      <c r="AE76" t="e">
        <f>AND(ConsolidatedEventList!E387,"AAAAAH/Vzh4=")</f>
        <v>#VALUE!</v>
      </c>
      <c r="AF76" t="e">
        <f>AND(ConsolidatedEventList!F387,"AAAAAH/Vzh8=")</f>
        <v>#VALUE!</v>
      </c>
      <c r="AG76" t="e">
        <f>AND(ConsolidatedEventList!G387,"AAAAAH/VziA=")</f>
        <v>#VALUE!</v>
      </c>
      <c r="AH76" t="e">
        <f>AND(ConsolidatedEventList!H387,"AAAAAH/VziE=")</f>
        <v>#VALUE!</v>
      </c>
      <c r="AI76">
        <f>IF(ConsolidatedEventList!388:388,"AAAAAH/VziI=",0)</f>
        <v>0</v>
      </c>
      <c r="AJ76" t="e">
        <f>AND(ConsolidatedEventList!A388,"AAAAAH/VziM=")</f>
        <v>#VALUE!</v>
      </c>
      <c r="AK76" t="e">
        <f>AND(ConsolidatedEventList!B388,"AAAAAH/VziQ=")</f>
        <v>#VALUE!</v>
      </c>
      <c r="AL76" t="e">
        <f>AND(ConsolidatedEventList!C388,"AAAAAH/VziU=")</f>
        <v>#VALUE!</v>
      </c>
      <c r="AM76" t="e">
        <f>AND(ConsolidatedEventList!D388,"AAAAAH/VziY=")</f>
        <v>#VALUE!</v>
      </c>
      <c r="AN76" t="e">
        <f>AND(ConsolidatedEventList!E388,"AAAAAH/Vzic=")</f>
        <v>#VALUE!</v>
      </c>
      <c r="AO76" t="e">
        <f>AND(ConsolidatedEventList!F388,"AAAAAH/Vzig=")</f>
        <v>#VALUE!</v>
      </c>
      <c r="AP76" t="e">
        <f>AND(ConsolidatedEventList!G388,"AAAAAH/Vzik=")</f>
        <v>#VALUE!</v>
      </c>
      <c r="AQ76" t="e">
        <f>AND(ConsolidatedEventList!H388,"AAAAAH/Vzio=")</f>
        <v>#VALUE!</v>
      </c>
      <c r="AR76">
        <f>IF(ConsolidatedEventList!389:389,"AAAAAH/Vzis=",0)</f>
        <v>0</v>
      </c>
      <c r="AS76" t="e">
        <f>AND(ConsolidatedEventList!A389,"AAAAAH/Vziw=")</f>
        <v>#VALUE!</v>
      </c>
      <c r="AT76" t="e">
        <f>AND(ConsolidatedEventList!B389,"AAAAAH/Vzi0=")</f>
        <v>#VALUE!</v>
      </c>
      <c r="AU76" t="e">
        <f>AND(ConsolidatedEventList!C389,"AAAAAH/Vzi4=")</f>
        <v>#VALUE!</v>
      </c>
      <c r="AV76" t="e">
        <f>AND(ConsolidatedEventList!D389,"AAAAAH/Vzi8=")</f>
        <v>#VALUE!</v>
      </c>
      <c r="AW76" t="e">
        <f>AND(ConsolidatedEventList!E389,"AAAAAH/VzjA=")</f>
        <v>#VALUE!</v>
      </c>
      <c r="AX76" t="e">
        <f>AND(ConsolidatedEventList!F389,"AAAAAH/VzjE=")</f>
        <v>#VALUE!</v>
      </c>
      <c r="AY76" t="e">
        <f>AND(ConsolidatedEventList!G389,"AAAAAH/VzjI=")</f>
        <v>#VALUE!</v>
      </c>
      <c r="AZ76" t="e">
        <f>AND(ConsolidatedEventList!H389,"AAAAAH/VzjM=")</f>
        <v>#VALUE!</v>
      </c>
      <c r="BA76">
        <f>IF(ConsolidatedEventList!390:390,"AAAAAH/VzjQ=",0)</f>
        <v>0</v>
      </c>
      <c r="BB76" t="e">
        <f>AND(ConsolidatedEventList!A390,"AAAAAH/VzjU=")</f>
        <v>#VALUE!</v>
      </c>
      <c r="BC76" t="e">
        <f>AND(ConsolidatedEventList!B390,"AAAAAH/VzjY=")</f>
        <v>#VALUE!</v>
      </c>
      <c r="BD76" t="e">
        <f>AND(ConsolidatedEventList!C390,"AAAAAH/Vzjc=")</f>
        <v>#VALUE!</v>
      </c>
      <c r="BE76" t="e">
        <f>AND(ConsolidatedEventList!D390,"AAAAAH/Vzjg=")</f>
        <v>#VALUE!</v>
      </c>
      <c r="BF76" t="e">
        <f>AND(ConsolidatedEventList!E390,"AAAAAH/Vzjk=")</f>
        <v>#VALUE!</v>
      </c>
      <c r="BG76" t="e">
        <f>AND(ConsolidatedEventList!F390,"AAAAAH/Vzjo=")</f>
        <v>#VALUE!</v>
      </c>
      <c r="BH76" t="e">
        <f>AND(ConsolidatedEventList!G390,"AAAAAH/Vzjs=")</f>
        <v>#VALUE!</v>
      </c>
      <c r="BI76" t="e">
        <f>AND(ConsolidatedEventList!H390,"AAAAAH/Vzjw=")</f>
        <v>#VALUE!</v>
      </c>
      <c r="BJ76">
        <f>IF(ConsolidatedEventList!391:391,"AAAAAH/Vzj0=",0)</f>
        <v>0</v>
      </c>
      <c r="BK76" t="e">
        <f>AND(ConsolidatedEventList!A391,"AAAAAH/Vzj4=")</f>
        <v>#VALUE!</v>
      </c>
      <c r="BL76" t="e">
        <f>AND(ConsolidatedEventList!B391,"AAAAAH/Vzj8=")</f>
        <v>#VALUE!</v>
      </c>
      <c r="BM76" t="e">
        <f>AND(ConsolidatedEventList!C391,"AAAAAH/VzkA=")</f>
        <v>#VALUE!</v>
      </c>
      <c r="BN76" t="e">
        <f>AND(ConsolidatedEventList!D391,"AAAAAH/VzkE=")</f>
        <v>#VALUE!</v>
      </c>
      <c r="BO76" t="e">
        <f>AND(ConsolidatedEventList!E391,"AAAAAH/VzkI=")</f>
        <v>#VALUE!</v>
      </c>
      <c r="BP76" t="e">
        <f>AND(ConsolidatedEventList!F391,"AAAAAH/VzkM=")</f>
        <v>#VALUE!</v>
      </c>
      <c r="BQ76" t="e">
        <f>AND(ConsolidatedEventList!G391,"AAAAAH/VzkQ=")</f>
        <v>#VALUE!</v>
      </c>
      <c r="BR76" t="e">
        <f>AND(ConsolidatedEventList!H391,"AAAAAH/VzkU=")</f>
        <v>#VALUE!</v>
      </c>
      <c r="BS76">
        <f>IF(ConsolidatedEventList!392:392,"AAAAAH/VzkY=",0)</f>
        <v>0</v>
      </c>
      <c r="BT76" t="e">
        <f>AND(ConsolidatedEventList!A392,"AAAAAH/Vzkc=")</f>
        <v>#VALUE!</v>
      </c>
      <c r="BU76" t="e">
        <f>AND(ConsolidatedEventList!B392,"AAAAAH/Vzkg=")</f>
        <v>#VALUE!</v>
      </c>
      <c r="BV76" t="e">
        <f>AND(ConsolidatedEventList!C392,"AAAAAH/Vzkk=")</f>
        <v>#VALUE!</v>
      </c>
      <c r="BW76" t="e">
        <f>AND(ConsolidatedEventList!D392,"AAAAAH/Vzko=")</f>
        <v>#VALUE!</v>
      </c>
      <c r="BX76" t="e">
        <f>AND(ConsolidatedEventList!E392,"AAAAAH/Vzks=")</f>
        <v>#VALUE!</v>
      </c>
      <c r="BY76" t="e">
        <f>AND(ConsolidatedEventList!F392,"AAAAAH/Vzkw=")</f>
        <v>#VALUE!</v>
      </c>
      <c r="BZ76" t="e">
        <f>AND(ConsolidatedEventList!G392,"AAAAAH/Vzk0=")</f>
        <v>#VALUE!</v>
      </c>
      <c r="CA76" t="e">
        <f>AND(ConsolidatedEventList!H392,"AAAAAH/Vzk4=")</f>
        <v>#VALUE!</v>
      </c>
      <c r="CB76">
        <f>IF(ConsolidatedEventList!393:393,"AAAAAH/Vzk8=",0)</f>
        <v>0</v>
      </c>
      <c r="CC76" t="e">
        <f>AND(ConsolidatedEventList!A393,"AAAAAH/VzlA=")</f>
        <v>#VALUE!</v>
      </c>
      <c r="CD76" t="e">
        <f>AND(ConsolidatedEventList!B393,"AAAAAH/VzlE=")</f>
        <v>#VALUE!</v>
      </c>
      <c r="CE76" t="e">
        <f>AND(ConsolidatedEventList!C393,"AAAAAH/VzlI=")</f>
        <v>#VALUE!</v>
      </c>
      <c r="CF76" t="e">
        <f>AND(ConsolidatedEventList!D393,"AAAAAH/VzlM=")</f>
        <v>#VALUE!</v>
      </c>
      <c r="CG76" t="e">
        <f>AND(ConsolidatedEventList!E393,"AAAAAH/VzlQ=")</f>
        <v>#VALUE!</v>
      </c>
      <c r="CH76" t="e">
        <f>AND(ConsolidatedEventList!F393,"AAAAAH/VzlU=")</f>
        <v>#VALUE!</v>
      </c>
      <c r="CI76" t="e">
        <f>AND(ConsolidatedEventList!G393,"AAAAAH/VzlY=")</f>
        <v>#VALUE!</v>
      </c>
      <c r="CJ76" t="e">
        <f>AND(ConsolidatedEventList!H393,"AAAAAH/Vzlc=")</f>
        <v>#VALUE!</v>
      </c>
      <c r="CK76">
        <f>IF(ConsolidatedEventList!394:394,"AAAAAH/Vzlg=",0)</f>
        <v>0</v>
      </c>
      <c r="CL76" t="e">
        <f>AND(ConsolidatedEventList!A394,"AAAAAH/Vzlk=")</f>
        <v>#VALUE!</v>
      </c>
      <c r="CM76" t="e">
        <f>AND(ConsolidatedEventList!B394,"AAAAAH/Vzlo=")</f>
        <v>#VALUE!</v>
      </c>
      <c r="CN76" t="e">
        <f>AND(ConsolidatedEventList!C394,"AAAAAH/Vzls=")</f>
        <v>#VALUE!</v>
      </c>
      <c r="CO76" t="e">
        <f>AND(ConsolidatedEventList!D394,"AAAAAH/Vzlw=")</f>
        <v>#VALUE!</v>
      </c>
      <c r="CP76" t="e">
        <f>AND(ConsolidatedEventList!E394,"AAAAAH/Vzl0=")</f>
        <v>#VALUE!</v>
      </c>
      <c r="CQ76" t="e">
        <f>AND(ConsolidatedEventList!F394,"AAAAAH/Vzl4=")</f>
        <v>#VALUE!</v>
      </c>
      <c r="CR76" t="e">
        <f>AND(ConsolidatedEventList!G394,"AAAAAH/Vzl8=")</f>
        <v>#VALUE!</v>
      </c>
      <c r="CS76" t="e">
        <f>AND(ConsolidatedEventList!H394,"AAAAAH/VzmA=")</f>
        <v>#VALUE!</v>
      </c>
      <c r="CT76">
        <f>IF(ConsolidatedEventList!395:395,"AAAAAH/VzmE=",0)</f>
        <v>0</v>
      </c>
      <c r="CU76" t="e">
        <f>AND(ConsolidatedEventList!A395,"AAAAAH/VzmI=")</f>
        <v>#VALUE!</v>
      </c>
      <c r="CV76" t="e">
        <f>AND(ConsolidatedEventList!B395,"AAAAAH/VzmM=")</f>
        <v>#VALUE!</v>
      </c>
      <c r="CW76" t="e">
        <f>AND(ConsolidatedEventList!C395,"AAAAAH/VzmQ=")</f>
        <v>#VALUE!</v>
      </c>
      <c r="CX76" t="e">
        <f>AND(ConsolidatedEventList!D395,"AAAAAH/VzmU=")</f>
        <v>#VALUE!</v>
      </c>
      <c r="CY76" t="e">
        <f>AND(ConsolidatedEventList!E395,"AAAAAH/VzmY=")</f>
        <v>#VALUE!</v>
      </c>
      <c r="CZ76" t="e">
        <f>AND(ConsolidatedEventList!F395,"AAAAAH/Vzmc=")</f>
        <v>#VALUE!</v>
      </c>
      <c r="DA76" t="e">
        <f>AND(ConsolidatedEventList!G395,"AAAAAH/Vzmg=")</f>
        <v>#VALUE!</v>
      </c>
      <c r="DB76" t="e">
        <f>AND(ConsolidatedEventList!H395,"AAAAAH/Vzmk=")</f>
        <v>#VALUE!</v>
      </c>
      <c r="DC76" t="e">
        <f>IF(ConsolidatedEventList!#REF!,"AAAAAH/Vzmo=",0)</f>
        <v>#REF!</v>
      </c>
      <c r="DD76" t="e">
        <f>AND(ConsolidatedEventList!#REF!,"AAAAAH/Vzms=")</f>
        <v>#REF!</v>
      </c>
      <c r="DE76" t="e">
        <f>AND(ConsolidatedEventList!#REF!,"AAAAAH/Vzmw=")</f>
        <v>#REF!</v>
      </c>
      <c r="DF76" t="e">
        <f>AND(ConsolidatedEventList!#REF!,"AAAAAH/Vzm0=")</f>
        <v>#REF!</v>
      </c>
      <c r="DG76" t="e">
        <f>AND(ConsolidatedEventList!#REF!,"AAAAAH/Vzm4=")</f>
        <v>#REF!</v>
      </c>
      <c r="DH76" t="e">
        <f>AND(ConsolidatedEventList!#REF!,"AAAAAH/Vzm8=")</f>
        <v>#REF!</v>
      </c>
      <c r="DI76" t="e">
        <f>AND(ConsolidatedEventList!#REF!,"AAAAAH/VznA=")</f>
        <v>#REF!</v>
      </c>
      <c r="DJ76" t="e">
        <f>AND(ConsolidatedEventList!#REF!,"AAAAAH/VznE=")</f>
        <v>#REF!</v>
      </c>
      <c r="DK76" t="e">
        <f>AND(ConsolidatedEventList!#REF!,"AAAAAH/VznI=")</f>
        <v>#REF!</v>
      </c>
      <c r="DL76" t="e">
        <f>IF(ConsolidatedEventList!#REF!,"AAAAAH/VznM=",0)</f>
        <v>#REF!</v>
      </c>
      <c r="DM76" t="e">
        <f>AND(ConsolidatedEventList!#REF!,"AAAAAH/VznQ=")</f>
        <v>#REF!</v>
      </c>
      <c r="DN76" t="e">
        <f>AND(ConsolidatedEventList!#REF!,"AAAAAH/VznU=")</f>
        <v>#REF!</v>
      </c>
      <c r="DO76" t="e">
        <f>AND(ConsolidatedEventList!#REF!,"AAAAAH/VznY=")</f>
        <v>#REF!</v>
      </c>
      <c r="DP76" t="e">
        <f>AND(ConsolidatedEventList!#REF!,"AAAAAH/Vznc=")</f>
        <v>#REF!</v>
      </c>
      <c r="DQ76" t="e">
        <f>AND(ConsolidatedEventList!#REF!,"AAAAAH/Vzng=")</f>
        <v>#REF!</v>
      </c>
      <c r="DR76" t="e">
        <f>AND(ConsolidatedEventList!#REF!,"AAAAAH/Vznk=")</f>
        <v>#REF!</v>
      </c>
      <c r="DS76" t="e">
        <f>AND(ConsolidatedEventList!#REF!,"AAAAAH/Vzno=")</f>
        <v>#REF!</v>
      </c>
      <c r="DT76" t="e">
        <f>AND(ConsolidatedEventList!#REF!,"AAAAAH/Vzns=")</f>
        <v>#REF!</v>
      </c>
      <c r="DU76">
        <f>IF(ConsolidatedEventList!396:396,"AAAAAH/Vznw=",0)</f>
        <v>0</v>
      </c>
      <c r="DV76" t="e">
        <f>AND(ConsolidatedEventList!A396,"AAAAAH/Vzn0=")</f>
        <v>#VALUE!</v>
      </c>
      <c r="DW76" t="e">
        <f>AND(ConsolidatedEventList!B396,"AAAAAH/Vzn4=")</f>
        <v>#VALUE!</v>
      </c>
      <c r="DX76" t="e">
        <f>AND(ConsolidatedEventList!C396,"AAAAAH/Vzn8=")</f>
        <v>#VALUE!</v>
      </c>
      <c r="DY76" t="e">
        <f>AND(ConsolidatedEventList!D396,"AAAAAH/VzoA=")</f>
        <v>#VALUE!</v>
      </c>
      <c r="DZ76" t="e">
        <f>AND(ConsolidatedEventList!E396,"AAAAAH/VzoE=")</f>
        <v>#VALUE!</v>
      </c>
      <c r="EA76" t="e">
        <f>AND(ConsolidatedEventList!F396,"AAAAAH/VzoI=")</f>
        <v>#VALUE!</v>
      </c>
      <c r="EB76" t="e">
        <f>AND(ConsolidatedEventList!G396,"AAAAAH/VzoM=")</f>
        <v>#VALUE!</v>
      </c>
      <c r="EC76" t="e">
        <f>AND(ConsolidatedEventList!H396,"AAAAAH/VzoQ=")</f>
        <v>#VALUE!</v>
      </c>
      <c r="ED76">
        <f>IF(ConsolidatedEventList!397:397,"AAAAAH/VzoU=",0)</f>
        <v>0</v>
      </c>
      <c r="EE76" t="e">
        <f>AND(ConsolidatedEventList!A397,"AAAAAH/VzoY=")</f>
        <v>#VALUE!</v>
      </c>
      <c r="EF76" t="e">
        <f>AND(ConsolidatedEventList!B397,"AAAAAH/Vzoc=")</f>
        <v>#VALUE!</v>
      </c>
      <c r="EG76" t="e">
        <f>AND(ConsolidatedEventList!C397,"AAAAAH/Vzog=")</f>
        <v>#VALUE!</v>
      </c>
      <c r="EH76" t="e">
        <f>AND(ConsolidatedEventList!D397,"AAAAAH/Vzok=")</f>
        <v>#VALUE!</v>
      </c>
      <c r="EI76" t="e">
        <f>AND(ConsolidatedEventList!E397,"AAAAAH/Vzoo=")</f>
        <v>#VALUE!</v>
      </c>
      <c r="EJ76" t="e">
        <f>AND(ConsolidatedEventList!F397,"AAAAAH/Vzos=")</f>
        <v>#VALUE!</v>
      </c>
      <c r="EK76" t="e">
        <f>AND(ConsolidatedEventList!G397,"AAAAAH/Vzow=")</f>
        <v>#VALUE!</v>
      </c>
      <c r="EL76" t="e">
        <f>AND(ConsolidatedEventList!H397,"AAAAAH/Vzo0=")</f>
        <v>#VALUE!</v>
      </c>
      <c r="EM76">
        <f>IF(ConsolidatedEventList!398:398,"AAAAAH/Vzo4=",0)</f>
        <v>0</v>
      </c>
      <c r="EN76" t="e">
        <f>AND(ConsolidatedEventList!A398,"AAAAAH/Vzo8=")</f>
        <v>#VALUE!</v>
      </c>
      <c r="EO76" t="e">
        <f>AND(ConsolidatedEventList!B398,"AAAAAH/VzpA=")</f>
        <v>#VALUE!</v>
      </c>
      <c r="EP76" t="e">
        <f>AND(ConsolidatedEventList!C398,"AAAAAH/VzpE=")</f>
        <v>#VALUE!</v>
      </c>
      <c r="EQ76" t="e">
        <f>AND(ConsolidatedEventList!D398,"AAAAAH/VzpI=")</f>
        <v>#VALUE!</v>
      </c>
      <c r="ER76" t="e">
        <f>AND(ConsolidatedEventList!E398,"AAAAAH/VzpM=")</f>
        <v>#VALUE!</v>
      </c>
      <c r="ES76" t="e">
        <f>AND(ConsolidatedEventList!F398,"AAAAAH/VzpQ=")</f>
        <v>#VALUE!</v>
      </c>
      <c r="ET76" t="e">
        <f>AND(ConsolidatedEventList!G398,"AAAAAH/VzpU=")</f>
        <v>#VALUE!</v>
      </c>
      <c r="EU76" t="e">
        <f>AND(ConsolidatedEventList!H398,"AAAAAH/VzpY=")</f>
        <v>#VALUE!</v>
      </c>
      <c r="EV76">
        <f>IF(ConsolidatedEventList!399:399,"AAAAAH/Vzpc=",0)</f>
        <v>0</v>
      </c>
      <c r="EW76" t="e">
        <f>AND(ConsolidatedEventList!A399,"AAAAAH/Vzpg=")</f>
        <v>#VALUE!</v>
      </c>
      <c r="EX76" t="e">
        <f>AND(ConsolidatedEventList!B399,"AAAAAH/Vzpk=")</f>
        <v>#VALUE!</v>
      </c>
      <c r="EY76" t="e">
        <f>AND(ConsolidatedEventList!C399,"AAAAAH/Vzpo=")</f>
        <v>#VALUE!</v>
      </c>
      <c r="EZ76" t="e">
        <f>AND(ConsolidatedEventList!D399,"AAAAAH/Vzps=")</f>
        <v>#VALUE!</v>
      </c>
      <c r="FA76" t="e">
        <f>AND(ConsolidatedEventList!E399,"AAAAAH/Vzpw=")</f>
        <v>#VALUE!</v>
      </c>
      <c r="FB76" t="e">
        <f>AND(ConsolidatedEventList!F399,"AAAAAH/Vzp0=")</f>
        <v>#VALUE!</v>
      </c>
      <c r="FC76" t="e">
        <f>AND(ConsolidatedEventList!G399,"AAAAAH/Vzp4=")</f>
        <v>#VALUE!</v>
      </c>
      <c r="FD76" t="e">
        <f>AND(ConsolidatedEventList!H399,"AAAAAH/Vzp8=")</f>
        <v>#VALUE!</v>
      </c>
      <c r="FE76">
        <f>IF(ConsolidatedEventList!400:400,"AAAAAH/VzqA=",0)</f>
        <v>0</v>
      </c>
      <c r="FF76" t="e">
        <f>AND(ConsolidatedEventList!A400,"AAAAAH/VzqE=")</f>
        <v>#VALUE!</v>
      </c>
      <c r="FG76" t="e">
        <f>AND(ConsolidatedEventList!B400,"AAAAAH/VzqI=")</f>
        <v>#VALUE!</v>
      </c>
      <c r="FH76" t="e">
        <f>AND(ConsolidatedEventList!C400,"AAAAAH/VzqM=")</f>
        <v>#VALUE!</v>
      </c>
      <c r="FI76" t="e">
        <f>AND(ConsolidatedEventList!D400,"AAAAAH/VzqQ=")</f>
        <v>#VALUE!</v>
      </c>
      <c r="FJ76" t="e">
        <f>AND(ConsolidatedEventList!E400,"AAAAAH/VzqU=")</f>
        <v>#VALUE!</v>
      </c>
      <c r="FK76" t="e">
        <f>AND(ConsolidatedEventList!F400,"AAAAAH/VzqY=")</f>
        <v>#VALUE!</v>
      </c>
      <c r="FL76" t="e">
        <f>AND(ConsolidatedEventList!G400,"AAAAAH/Vzqc=")</f>
        <v>#VALUE!</v>
      </c>
      <c r="FM76" t="e">
        <f>AND(ConsolidatedEventList!H400,"AAAAAH/Vzqg=")</f>
        <v>#VALUE!</v>
      </c>
      <c r="FN76">
        <f>IF(ConsolidatedEventList!401:401,"AAAAAH/Vzqk=",0)</f>
        <v>0</v>
      </c>
      <c r="FO76" t="e">
        <f>AND(ConsolidatedEventList!A401,"AAAAAH/Vzqo=")</f>
        <v>#VALUE!</v>
      </c>
      <c r="FP76" t="e">
        <f>AND(ConsolidatedEventList!B401,"AAAAAH/Vzqs=")</f>
        <v>#VALUE!</v>
      </c>
      <c r="FQ76" t="e">
        <f>AND(ConsolidatedEventList!C401,"AAAAAH/Vzqw=")</f>
        <v>#VALUE!</v>
      </c>
      <c r="FR76" t="e">
        <f>AND(ConsolidatedEventList!D401,"AAAAAH/Vzq0=")</f>
        <v>#VALUE!</v>
      </c>
      <c r="FS76" t="e">
        <f>AND(ConsolidatedEventList!E401,"AAAAAH/Vzq4=")</f>
        <v>#VALUE!</v>
      </c>
      <c r="FT76" t="e">
        <f>AND(ConsolidatedEventList!F401,"AAAAAH/Vzq8=")</f>
        <v>#VALUE!</v>
      </c>
      <c r="FU76" t="e">
        <f>AND(ConsolidatedEventList!G401,"AAAAAH/VzrA=")</f>
        <v>#VALUE!</v>
      </c>
      <c r="FV76" t="e">
        <f>AND(ConsolidatedEventList!H401,"AAAAAH/VzrE=")</f>
        <v>#VALUE!</v>
      </c>
      <c r="FW76">
        <f>IF(ConsolidatedEventList!402:402,"AAAAAH/VzrI=",0)</f>
        <v>0</v>
      </c>
      <c r="FX76" t="e">
        <f>AND(ConsolidatedEventList!A402,"AAAAAH/VzrM=")</f>
        <v>#VALUE!</v>
      </c>
      <c r="FY76" t="e">
        <f>AND(ConsolidatedEventList!B402,"AAAAAH/VzrQ=")</f>
        <v>#VALUE!</v>
      </c>
      <c r="FZ76" t="e">
        <f>AND(ConsolidatedEventList!C402,"AAAAAH/VzrU=")</f>
        <v>#VALUE!</v>
      </c>
      <c r="GA76" t="e">
        <f>AND(ConsolidatedEventList!D402,"AAAAAH/VzrY=")</f>
        <v>#VALUE!</v>
      </c>
      <c r="GB76" t="e">
        <f>AND(ConsolidatedEventList!E402,"AAAAAH/Vzrc=")</f>
        <v>#VALUE!</v>
      </c>
      <c r="GC76" t="e">
        <f>AND(ConsolidatedEventList!F402,"AAAAAH/Vzrg=")</f>
        <v>#VALUE!</v>
      </c>
      <c r="GD76" t="e">
        <f>AND(ConsolidatedEventList!G402,"AAAAAH/Vzrk=")</f>
        <v>#VALUE!</v>
      </c>
      <c r="GE76" t="e">
        <f>AND(ConsolidatedEventList!H402,"AAAAAH/Vzro=")</f>
        <v>#VALUE!</v>
      </c>
      <c r="GF76">
        <f>IF(ConsolidatedEventList!403:403,"AAAAAH/Vzrs=",0)</f>
        <v>0</v>
      </c>
      <c r="GG76" t="e">
        <f>AND(ConsolidatedEventList!A403,"AAAAAH/Vzrw=")</f>
        <v>#VALUE!</v>
      </c>
      <c r="GH76" t="e">
        <f>AND(ConsolidatedEventList!B403,"AAAAAH/Vzr0=")</f>
        <v>#VALUE!</v>
      </c>
      <c r="GI76" t="e">
        <f>AND(ConsolidatedEventList!C403,"AAAAAH/Vzr4=")</f>
        <v>#VALUE!</v>
      </c>
      <c r="GJ76" t="e">
        <f>AND(ConsolidatedEventList!D403,"AAAAAH/Vzr8=")</f>
        <v>#VALUE!</v>
      </c>
      <c r="GK76" t="e">
        <f>AND(ConsolidatedEventList!E403,"AAAAAH/VzsA=")</f>
        <v>#VALUE!</v>
      </c>
      <c r="GL76" t="e">
        <f>AND(ConsolidatedEventList!F403,"AAAAAH/VzsE=")</f>
        <v>#VALUE!</v>
      </c>
      <c r="GM76" t="e">
        <f>AND(ConsolidatedEventList!G403,"AAAAAH/VzsI=")</f>
        <v>#VALUE!</v>
      </c>
      <c r="GN76" t="e">
        <f>AND(ConsolidatedEventList!H403,"AAAAAH/VzsM=")</f>
        <v>#VALUE!</v>
      </c>
      <c r="GO76" t="e">
        <f>IF(ConsolidatedEventList!#REF!,"AAAAAH/VzsQ=",0)</f>
        <v>#REF!</v>
      </c>
      <c r="GP76" t="e">
        <f>AND(ConsolidatedEventList!#REF!,"AAAAAH/VzsU=")</f>
        <v>#REF!</v>
      </c>
      <c r="GQ76" t="e">
        <f>AND(ConsolidatedEventList!#REF!,"AAAAAH/VzsY=")</f>
        <v>#REF!</v>
      </c>
      <c r="GR76" t="e">
        <f>AND(ConsolidatedEventList!#REF!,"AAAAAH/Vzsc=")</f>
        <v>#REF!</v>
      </c>
      <c r="GS76" t="e">
        <f>AND(ConsolidatedEventList!#REF!,"AAAAAH/Vzsg=")</f>
        <v>#REF!</v>
      </c>
      <c r="GT76" t="e">
        <f>AND(ConsolidatedEventList!#REF!,"AAAAAH/Vzsk=")</f>
        <v>#REF!</v>
      </c>
      <c r="GU76" t="e">
        <f>AND(ConsolidatedEventList!#REF!,"AAAAAH/Vzso=")</f>
        <v>#REF!</v>
      </c>
      <c r="GV76" t="e">
        <f>AND(ConsolidatedEventList!#REF!,"AAAAAH/Vzss=")</f>
        <v>#REF!</v>
      </c>
      <c r="GW76" t="e">
        <f>AND(ConsolidatedEventList!#REF!,"AAAAAH/Vzsw=")</f>
        <v>#REF!</v>
      </c>
      <c r="GX76" t="e">
        <f>IF(ConsolidatedEventList!#REF!,"AAAAAH/Vzs0=",0)</f>
        <v>#REF!</v>
      </c>
      <c r="GY76" t="e">
        <f>AND(ConsolidatedEventList!#REF!,"AAAAAH/Vzs4=")</f>
        <v>#REF!</v>
      </c>
      <c r="GZ76" t="e">
        <f>AND(ConsolidatedEventList!#REF!,"AAAAAH/Vzs8=")</f>
        <v>#REF!</v>
      </c>
      <c r="HA76" t="e">
        <f>AND(ConsolidatedEventList!#REF!,"AAAAAH/VztA=")</f>
        <v>#REF!</v>
      </c>
      <c r="HB76" t="e">
        <f>AND(ConsolidatedEventList!#REF!,"AAAAAH/VztE=")</f>
        <v>#REF!</v>
      </c>
      <c r="HC76" t="e">
        <f>AND(ConsolidatedEventList!#REF!,"AAAAAH/VztI=")</f>
        <v>#REF!</v>
      </c>
      <c r="HD76" t="e">
        <f>AND(ConsolidatedEventList!#REF!,"AAAAAH/VztM=")</f>
        <v>#REF!</v>
      </c>
      <c r="HE76" t="e">
        <f>AND(ConsolidatedEventList!#REF!,"AAAAAH/VztQ=")</f>
        <v>#REF!</v>
      </c>
      <c r="HF76" t="e">
        <f>AND(ConsolidatedEventList!#REF!,"AAAAAH/VztU=")</f>
        <v>#REF!</v>
      </c>
      <c r="HG76">
        <f>IF(ConsolidatedEventList!404:404,"AAAAAH/VztY=",0)</f>
        <v>0</v>
      </c>
      <c r="HH76" t="e">
        <f>AND(ConsolidatedEventList!A404,"AAAAAH/Vztc=")</f>
        <v>#VALUE!</v>
      </c>
      <c r="HI76" t="e">
        <f>AND(ConsolidatedEventList!B404,"AAAAAH/Vztg=")</f>
        <v>#VALUE!</v>
      </c>
      <c r="HJ76" t="e">
        <f>AND(ConsolidatedEventList!C404,"AAAAAH/Vztk=")</f>
        <v>#VALUE!</v>
      </c>
      <c r="HK76" t="e">
        <f>AND(ConsolidatedEventList!D404,"AAAAAH/Vzto=")</f>
        <v>#VALUE!</v>
      </c>
      <c r="HL76" t="e">
        <f>AND(ConsolidatedEventList!E404,"AAAAAH/Vzts=")</f>
        <v>#VALUE!</v>
      </c>
      <c r="HM76" t="e">
        <f>AND(ConsolidatedEventList!F404,"AAAAAH/Vztw=")</f>
        <v>#VALUE!</v>
      </c>
      <c r="HN76" t="e">
        <f>AND(ConsolidatedEventList!G404,"AAAAAH/Vzt0=")</f>
        <v>#VALUE!</v>
      </c>
      <c r="HO76" t="e">
        <f>AND(ConsolidatedEventList!H404,"AAAAAH/Vzt4=")</f>
        <v>#VALUE!</v>
      </c>
      <c r="HP76">
        <f>IF(ConsolidatedEventList!405:405,"AAAAAH/Vzt8=",0)</f>
        <v>0</v>
      </c>
      <c r="HQ76" t="e">
        <f>AND(ConsolidatedEventList!A405,"AAAAAH/VzuA=")</f>
        <v>#VALUE!</v>
      </c>
      <c r="HR76" t="e">
        <f>AND(ConsolidatedEventList!B405,"AAAAAH/VzuE=")</f>
        <v>#VALUE!</v>
      </c>
      <c r="HS76" t="e">
        <f>AND(ConsolidatedEventList!C405,"AAAAAH/VzuI=")</f>
        <v>#VALUE!</v>
      </c>
      <c r="HT76" t="e">
        <f>AND(ConsolidatedEventList!D405,"AAAAAH/VzuM=")</f>
        <v>#VALUE!</v>
      </c>
      <c r="HU76" t="e">
        <f>AND(ConsolidatedEventList!E405,"AAAAAH/VzuQ=")</f>
        <v>#VALUE!</v>
      </c>
      <c r="HV76" t="e">
        <f>AND(ConsolidatedEventList!F405,"AAAAAH/VzuU=")</f>
        <v>#VALUE!</v>
      </c>
      <c r="HW76" t="e">
        <f>AND(ConsolidatedEventList!G405,"AAAAAH/VzuY=")</f>
        <v>#VALUE!</v>
      </c>
      <c r="HX76" t="e">
        <f>AND(ConsolidatedEventList!H405,"AAAAAH/Vzuc=")</f>
        <v>#VALUE!</v>
      </c>
      <c r="HY76">
        <f>IF(ConsolidatedEventList!406:406,"AAAAAH/Vzug=",0)</f>
        <v>0</v>
      </c>
      <c r="HZ76" t="e">
        <f>AND(ConsolidatedEventList!A406,"AAAAAH/Vzuk=")</f>
        <v>#VALUE!</v>
      </c>
      <c r="IA76" t="e">
        <f>AND(ConsolidatedEventList!B406,"AAAAAH/Vzuo=")</f>
        <v>#VALUE!</v>
      </c>
      <c r="IB76" t="e">
        <f>AND(ConsolidatedEventList!C406,"AAAAAH/Vzus=")</f>
        <v>#VALUE!</v>
      </c>
      <c r="IC76" t="e">
        <f>AND(ConsolidatedEventList!D406,"AAAAAH/Vzuw=")</f>
        <v>#VALUE!</v>
      </c>
      <c r="ID76" t="e">
        <f>AND(ConsolidatedEventList!E406,"AAAAAH/Vzu0=")</f>
        <v>#VALUE!</v>
      </c>
      <c r="IE76" t="e">
        <f>AND(ConsolidatedEventList!F406,"AAAAAH/Vzu4=")</f>
        <v>#VALUE!</v>
      </c>
      <c r="IF76" t="e">
        <f>AND(ConsolidatedEventList!G406,"AAAAAH/Vzu8=")</f>
        <v>#VALUE!</v>
      </c>
      <c r="IG76" t="e">
        <f>AND(ConsolidatedEventList!H406,"AAAAAH/VzvA=")</f>
        <v>#VALUE!</v>
      </c>
      <c r="IH76">
        <f>IF(ConsolidatedEventList!407:407,"AAAAAH/VzvE=",0)</f>
        <v>0</v>
      </c>
      <c r="II76" t="e">
        <f>AND(ConsolidatedEventList!A407,"AAAAAH/VzvI=")</f>
        <v>#VALUE!</v>
      </c>
      <c r="IJ76" t="e">
        <f>AND(ConsolidatedEventList!B407,"AAAAAH/VzvM=")</f>
        <v>#VALUE!</v>
      </c>
      <c r="IK76" t="e">
        <f>AND(ConsolidatedEventList!C407,"AAAAAH/VzvQ=")</f>
        <v>#VALUE!</v>
      </c>
      <c r="IL76" t="e">
        <f>AND(ConsolidatedEventList!D407,"AAAAAH/VzvU=")</f>
        <v>#VALUE!</v>
      </c>
      <c r="IM76" t="e">
        <f>AND(ConsolidatedEventList!E407,"AAAAAH/VzvY=")</f>
        <v>#VALUE!</v>
      </c>
      <c r="IN76" t="e">
        <f>AND(ConsolidatedEventList!F407,"AAAAAH/Vzvc=")</f>
        <v>#VALUE!</v>
      </c>
      <c r="IO76" t="e">
        <f>AND(ConsolidatedEventList!G407,"AAAAAH/Vzvg=")</f>
        <v>#VALUE!</v>
      </c>
      <c r="IP76" t="e">
        <f>AND(ConsolidatedEventList!H407,"AAAAAH/Vzvk=")</f>
        <v>#VALUE!</v>
      </c>
      <c r="IQ76">
        <f>IF(ConsolidatedEventList!408:408,"AAAAAH/Vzvo=",0)</f>
        <v>0</v>
      </c>
      <c r="IR76" t="e">
        <f>AND(ConsolidatedEventList!A408,"AAAAAH/Vzvs=")</f>
        <v>#VALUE!</v>
      </c>
      <c r="IS76" t="e">
        <f>AND(ConsolidatedEventList!B408,"AAAAAH/Vzvw=")</f>
        <v>#VALUE!</v>
      </c>
      <c r="IT76" t="e">
        <f>AND(ConsolidatedEventList!C408,"AAAAAH/Vzv0=")</f>
        <v>#VALUE!</v>
      </c>
      <c r="IU76" t="e">
        <f>AND(ConsolidatedEventList!D408,"AAAAAH/Vzv4=")</f>
        <v>#VALUE!</v>
      </c>
      <c r="IV76" t="e">
        <f>AND(ConsolidatedEventList!E408,"AAAAAH/Vzv8=")</f>
        <v>#VALUE!</v>
      </c>
    </row>
    <row r="77" spans="1:256" x14ac:dyDescent="0.25">
      <c r="A77" t="e">
        <f>AND(ConsolidatedEventList!F408,"AAAAAF568wA=")</f>
        <v>#VALUE!</v>
      </c>
      <c r="B77" t="e">
        <f>AND(ConsolidatedEventList!G408,"AAAAAF568wE=")</f>
        <v>#VALUE!</v>
      </c>
      <c r="C77" t="e">
        <f>AND(ConsolidatedEventList!H408,"AAAAAF568wI=")</f>
        <v>#VALUE!</v>
      </c>
      <c r="D77" t="e">
        <f>IF(ConsolidatedEventList!409:409,"AAAAAF568wM=",0)</f>
        <v>#VALUE!</v>
      </c>
      <c r="E77" t="e">
        <f>AND(ConsolidatedEventList!A409,"AAAAAF568wQ=")</f>
        <v>#VALUE!</v>
      </c>
      <c r="F77" t="e">
        <f>AND(ConsolidatedEventList!B409,"AAAAAF568wU=")</f>
        <v>#VALUE!</v>
      </c>
      <c r="G77" t="e">
        <f>AND(ConsolidatedEventList!C409,"AAAAAF568wY=")</f>
        <v>#VALUE!</v>
      </c>
      <c r="H77" t="e">
        <f>AND(ConsolidatedEventList!D409,"AAAAAF568wc=")</f>
        <v>#VALUE!</v>
      </c>
      <c r="I77" t="e">
        <f>AND(ConsolidatedEventList!E409,"AAAAAF568wg=")</f>
        <v>#VALUE!</v>
      </c>
      <c r="J77" t="e">
        <f>AND(ConsolidatedEventList!F409,"AAAAAF568wk=")</f>
        <v>#VALUE!</v>
      </c>
      <c r="K77" t="e">
        <f>AND(ConsolidatedEventList!G409,"AAAAAF568wo=")</f>
        <v>#VALUE!</v>
      </c>
      <c r="L77" t="e">
        <f>AND(ConsolidatedEventList!H409,"AAAAAF568ws=")</f>
        <v>#VALUE!</v>
      </c>
      <c r="M77">
        <f>IF(ConsolidatedEventList!410:410,"AAAAAF568ww=",0)</f>
        <v>0</v>
      </c>
      <c r="N77" t="e">
        <f>AND(ConsolidatedEventList!A410,"AAAAAF568w0=")</f>
        <v>#VALUE!</v>
      </c>
      <c r="O77" t="e">
        <f>AND(ConsolidatedEventList!B410,"AAAAAF568w4=")</f>
        <v>#VALUE!</v>
      </c>
      <c r="P77" t="e">
        <f>AND(ConsolidatedEventList!C410,"AAAAAF568w8=")</f>
        <v>#VALUE!</v>
      </c>
      <c r="Q77" t="e">
        <f>AND(ConsolidatedEventList!D410,"AAAAAF568xA=")</f>
        <v>#VALUE!</v>
      </c>
      <c r="R77" t="e">
        <f>AND(ConsolidatedEventList!E410,"AAAAAF568xE=")</f>
        <v>#VALUE!</v>
      </c>
      <c r="S77" t="e">
        <f>AND(ConsolidatedEventList!F410,"AAAAAF568xI=")</f>
        <v>#VALUE!</v>
      </c>
      <c r="T77" t="e">
        <f>AND(ConsolidatedEventList!G410,"AAAAAF568xM=")</f>
        <v>#VALUE!</v>
      </c>
      <c r="U77" t="e">
        <f>AND(ConsolidatedEventList!H410,"AAAAAF568xQ=")</f>
        <v>#VALUE!</v>
      </c>
      <c r="V77">
        <f>IF(ConsolidatedEventList!411:411,"AAAAAF568xU=",0)</f>
        <v>0</v>
      </c>
      <c r="W77" t="e">
        <f>AND(ConsolidatedEventList!A411,"AAAAAF568xY=")</f>
        <v>#VALUE!</v>
      </c>
      <c r="X77" t="e">
        <f>AND(ConsolidatedEventList!B411,"AAAAAF568xc=")</f>
        <v>#VALUE!</v>
      </c>
      <c r="Y77" t="e">
        <f>AND(ConsolidatedEventList!C411,"AAAAAF568xg=")</f>
        <v>#VALUE!</v>
      </c>
      <c r="Z77" t="e">
        <f>AND(ConsolidatedEventList!D411,"AAAAAF568xk=")</f>
        <v>#VALUE!</v>
      </c>
      <c r="AA77" t="e">
        <f>AND(ConsolidatedEventList!E411,"AAAAAF568xo=")</f>
        <v>#VALUE!</v>
      </c>
      <c r="AB77" t="e">
        <f>AND(ConsolidatedEventList!F411,"AAAAAF568xs=")</f>
        <v>#VALUE!</v>
      </c>
      <c r="AC77" t="e">
        <f>AND(ConsolidatedEventList!G411,"AAAAAF568xw=")</f>
        <v>#VALUE!</v>
      </c>
      <c r="AD77" t="e">
        <f>AND(ConsolidatedEventList!H411,"AAAAAF568x0=")</f>
        <v>#VALUE!</v>
      </c>
      <c r="AE77">
        <f>IF(ConsolidatedEventList!412:412,"AAAAAF568x4=",0)</f>
        <v>0</v>
      </c>
      <c r="AF77" t="e">
        <f>AND(ConsolidatedEventList!A412,"AAAAAF568x8=")</f>
        <v>#VALUE!</v>
      </c>
      <c r="AG77" t="e">
        <f>AND(ConsolidatedEventList!B412,"AAAAAF568yA=")</f>
        <v>#VALUE!</v>
      </c>
      <c r="AH77" t="e">
        <f>AND(ConsolidatedEventList!C412,"AAAAAF568yE=")</f>
        <v>#VALUE!</v>
      </c>
      <c r="AI77" t="e">
        <f>AND(ConsolidatedEventList!D412,"AAAAAF568yI=")</f>
        <v>#VALUE!</v>
      </c>
      <c r="AJ77" t="e">
        <f>AND(ConsolidatedEventList!E412,"AAAAAF568yM=")</f>
        <v>#VALUE!</v>
      </c>
      <c r="AK77" t="e">
        <f>AND(ConsolidatedEventList!F412,"AAAAAF568yQ=")</f>
        <v>#VALUE!</v>
      </c>
      <c r="AL77" t="e">
        <f>AND(ConsolidatedEventList!G412,"AAAAAF568yU=")</f>
        <v>#VALUE!</v>
      </c>
      <c r="AM77" t="e">
        <f>AND(ConsolidatedEventList!H412,"AAAAAF568yY=")</f>
        <v>#VALUE!</v>
      </c>
      <c r="AN77">
        <f>IF(ConsolidatedEventList!413:413,"AAAAAF568yc=",0)</f>
        <v>0</v>
      </c>
      <c r="AO77" t="e">
        <f>AND(ConsolidatedEventList!A413,"AAAAAF568yg=")</f>
        <v>#VALUE!</v>
      </c>
      <c r="AP77" t="e">
        <f>AND(ConsolidatedEventList!B413,"AAAAAF568yk=")</f>
        <v>#VALUE!</v>
      </c>
      <c r="AQ77" t="e">
        <f>AND(ConsolidatedEventList!C413,"AAAAAF568yo=")</f>
        <v>#VALUE!</v>
      </c>
      <c r="AR77" t="e">
        <f>AND(ConsolidatedEventList!D413,"AAAAAF568ys=")</f>
        <v>#VALUE!</v>
      </c>
      <c r="AS77" t="e">
        <f>AND(ConsolidatedEventList!E413,"AAAAAF568yw=")</f>
        <v>#VALUE!</v>
      </c>
      <c r="AT77" t="e">
        <f>AND(ConsolidatedEventList!F413,"AAAAAF568y0=")</f>
        <v>#VALUE!</v>
      </c>
      <c r="AU77" t="e">
        <f>AND(ConsolidatedEventList!G413,"AAAAAF568y4=")</f>
        <v>#VALUE!</v>
      </c>
      <c r="AV77" t="e">
        <f>AND(ConsolidatedEventList!H413,"AAAAAF568y8=")</f>
        <v>#VALUE!</v>
      </c>
      <c r="AW77">
        <f>IF(ConsolidatedEventList!414:414,"AAAAAF568zA=",0)</f>
        <v>0</v>
      </c>
      <c r="AX77" t="e">
        <f>AND(ConsolidatedEventList!A414,"AAAAAF568zE=")</f>
        <v>#VALUE!</v>
      </c>
      <c r="AY77" t="e">
        <f>AND(ConsolidatedEventList!B414,"AAAAAF568zI=")</f>
        <v>#VALUE!</v>
      </c>
      <c r="AZ77" t="e">
        <f>AND(ConsolidatedEventList!C414,"AAAAAF568zM=")</f>
        <v>#VALUE!</v>
      </c>
      <c r="BA77" t="e">
        <f>AND(ConsolidatedEventList!D414,"AAAAAF568zQ=")</f>
        <v>#VALUE!</v>
      </c>
      <c r="BB77" t="e">
        <f>AND(ConsolidatedEventList!E414,"AAAAAF568zU=")</f>
        <v>#VALUE!</v>
      </c>
      <c r="BC77" t="e">
        <f>AND(ConsolidatedEventList!F414,"AAAAAF568zY=")</f>
        <v>#VALUE!</v>
      </c>
      <c r="BD77" t="e">
        <f>AND(ConsolidatedEventList!G414,"AAAAAF568zc=")</f>
        <v>#VALUE!</v>
      </c>
      <c r="BE77" t="e">
        <f>AND(ConsolidatedEventList!H414,"AAAAAF568zg=")</f>
        <v>#VALUE!</v>
      </c>
      <c r="BF77">
        <f>IF(ConsolidatedEventList!415:415,"AAAAAF568zk=",0)</f>
        <v>0</v>
      </c>
      <c r="BG77" t="e">
        <f>AND(ConsolidatedEventList!A415,"AAAAAF568zo=")</f>
        <v>#VALUE!</v>
      </c>
      <c r="BH77" t="e">
        <f>AND(ConsolidatedEventList!B415,"AAAAAF568zs=")</f>
        <v>#VALUE!</v>
      </c>
      <c r="BI77" t="e">
        <f>AND(ConsolidatedEventList!C415,"AAAAAF568zw=")</f>
        <v>#VALUE!</v>
      </c>
      <c r="BJ77" t="e">
        <f>AND(ConsolidatedEventList!D415,"AAAAAF568z0=")</f>
        <v>#VALUE!</v>
      </c>
      <c r="BK77" t="e">
        <f>AND(ConsolidatedEventList!E415,"AAAAAF568z4=")</f>
        <v>#VALUE!</v>
      </c>
      <c r="BL77" t="e">
        <f>AND(ConsolidatedEventList!F415,"AAAAAF568z8=")</f>
        <v>#VALUE!</v>
      </c>
      <c r="BM77" t="e">
        <f>AND(ConsolidatedEventList!G415,"AAAAAF5680A=")</f>
        <v>#VALUE!</v>
      </c>
      <c r="BN77" t="e">
        <f>AND(ConsolidatedEventList!H415,"AAAAAF5680E=")</f>
        <v>#VALUE!</v>
      </c>
      <c r="BO77">
        <f>IF(ConsolidatedEventList!416:416,"AAAAAF5680I=",0)</f>
        <v>0</v>
      </c>
      <c r="BP77" t="e">
        <f>AND(ConsolidatedEventList!A416,"AAAAAF5680M=")</f>
        <v>#VALUE!</v>
      </c>
      <c r="BQ77" t="e">
        <f>AND(ConsolidatedEventList!B416,"AAAAAF5680Q=")</f>
        <v>#VALUE!</v>
      </c>
      <c r="BR77" t="e">
        <f>AND(ConsolidatedEventList!C416,"AAAAAF5680U=")</f>
        <v>#VALUE!</v>
      </c>
      <c r="BS77" t="e">
        <f>AND(ConsolidatedEventList!D416,"AAAAAF5680Y=")</f>
        <v>#VALUE!</v>
      </c>
      <c r="BT77" t="e">
        <f>AND(ConsolidatedEventList!E416,"AAAAAF5680c=")</f>
        <v>#VALUE!</v>
      </c>
      <c r="BU77" t="e">
        <f>AND(ConsolidatedEventList!F416,"AAAAAF5680g=")</f>
        <v>#VALUE!</v>
      </c>
      <c r="BV77" t="e">
        <f>AND(ConsolidatedEventList!G416,"AAAAAF5680k=")</f>
        <v>#VALUE!</v>
      </c>
      <c r="BW77" t="e">
        <f>AND(ConsolidatedEventList!H416,"AAAAAF5680o=")</f>
        <v>#VALUE!</v>
      </c>
      <c r="BX77">
        <f>IF(ConsolidatedEventList!417:417,"AAAAAF5680s=",0)</f>
        <v>0</v>
      </c>
      <c r="BY77" t="e">
        <f>AND(ConsolidatedEventList!A417,"AAAAAF5680w=")</f>
        <v>#VALUE!</v>
      </c>
      <c r="BZ77" t="e">
        <f>AND(ConsolidatedEventList!B417,"AAAAAF56800=")</f>
        <v>#VALUE!</v>
      </c>
      <c r="CA77" t="e">
        <f>AND(ConsolidatedEventList!C417,"AAAAAF56804=")</f>
        <v>#VALUE!</v>
      </c>
      <c r="CB77" t="e">
        <f>AND(ConsolidatedEventList!D417,"AAAAAF56808=")</f>
        <v>#VALUE!</v>
      </c>
      <c r="CC77" t="e">
        <f>AND(ConsolidatedEventList!E417,"AAAAAF5681A=")</f>
        <v>#VALUE!</v>
      </c>
      <c r="CD77" t="e">
        <f>AND(ConsolidatedEventList!F417,"AAAAAF5681E=")</f>
        <v>#VALUE!</v>
      </c>
      <c r="CE77" t="e">
        <f>AND(ConsolidatedEventList!G417,"AAAAAF5681I=")</f>
        <v>#VALUE!</v>
      </c>
      <c r="CF77" t="e">
        <f>AND(ConsolidatedEventList!H417,"AAAAAF5681M=")</f>
        <v>#VALUE!</v>
      </c>
      <c r="CG77">
        <f>IF(ConsolidatedEventList!418:418,"AAAAAF5681Q=",0)</f>
        <v>0</v>
      </c>
      <c r="CH77" t="e">
        <f>AND(ConsolidatedEventList!A418,"AAAAAF5681U=")</f>
        <v>#VALUE!</v>
      </c>
      <c r="CI77" t="e">
        <f>AND(ConsolidatedEventList!B418,"AAAAAF5681Y=")</f>
        <v>#VALUE!</v>
      </c>
      <c r="CJ77" t="e">
        <f>AND(ConsolidatedEventList!C418,"AAAAAF5681c=")</f>
        <v>#VALUE!</v>
      </c>
      <c r="CK77" t="e">
        <f>AND(ConsolidatedEventList!D418,"AAAAAF5681g=")</f>
        <v>#VALUE!</v>
      </c>
      <c r="CL77" t="e">
        <f>AND(ConsolidatedEventList!E418,"AAAAAF5681k=")</f>
        <v>#VALUE!</v>
      </c>
      <c r="CM77" t="e">
        <f>AND(ConsolidatedEventList!F418,"AAAAAF5681o=")</f>
        <v>#VALUE!</v>
      </c>
      <c r="CN77" t="e">
        <f>AND(ConsolidatedEventList!G418,"AAAAAF5681s=")</f>
        <v>#VALUE!</v>
      </c>
      <c r="CO77" t="e">
        <f>AND(ConsolidatedEventList!H418,"AAAAAF5681w=")</f>
        <v>#VALUE!</v>
      </c>
      <c r="CP77">
        <f>IF(ConsolidatedEventList!419:419,"AAAAAF56810=",0)</f>
        <v>0</v>
      </c>
      <c r="CQ77" t="e">
        <f>AND(ConsolidatedEventList!A419,"AAAAAF56814=")</f>
        <v>#VALUE!</v>
      </c>
      <c r="CR77" t="e">
        <f>AND(ConsolidatedEventList!B419,"AAAAAF56818=")</f>
        <v>#VALUE!</v>
      </c>
      <c r="CS77" t="e">
        <f>AND(ConsolidatedEventList!C419,"AAAAAF5682A=")</f>
        <v>#VALUE!</v>
      </c>
      <c r="CT77" t="e">
        <f>AND(ConsolidatedEventList!D419,"AAAAAF5682E=")</f>
        <v>#VALUE!</v>
      </c>
      <c r="CU77" t="e">
        <f>AND(ConsolidatedEventList!E419,"AAAAAF5682I=")</f>
        <v>#VALUE!</v>
      </c>
      <c r="CV77" t="e">
        <f>AND(ConsolidatedEventList!F419,"AAAAAF5682M=")</f>
        <v>#VALUE!</v>
      </c>
      <c r="CW77" t="e">
        <f>AND(ConsolidatedEventList!G419,"AAAAAF5682Q=")</f>
        <v>#VALUE!</v>
      </c>
      <c r="CX77" t="e">
        <f>AND(ConsolidatedEventList!H419,"AAAAAF5682U=")</f>
        <v>#VALUE!</v>
      </c>
      <c r="CY77">
        <f>IF(ConsolidatedEventList!420:420,"AAAAAF5682Y=",0)</f>
        <v>0</v>
      </c>
      <c r="CZ77" t="e">
        <f>AND(ConsolidatedEventList!A420,"AAAAAF5682c=")</f>
        <v>#VALUE!</v>
      </c>
      <c r="DA77" t="e">
        <f>AND(ConsolidatedEventList!B420,"AAAAAF5682g=")</f>
        <v>#VALUE!</v>
      </c>
      <c r="DB77" t="e">
        <f>AND(ConsolidatedEventList!C420,"AAAAAF5682k=")</f>
        <v>#VALUE!</v>
      </c>
      <c r="DC77" t="e">
        <f>AND(ConsolidatedEventList!D420,"AAAAAF5682o=")</f>
        <v>#VALUE!</v>
      </c>
      <c r="DD77" t="e">
        <f>AND(ConsolidatedEventList!E420,"AAAAAF5682s=")</f>
        <v>#VALUE!</v>
      </c>
      <c r="DE77" t="e">
        <f>AND(ConsolidatedEventList!F420,"AAAAAF5682w=")</f>
        <v>#VALUE!</v>
      </c>
      <c r="DF77" t="e">
        <f>AND(ConsolidatedEventList!G420,"AAAAAF56820=")</f>
        <v>#VALUE!</v>
      </c>
      <c r="DG77" t="e">
        <f>AND(ConsolidatedEventList!H420,"AAAAAF56824=")</f>
        <v>#VALUE!</v>
      </c>
      <c r="DH77">
        <f>IF(ConsolidatedEventList!421:421,"AAAAAF56828=",0)</f>
        <v>0</v>
      </c>
      <c r="DI77" t="e">
        <f>AND(ConsolidatedEventList!A421,"AAAAAF5683A=")</f>
        <v>#VALUE!</v>
      </c>
      <c r="DJ77" t="e">
        <f>AND(ConsolidatedEventList!B421,"AAAAAF5683E=")</f>
        <v>#VALUE!</v>
      </c>
      <c r="DK77" t="e">
        <f>AND(ConsolidatedEventList!C421,"AAAAAF5683I=")</f>
        <v>#VALUE!</v>
      </c>
      <c r="DL77" t="e">
        <f>AND(ConsolidatedEventList!D421,"AAAAAF5683M=")</f>
        <v>#VALUE!</v>
      </c>
      <c r="DM77" t="e">
        <f>AND(ConsolidatedEventList!E421,"AAAAAF5683Q=")</f>
        <v>#VALUE!</v>
      </c>
      <c r="DN77" t="e">
        <f>AND(ConsolidatedEventList!F421,"AAAAAF5683U=")</f>
        <v>#VALUE!</v>
      </c>
      <c r="DO77" t="e">
        <f>AND(ConsolidatedEventList!G421,"AAAAAF5683Y=")</f>
        <v>#VALUE!</v>
      </c>
      <c r="DP77" t="e">
        <f>AND(ConsolidatedEventList!H421,"AAAAAF5683c=")</f>
        <v>#VALUE!</v>
      </c>
      <c r="DQ77">
        <f>IF(ConsolidatedEventList!422:422,"AAAAAF5683g=",0)</f>
        <v>0</v>
      </c>
      <c r="DR77" t="e">
        <f>AND(ConsolidatedEventList!A422,"AAAAAF5683k=")</f>
        <v>#VALUE!</v>
      </c>
      <c r="DS77" t="e">
        <f>AND(ConsolidatedEventList!B422,"AAAAAF5683o=")</f>
        <v>#VALUE!</v>
      </c>
      <c r="DT77" t="e">
        <f>AND(ConsolidatedEventList!C422,"AAAAAF5683s=")</f>
        <v>#VALUE!</v>
      </c>
      <c r="DU77" t="e">
        <f>AND(ConsolidatedEventList!D422,"AAAAAF5683w=")</f>
        <v>#VALUE!</v>
      </c>
      <c r="DV77" t="e">
        <f>AND(ConsolidatedEventList!E422,"AAAAAF56830=")</f>
        <v>#VALUE!</v>
      </c>
      <c r="DW77" t="e">
        <f>AND(ConsolidatedEventList!F422,"AAAAAF56834=")</f>
        <v>#VALUE!</v>
      </c>
      <c r="DX77" t="e">
        <f>AND(ConsolidatedEventList!G422,"AAAAAF56838=")</f>
        <v>#VALUE!</v>
      </c>
      <c r="DY77" t="e">
        <f>AND(ConsolidatedEventList!H422,"AAAAAF5684A=")</f>
        <v>#VALUE!</v>
      </c>
      <c r="DZ77" t="e">
        <f>IF(ConsolidatedEventList!#REF!,"AAAAAF5684E=",0)</f>
        <v>#REF!</v>
      </c>
      <c r="EA77" t="e">
        <f>AND(ConsolidatedEventList!#REF!,"AAAAAF5684I=")</f>
        <v>#REF!</v>
      </c>
      <c r="EB77" t="e">
        <f>AND(ConsolidatedEventList!#REF!,"AAAAAF5684M=")</f>
        <v>#REF!</v>
      </c>
      <c r="EC77" t="e">
        <f>AND(ConsolidatedEventList!#REF!,"AAAAAF5684Q=")</f>
        <v>#REF!</v>
      </c>
      <c r="ED77" t="e">
        <f>AND(ConsolidatedEventList!#REF!,"AAAAAF5684U=")</f>
        <v>#REF!</v>
      </c>
      <c r="EE77" t="e">
        <f>AND(ConsolidatedEventList!#REF!,"AAAAAF5684Y=")</f>
        <v>#REF!</v>
      </c>
      <c r="EF77" t="e">
        <f>AND(ConsolidatedEventList!#REF!,"AAAAAF5684c=")</f>
        <v>#REF!</v>
      </c>
      <c r="EG77" t="e">
        <f>AND(ConsolidatedEventList!#REF!,"AAAAAF5684g=")</f>
        <v>#REF!</v>
      </c>
      <c r="EH77" t="e">
        <f>AND(ConsolidatedEventList!#REF!,"AAAAAF5684k=")</f>
        <v>#REF!</v>
      </c>
      <c r="EI77" t="e">
        <f>IF(ConsolidatedEventList!#REF!,"AAAAAF5684o=",0)</f>
        <v>#REF!</v>
      </c>
      <c r="EJ77" t="e">
        <f>AND(ConsolidatedEventList!#REF!,"AAAAAF5684s=")</f>
        <v>#REF!</v>
      </c>
      <c r="EK77" t="e">
        <f>AND(ConsolidatedEventList!#REF!,"AAAAAF5684w=")</f>
        <v>#REF!</v>
      </c>
      <c r="EL77" t="e">
        <f>AND(ConsolidatedEventList!#REF!,"AAAAAF56840=")</f>
        <v>#REF!</v>
      </c>
      <c r="EM77" t="e">
        <f>AND(ConsolidatedEventList!#REF!,"AAAAAF56844=")</f>
        <v>#REF!</v>
      </c>
      <c r="EN77" t="e">
        <f>AND(ConsolidatedEventList!#REF!,"AAAAAF56848=")</f>
        <v>#REF!</v>
      </c>
      <c r="EO77" t="e">
        <f>AND(ConsolidatedEventList!#REF!,"AAAAAF5685A=")</f>
        <v>#REF!</v>
      </c>
      <c r="EP77" t="e">
        <f>AND(ConsolidatedEventList!#REF!,"AAAAAF5685E=")</f>
        <v>#REF!</v>
      </c>
      <c r="EQ77" t="e">
        <f>AND(ConsolidatedEventList!#REF!,"AAAAAF5685I=")</f>
        <v>#REF!</v>
      </c>
      <c r="ER77" t="e">
        <f>IF(ConsolidatedEventList!#REF!,"AAAAAF5685M=",0)</f>
        <v>#REF!</v>
      </c>
      <c r="ES77" t="e">
        <f>AND(ConsolidatedEventList!#REF!,"AAAAAF5685Q=")</f>
        <v>#REF!</v>
      </c>
      <c r="ET77" t="e">
        <f>AND(ConsolidatedEventList!#REF!,"AAAAAF5685U=")</f>
        <v>#REF!</v>
      </c>
      <c r="EU77" t="e">
        <f>AND(ConsolidatedEventList!#REF!,"AAAAAF5685Y=")</f>
        <v>#REF!</v>
      </c>
      <c r="EV77" t="e">
        <f>AND(ConsolidatedEventList!#REF!,"AAAAAF5685c=")</f>
        <v>#REF!</v>
      </c>
      <c r="EW77" t="e">
        <f>AND(ConsolidatedEventList!#REF!,"AAAAAF5685g=")</f>
        <v>#REF!</v>
      </c>
      <c r="EX77" t="e">
        <f>AND(ConsolidatedEventList!#REF!,"AAAAAF5685k=")</f>
        <v>#REF!</v>
      </c>
      <c r="EY77" t="e">
        <f>AND(ConsolidatedEventList!#REF!,"AAAAAF5685o=")</f>
        <v>#REF!</v>
      </c>
      <c r="EZ77" t="e">
        <f>AND(ConsolidatedEventList!#REF!,"AAAAAF5685s=")</f>
        <v>#REF!</v>
      </c>
      <c r="FA77" t="e">
        <f>IF(ConsolidatedEventList!#REF!,"AAAAAF5685w=",0)</f>
        <v>#REF!</v>
      </c>
      <c r="FB77" t="e">
        <f>AND(ConsolidatedEventList!#REF!,"AAAAAF56850=")</f>
        <v>#REF!</v>
      </c>
      <c r="FC77" t="e">
        <f>AND(ConsolidatedEventList!#REF!,"AAAAAF56854=")</f>
        <v>#REF!</v>
      </c>
      <c r="FD77" t="e">
        <f>AND(ConsolidatedEventList!#REF!,"AAAAAF56858=")</f>
        <v>#REF!</v>
      </c>
      <c r="FE77" t="e">
        <f>AND(ConsolidatedEventList!#REF!,"AAAAAF5686A=")</f>
        <v>#REF!</v>
      </c>
      <c r="FF77" t="e">
        <f>AND(ConsolidatedEventList!#REF!,"AAAAAF5686E=")</f>
        <v>#REF!</v>
      </c>
      <c r="FG77" t="e">
        <f>AND(ConsolidatedEventList!#REF!,"AAAAAF5686I=")</f>
        <v>#REF!</v>
      </c>
      <c r="FH77" t="e">
        <f>AND(ConsolidatedEventList!#REF!,"AAAAAF5686M=")</f>
        <v>#REF!</v>
      </c>
      <c r="FI77" t="e">
        <f>AND(ConsolidatedEventList!#REF!,"AAAAAF5686Q=")</f>
        <v>#REF!</v>
      </c>
      <c r="FJ77" t="e">
        <f>IF(ConsolidatedEventList!#REF!,"AAAAAF5686U=",0)</f>
        <v>#REF!</v>
      </c>
      <c r="FK77" t="e">
        <f>AND(ConsolidatedEventList!#REF!,"AAAAAF5686Y=")</f>
        <v>#REF!</v>
      </c>
      <c r="FL77" t="e">
        <f>AND(ConsolidatedEventList!#REF!,"AAAAAF5686c=")</f>
        <v>#REF!</v>
      </c>
      <c r="FM77" t="e">
        <f>AND(ConsolidatedEventList!#REF!,"AAAAAF5686g=")</f>
        <v>#REF!</v>
      </c>
      <c r="FN77" t="e">
        <f>AND(ConsolidatedEventList!#REF!,"AAAAAF5686k=")</f>
        <v>#REF!</v>
      </c>
      <c r="FO77" t="e">
        <f>AND(ConsolidatedEventList!#REF!,"AAAAAF5686o=")</f>
        <v>#REF!</v>
      </c>
      <c r="FP77" t="e">
        <f>AND(ConsolidatedEventList!#REF!,"AAAAAF5686s=")</f>
        <v>#REF!</v>
      </c>
      <c r="FQ77" t="e">
        <f>AND(ConsolidatedEventList!#REF!,"AAAAAF5686w=")</f>
        <v>#REF!</v>
      </c>
      <c r="FR77" t="e">
        <f>AND(ConsolidatedEventList!#REF!,"AAAAAF56860=")</f>
        <v>#REF!</v>
      </c>
      <c r="FS77" t="e">
        <f>IF(ConsolidatedEventList!#REF!,"AAAAAF56864=",0)</f>
        <v>#REF!</v>
      </c>
      <c r="FT77" t="e">
        <f>AND(ConsolidatedEventList!#REF!,"AAAAAF56868=")</f>
        <v>#REF!</v>
      </c>
      <c r="FU77" t="e">
        <f>AND(ConsolidatedEventList!#REF!,"AAAAAF5687A=")</f>
        <v>#REF!</v>
      </c>
      <c r="FV77" t="e">
        <f>AND(ConsolidatedEventList!#REF!,"AAAAAF5687E=")</f>
        <v>#REF!</v>
      </c>
      <c r="FW77" t="e">
        <f>AND(ConsolidatedEventList!#REF!,"AAAAAF5687I=")</f>
        <v>#REF!</v>
      </c>
      <c r="FX77" t="e">
        <f>AND(ConsolidatedEventList!#REF!,"AAAAAF5687M=")</f>
        <v>#REF!</v>
      </c>
      <c r="FY77" t="e">
        <f>AND(ConsolidatedEventList!#REF!,"AAAAAF5687Q=")</f>
        <v>#REF!</v>
      </c>
      <c r="FZ77" t="e">
        <f>AND(ConsolidatedEventList!#REF!,"AAAAAF5687U=")</f>
        <v>#REF!</v>
      </c>
      <c r="GA77" t="e">
        <f>AND(ConsolidatedEventList!#REF!,"AAAAAF5687Y=")</f>
        <v>#REF!</v>
      </c>
      <c r="GB77" t="e">
        <f>IF(ConsolidatedEventList!#REF!,"AAAAAF5687c=",0)</f>
        <v>#REF!</v>
      </c>
      <c r="GC77" t="e">
        <f>AND(ConsolidatedEventList!#REF!,"AAAAAF5687g=")</f>
        <v>#REF!</v>
      </c>
      <c r="GD77" t="e">
        <f>AND(ConsolidatedEventList!#REF!,"AAAAAF5687k=")</f>
        <v>#REF!</v>
      </c>
      <c r="GE77" t="e">
        <f>AND(ConsolidatedEventList!#REF!,"AAAAAF5687o=")</f>
        <v>#REF!</v>
      </c>
      <c r="GF77" t="e">
        <f>AND(ConsolidatedEventList!#REF!,"AAAAAF5687s=")</f>
        <v>#REF!</v>
      </c>
      <c r="GG77" t="e">
        <f>AND(ConsolidatedEventList!#REF!,"AAAAAF5687w=")</f>
        <v>#REF!</v>
      </c>
      <c r="GH77" t="e">
        <f>AND(ConsolidatedEventList!#REF!,"AAAAAF56870=")</f>
        <v>#REF!</v>
      </c>
      <c r="GI77" t="e">
        <f>AND(ConsolidatedEventList!#REF!,"AAAAAF56874=")</f>
        <v>#REF!</v>
      </c>
      <c r="GJ77" t="e">
        <f>AND(ConsolidatedEventList!#REF!,"AAAAAF56878=")</f>
        <v>#REF!</v>
      </c>
      <c r="GK77" t="e">
        <f>IF(ConsolidatedEventList!#REF!,"AAAAAF5688A=",0)</f>
        <v>#REF!</v>
      </c>
      <c r="GL77" t="e">
        <f>AND(ConsolidatedEventList!#REF!,"AAAAAF5688E=")</f>
        <v>#REF!</v>
      </c>
      <c r="GM77" t="e">
        <f>AND(ConsolidatedEventList!#REF!,"AAAAAF5688I=")</f>
        <v>#REF!</v>
      </c>
      <c r="GN77" t="e">
        <f>AND(ConsolidatedEventList!#REF!,"AAAAAF5688M=")</f>
        <v>#REF!</v>
      </c>
      <c r="GO77" t="e">
        <f>AND(ConsolidatedEventList!#REF!,"AAAAAF5688Q=")</f>
        <v>#REF!</v>
      </c>
      <c r="GP77" t="e">
        <f>AND(ConsolidatedEventList!#REF!,"AAAAAF5688U=")</f>
        <v>#REF!</v>
      </c>
      <c r="GQ77" t="e">
        <f>AND(ConsolidatedEventList!#REF!,"AAAAAF5688Y=")</f>
        <v>#REF!</v>
      </c>
      <c r="GR77" t="e">
        <f>AND(ConsolidatedEventList!#REF!,"AAAAAF5688c=")</f>
        <v>#REF!</v>
      </c>
      <c r="GS77" t="e">
        <f>AND(ConsolidatedEventList!#REF!,"AAAAAF5688g=")</f>
        <v>#REF!</v>
      </c>
      <c r="GT77" t="e">
        <f>IF(ConsolidatedEventList!#REF!,"AAAAAF5688k=",0)</f>
        <v>#REF!</v>
      </c>
      <c r="GU77" t="e">
        <f>AND(ConsolidatedEventList!#REF!,"AAAAAF5688o=")</f>
        <v>#REF!</v>
      </c>
      <c r="GV77" t="e">
        <f>AND(ConsolidatedEventList!#REF!,"AAAAAF5688s=")</f>
        <v>#REF!</v>
      </c>
      <c r="GW77" t="e">
        <f>AND(ConsolidatedEventList!#REF!,"AAAAAF5688w=")</f>
        <v>#REF!</v>
      </c>
      <c r="GX77" t="e">
        <f>AND(ConsolidatedEventList!#REF!,"AAAAAF56880=")</f>
        <v>#REF!</v>
      </c>
      <c r="GY77" t="e">
        <f>AND(ConsolidatedEventList!#REF!,"AAAAAF56884=")</f>
        <v>#REF!</v>
      </c>
      <c r="GZ77" t="e">
        <f>AND(ConsolidatedEventList!#REF!,"AAAAAF56888=")</f>
        <v>#REF!</v>
      </c>
      <c r="HA77" t="e">
        <f>AND(ConsolidatedEventList!#REF!,"AAAAAF5689A=")</f>
        <v>#REF!</v>
      </c>
      <c r="HB77" t="e">
        <f>AND(ConsolidatedEventList!#REF!,"AAAAAF5689E=")</f>
        <v>#REF!</v>
      </c>
      <c r="HC77" t="e">
        <f>IF(ConsolidatedEventList!#REF!,"AAAAAF5689I=",0)</f>
        <v>#REF!</v>
      </c>
      <c r="HD77" t="e">
        <f>AND(ConsolidatedEventList!#REF!,"AAAAAF5689M=")</f>
        <v>#REF!</v>
      </c>
      <c r="HE77" t="e">
        <f>AND(ConsolidatedEventList!#REF!,"AAAAAF5689Q=")</f>
        <v>#REF!</v>
      </c>
      <c r="HF77" t="e">
        <f>AND(ConsolidatedEventList!#REF!,"AAAAAF5689U=")</f>
        <v>#REF!</v>
      </c>
      <c r="HG77" t="e">
        <f>AND(ConsolidatedEventList!#REF!,"AAAAAF5689Y=")</f>
        <v>#REF!</v>
      </c>
      <c r="HH77" t="e">
        <f>AND(ConsolidatedEventList!#REF!,"AAAAAF5689c=")</f>
        <v>#REF!</v>
      </c>
      <c r="HI77" t="e">
        <f>AND(ConsolidatedEventList!#REF!,"AAAAAF5689g=")</f>
        <v>#REF!</v>
      </c>
      <c r="HJ77" t="e">
        <f>AND(ConsolidatedEventList!#REF!,"AAAAAF5689k=")</f>
        <v>#REF!</v>
      </c>
      <c r="HK77" t="e">
        <f>AND(ConsolidatedEventList!#REF!,"AAAAAF5689o=")</f>
        <v>#REF!</v>
      </c>
      <c r="HL77">
        <f>IF(ConsolidatedEventList!463:463,"AAAAAF5689s=",0)</f>
        <v>0</v>
      </c>
      <c r="HM77" t="e">
        <f>AND(ConsolidatedEventList!A463,"AAAAAF5689w=")</f>
        <v>#VALUE!</v>
      </c>
      <c r="HN77" t="e">
        <f>AND(ConsolidatedEventList!B463,"AAAAAF56890=")</f>
        <v>#VALUE!</v>
      </c>
      <c r="HO77" t="e">
        <f>AND(ConsolidatedEventList!C463,"AAAAAF56894=")</f>
        <v>#VALUE!</v>
      </c>
      <c r="HP77" t="e">
        <f>AND(ConsolidatedEventList!D463,"AAAAAF56898=")</f>
        <v>#VALUE!</v>
      </c>
      <c r="HQ77" t="e">
        <f>AND(ConsolidatedEventList!E463,"AAAAAF568+A=")</f>
        <v>#VALUE!</v>
      </c>
      <c r="HR77" t="e">
        <f>AND(ConsolidatedEventList!F463,"AAAAAF568+E=")</f>
        <v>#VALUE!</v>
      </c>
      <c r="HS77" t="e">
        <f>AND(ConsolidatedEventList!G463,"AAAAAF568+I=")</f>
        <v>#VALUE!</v>
      </c>
      <c r="HT77" t="e">
        <f>AND(ConsolidatedEventList!H463,"AAAAAF568+M=")</f>
        <v>#VALUE!</v>
      </c>
      <c r="HU77">
        <f>IF(ConsolidatedEventList!464:464,"AAAAAF568+Q=",0)</f>
        <v>0</v>
      </c>
      <c r="HV77" t="e">
        <f>AND(ConsolidatedEventList!A464,"AAAAAF568+U=")</f>
        <v>#VALUE!</v>
      </c>
      <c r="HW77" t="e">
        <f>AND(ConsolidatedEventList!B464,"AAAAAF568+Y=")</f>
        <v>#VALUE!</v>
      </c>
      <c r="HX77" t="e">
        <f>AND(ConsolidatedEventList!C464,"AAAAAF568+c=")</f>
        <v>#VALUE!</v>
      </c>
      <c r="HY77" t="e">
        <f>AND(ConsolidatedEventList!D464,"AAAAAF568+g=")</f>
        <v>#VALUE!</v>
      </c>
      <c r="HZ77" t="e">
        <f>AND(ConsolidatedEventList!E464,"AAAAAF568+k=")</f>
        <v>#VALUE!</v>
      </c>
      <c r="IA77" t="e">
        <f>AND(ConsolidatedEventList!F464,"AAAAAF568+o=")</f>
        <v>#VALUE!</v>
      </c>
      <c r="IB77" t="e">
        <f>AND(ConsolidatedEventList!G464,"AAAAAF568+s=")</f>
        <v>#VALUE!</v>
      </c>
      <c r="IC77" t="e">
        <f>AND(ConsolidatedEventList!H464,"AAAAAF568+w=")</f>
        <v>#VALUE!</v>
      </c>
      <c r="ID77">
        <f>IF(ConsolidatedEventList!465:465,"AAAAAF568+0=",0)</f>
        <v>0</v>
      </c>
      <c r="IE77" t="e">
        <f>AND(ConsolidatedEventList!A465,"AAAAAF568+4=")</f>
        <v>#VALUE!</v>
      </c>
      <c r="IF77" t="e">
        <f>AND(ConsolidatedEventList!B465,"AAAAAF568+8=")</f>
        <v>#VALUE!</v>
      </c>
      <c r="IG77" t="e">
        <f>AND(ConsolidatedEventList!C465,"AAAAAF568/A=")</f>
        <v>#VALUE!</v>
      </c>
      <c r="IH77" t="e">
        <f>AND(ConsolidatedEventList!D465,"AAAAAF568/E=")</f>
        <v>#VALUE!</v>
      </c>
      <c r="II77" t="e">
        <f>AND(ConsolidatedEventList!E465,"AAAAAF568/I=")</f>
        <v>#VALUE!</v>
      </c>
      <c r="IJ77" t="e">
        <f>AND(ConsolidatedEventList!F465,"AAAAAF568/M=")</f>
        <v>#VALUE!</v>
      </c>
      <c r="IK77" t="e">
        <f>AND(ConsolidatedEventList!G465,"AAAAAF568/Q=")</f>
        <v>#VALUE!</v>
      </c>
      <c r="IL77" t="e">
        <f>AND(ConsolidatedEventList!H465,"AAAAAF568/U=")</f>
        <v>#VALUE!</v>
      </c>
      <c r="IM77">
        <f>IF(ConsolidatedEventList!466:466,"AAAAAF568/Y=",0)</f>
        <v>0</v>
      </c>
      <c r="IN77" t="e">
        <f>AND(ConsolidatedEventList!A466,"AAAAAF568/c=")</f>
        <v>#VALUE!</v>
      </c>
      <c r="IO77" t="e">
        <f>AND(ConsolidatedEventList!B466,"AAAAAF568/g=")</f>
        <v>#VALUE!</v>
      </c>
      <c r="IP77" t="e">
        <f>AND(ConsolidatedEventList!C466,"AAAAAF568/k=")</f>
        <v>#VALUE!</v>
      </c>
      <c r="IQ77" t="e">
        <f>AND(ConsolidatedEventList!D466,"AAAAAF568/o=")</f>
        <v>#VALUE!</v>
      </c>
      <c r="IR77" t="e">
        <f>AND(ConsolidatedEventList!E466,"AAAAAF568/s=")</f>
        <v>#VALUE!</v>
      </c>
      <c r="IS77" t="e">
        <f>AND(ConsolidatedEventList!F466,"AAAAAF568/w=")</f>
        <v>#VALUE!</v>
      </c>
      <c r="IT77" t="e">
        <f>AND(ConsolidatedEventList!G466,"AAAAAF568/0=")</f>
        <v>#VALUE!</v>
      </c>
      <c r="IU77" t="e">
        <f>AND(ConsolidatedEventList!H466,"AAAAAF568/4=")</f>
        <v>#VALUE!</v>
      </c>
      <c r="IV77">
        <f>IF(ConsolidatedEventList!467:467,"AAAAAF568/8=",0)</f>
        <v>0</v>
      </c>
    </row>
    <row r="78" spans="1:256" x14ac:dyDescent="0.25">
      <c r="A78" t="e">
        <f>AND(ConsolidatedEventList!A467,"AAAAAGuu+wA=")</f>
        <v>#VALUE!</v>
      </c>
      <c r="B78" t="e">
        <f>AND(ConsolidatedEventList!B467,"AAAAAGuu+wE=")</f>
        <v>#VALUE!</v>
      </c>
      <c r="C78" t="e">
        <f>AND(ConsolidatedEventList!C467,"AAAAAGuu+wI=")</f>
        <v>#VALUE!</v>
      </c>
      <c r="D78" t="e">
        <f>AND(ConsolidatedEventList!D467,"AAAAAGuu+wM=")</f>
        <v>#VALUE!</v>
      </c>
      <c r="E78" t="e">
        <f>AND(ConsolidatedEventList!E467,"AAAAAGuu+wQ=")</f>
        <v>#VALUE!</v>
      </c>
      <c r="F78" t="e">
        <f>AND(ConsolidatedEventList!F467,"AAAAAGuu+wU=")</f>
        <v>#VALUE!</v>
      </c>
      <c r="G78" t="e">
        <f>AND(ConsolidatedEventList!G467,"AAAAAGuu+wY=")</f>
        <v>#VALUE!</v>
      </c>
      <c r="H78" t="e">
        <f>AND(ConsolidatedEventList!H467,"AAAAAGuu+wc=")</f>
        <v>#VALUE!</v>
      </c>
      <c r="I78" t="e">
        <f>IF(ConsolidatedEventList!468:468,"AAAAAGuu+wg=",0)</f>
        <v>#VALUE!</v>
      </c>
      <c r="J78" t="e">
        <f>AND(ConsolidatedEventList!A468,"AAAAAGuu+wk=")</f>
        <v>#VALUE!</v>
      </c>
      <c r="K78" t="e">
        <f>AND(ConsolidatedEventList!B468,"AAAAAGuu+wo=")</f>
        <v>#VALUE!</v>
      </c>
      <c r="L78" t="e">
        <f>AND(ConsolidatedEventList!C468,"AAAAAGuu+ws=")</f>
        <v>#VALUE!</v>
      </c>
      <c r="M78" t="e">
        <f>AND(ConsolidatedEventList!D468,"AAAAAGuu+ww=")</f>
        <v>#VALUE!</v>
      </c>
      <c r="N78" t="e">
        <f>AND(ConsolidatedEventList!E468,"AAAAAGuu+w0=")</f>
        <v>#VALUE!</v>
      </c>
      <c r="O78" t="e">
        <f>AND(ConsolidatedEventList!F468,"AAAAAGuu+w4=")</f>
        <v>#VALUE!</v>
      </c>
      <c r="P78" t="e">
        <f>AND(ConsolidatedEventList!G468,"AAAAAGuu+w8=")</f>
        <v>#VALUE!</v>
      </c>
      <c r="Q78" t="e">
        <f>AND(ConsolidatedEventList!H468,"AAAAAGuu+xA=")</f>
        <v>#VALUE!</v>
      </c>
      <c r="R78">
        <f>IF(ConsolidatedEventList!469:469,"AAAAAGuu+xE=",0)</f>
        <v>0</v>
      </c>
      <c r="S78" t="e">
        <f>AND(ConsolidatedEventList!A469,"AAAAAGuu+xI=")</f>
        <v>#VALUE!</v>
      </c>
      <c r="T78" t="e">
        <f>AND(ConsolidatedEventList!B469,"AAAAAGuu+xM=")</f>
        <v>#VALUE!</v>
      </c>
      <c r="U78" t="e">
        <f>AND(ConsolidatedEventList!C469,"AAAAAGuu+xQ=")</f>
        <v>#VALUE!</v>
      </c>
      <c r="V78" t="e">
        <f>AND(ConsolidatedEventList!D469,"AAAAAGuu+xU=")</f>
        <v>#VALUE!</v>
      </c>
      <c r="W78" t="e">
        <f>AND(ConsolidatedEventList!E469,"AAAAAGuu+xY=")</f>
        <v>#VALUE!</v>
      </c>
      <c r="X78" t="e">
        <f>AND(ConsolidatedEventList!F469,"AAAAAGuu+xc=")</f>
        <v>#VALUE!</v>
      </c>
      <c r="Y78" t="e">
        <f>AND(ConsolidatedEventList!G469,"AAAAAGuu+xg=")</f>
        <v>#VALUE!</v>
      </c>
      <c r="Z78" t="e">
        <f>AND(ConsolidatedEventList!H469,"AAAAAGuu+xk=")</f>
        <v>#VALUE!</v>
      </c>
      <c r="AA78">
        <f>IF(ConsolidatedEventList!470:470,"AAAAAGuu+xo=",0)</f>
        <v>0</v>
      </c>
      <c r="AB78" t="e">
        <f>AND(ConsolidatedEventList!A470,"AAAAAGuu+xs=")</f>
        <v>#VALUE!</v>
      </c>
      <c r="AC78" t="e">
        <f>AND(ConsolidatedEventList!B470,"AAAAAGuu+xw=")</f>
        <v>#VALUE!</v>
      </c>
      <c r="AD78" t="e">
        <f>AND(ConsolidatedEventList!C470,"AAAAAGuu+x0=")</f>
        <v>#VALUE!</v>
      </c>
      <c r="AE78" t="e">
        <f>AND(ConsolidatedEventList!D470,"AAAAAGuu+x4=")</f>
        <v>#VALUE!</v>
      </c>
      <c r="AF78" t="e">
        <f>AND(ConsolidatedEventList!E470,"AAAAAGuu+x8=")</f>
        <v>#VALUE!</v>
      </c>
      <c r="AG78" t="e">
        <f>AND(ConsolidatedEventList!F470,"AAAAAGuu+yA=")</f>
        <v>#VALUE!</v>
      </c>
      <c r="AH78" t="e">
        <f>AND(ConsolidatedEventList!G470,"AAAAAGuu+yE=")</f>
        <v>#VALUE!</v>
      </c>
      <c r="AI78" t="e">
        <f>AND(ConsolidatedEventList!H470,"AAAAAGuu+yI=")</f>
        <v>#VALUE!</v>
      </c>
      <c r="AJ78">
        <f>IF(ConsolidatedEventList!471:471,"AAAAAGuu+yM=",0)</f>
        <v>0</v>
      </c>
      <c r="AK78" t="e">
        <f>AND(ConsolidatedEventList!A471,"AAAAAGuu+yQ=")</f>
        <v>#VALUE!</v>
      </c>
      <c r="AL78" t="e">
        <f>AND(ConsolidatedEventList!B471,"AAAAAGuu+yU=")</f>
        <v>#VALUE!</v>
      </c>
      <c r="AM78" t="e">
        <f>AND(ConsolidatedEventList!C471,"AAAAAGuu+yY=")</f>
        <v>#VALUE!</v>
      </c>
      <c r="AN78" t="e">
        <f>AND(ConsolidatedEventList!D471,"AAAAAGuu+yc=")</f>
        <v>#VALUE!</v>
      </c>
      <c r="AO78" t="e">
        <f>AND(ConsolidatedEventList!E471,"AAAAAGuu+yg=")</f>
        <v>#VALUE!</v>
      </c>
      <c r="AP78" t="e">
        <f>AND(ConsolidatedEventList!F471,"AAAAAGuu+yk=")</f>
        <v>#VALUE!</v>
      </c>
      <c r="AQ78" t="e">
        <f>AND(ConsolidatedEventList!G471,"AAAAAGuu+yo=")</f>
        <v>#VALUE!</v>
      </c>
      <c r="AR78" t="e">
        <f>AND(ConsolidatedEventList!H471,"AAAAAGuu+ys=")</f>
        <v>#VALUE!</v>
      </c>
      <c r="AS78">
        <f>IF(ConsolidatedEventList!472:472,"AAAAAGuu+yw=",0)</f>
        <v>0</v>
      </c>
      <c r="AT78" t="e">
        <f>AND(ConsolidatedEventList!A472,"AAAAAGuu+y0=")</f>
        <v>#VALUE!</v>
      </c>
      <c r="AU78" t="e">
        <f>AND(ConsolidatedEventList!B472,"AAAAAGuu+y4=")</f>
        <v>#VALUE!</v>
      </c>
      <c r="AV78" t="e">
        <f>AND(ConsolidatedEventList!C472,"AAAAAGuu+y8=")</f>
        <v>#VALUE!</v>
      </c>
      <c r="AW78" t="e">
        <f>AND(ConsolidatedEventList!D472,"AAAAAGuu+zA=")</f>
        <v>#VALUE!</v>
      </c>
      <c r="AX78" t="e">
        <f>AND(ConsolidatedEventList!E472,"AAAAAGuu+zE=")</f>
        <v>#VALUE!</v>
      </c>
      <c r="AY78" t="e">
        <f>AND(ConsolidatedEventList!F472,"AAAAAGuu+zI=")</f>
        <v>#VALUE!</v>
      </c>
      <c r="AZ78" t="e">
        <f>AND(ConsolidatedEventList!G472,"AAAAAGuu+zM=")</f>
        <v>#VALUE!</v>
      </c>
      <c r="BA78" t="e">
        <f>AND(ConsolidatedEventList!H472,"AAAAAGuu+zQ=")</f>
        <v>#VALUE!</v>
      </c>
      <c r="BB78">
        <f>IF(ConsolidatedEventList!473:473,"AAAAAGuu+zU=",0)</f>
        <v>0</v>
      </c>
      <c r="BC78" t="e">
        <f>AND(ConsolidatedEventList!A473,"AAAAAGuu+zY=")</f>
        <v>#VALUE!</v>
      </c>
      <c r="BD78" t="e">
        <f>AND(ConsolidatedEventList!B473,"AAAAAGuu+zc=")</f>
        <v>#VALUE!</v>
      </c>
      <c r="BE78" t="e">
        <f>AND(ConsolidatedEventList!C473,"AAAAAGuu+zg=")</f>
        <v>#VALUE!</v>
      </c>
      <c r="BF78" t="e">
        <f>AND(ConsolidatedEventList!D473,"AAAAAGuu+zk=")</f>
        <v>#VALUE!</v>
      </c>
      <c r="BG78" t="e">
        <f>AND(ConsolidatedEventList!E473,"AAAAAGuu+zo=")</f>
        <v>#VALUE!</v>
      </c>
      <c r="BH78" t="e">
        <f>AND(ConsolidatedEventList!F473,"AAAAAGuu+zs=")</f>
        <v>#VALUE!</v>
      </c>
      <c r="BI78" t="e">
        <f>AND(ConsolidatedEventList!G473,"AAAAAGuu+zw=")</f>
        <v>#VALUE!</v>
      </c>
      <c r="BJ78" t="e">
        <f>AND(ConsolidatedEventList!H473,"AAAAAGuu+z0=")</f>
        <v>#VALUE!</v>
      </c>
      <c r="BK78">
        <f>IF(ConsolidatedEventList!474:474,"AAAAAGuu+z4=",0)</f>
        <v>0</v>
      </c>
      <c r="BL78" t="e">
        <f>AND(ConsolidatedEventList!A474,"AAAAAGuu+z8=")</f>
        <v>#VALUE!</v>
      </c>
      <c r="BM78" t="e">
        <f>AND(ConsolidatedEventList!B474,"AAAAAGuu+0A=")</f>
        <v>#VALUE!</v>
      </c>
      <c r="BN78" t="e">
        <f>AND(ConsolidatedEventList!C474,"AAAAAGuu+0E=")</f>
        <v>#VALUE!</v>
      </c>
      <c r="BO78" t="e">
        <f>AND(ConsolidatedEventList!D474,"AAAAAGuu+0I=")</f>
        <v>#VALUE!</v>
      </c>
      <c r="BP78" t="e">
        <f>AND(ConsolidatedEventList!E474,"AAAAAGuu+0M=")</f>
        <v>#VALUE!</v>
      </c>
      <c r="BQ78" t="e">
        <f>AND(ConsolidatedEventList!F474,"AAAAAGuu+0Q=")</f>
        <v>#VALUE!</v>
      </c>
      <c r="BR78" t="e">
        <f>AND(ConsolidatedEventList!G474,"AAAAAGuu+0U=")</f>
        <v>#VALUE!</v>
      </c>
      <c r="BS78" t="e">
        <f>AND(ConsolidatedEventList!H474,"AAAAAGuu+0Y=")</f>
        <v>#VALUE!</v>
      </c>
      <c r="BT78">
        <f>IF(ConsolidatedEventList!475:475,"AAAAAGuu+0c=",0)</f>
        <v>0</v>
      </c>
      <c r="BU78" t="e">
        <f>AND(ConsolidatedEventList!A475,"AAAAAGuu+0g=")</f>
        <v>#VALUE!</v>
      </c>
      <c r="BV78" t="e">
        <f>AND(ConsolidatedEventList!B475,"AAAAAGuu+0k=")</f>
        <v>#VALUE!</v>
      </c>
      <c r="BW78" t="e">
        <f>AND(ConsolidatedEventList!C475,"AAAAAGuu+0o=")</f>
        <v>#VALUE!</v>
      </c>
      <c r="BX78" t="e">
        <f>AND(ConsolidatedEventList!D475,"AAAAAGuu+0s=")</f>
        <v>#VALUE!</v>
      </c>
      <c r="BY78" t="e">
        <f>AND(ConsolidatedEventList!E475,"AAAAAGuu+0w=")</f>
        <v>#VALUE!</v>
      </c>
      <c r="BZ78" t="e">
        <f>AND(ConsolidatedEventList!F475,"AAAAAGuu+00=")</f>
        <v>#VALUE!</v>
      </c>
      <c r="CA78" t="e">
        <f>AND(ConsolidatedEventList!G475,"AAAAAGuu+04=")</f>
        <v>#VALUE!</v>
      </c>
      <c r="CB78" t="e">
        <f>AND(ConsolidatedEventList!H475,"AAAAAGuu+08=")</f>
        <v>#VALUE!</v>
      </c>
      <c r="CC78">
        <f>IF(ConsolidatedEventList!479:479,"AAAAAGuu+1A=",0)</f>
        <v>0</v>
      </c>
      <c r="CD78" t="e">
        <f>AND(ConsolidatedEventList!A479,"AAAAAGuu+1E=")</f>
        <v>#VALUE!</v>
      </c>
      <c r="CE78" t="e">
        <f>AND(ConsolidatedEventList!B479,"AAAAAGuu+1I=")</f>
        <v>#VALUE!</v>
      </c>
      <c r="CF78" t="e">
        <f>AND(ConsolidatedEventList!C479,"AAAAAGuu+1M=")</f>
        <v>#VALUE!</v>
      </c>
      <c r="CG78" t="e">
        <f>AND(ConsolidatedEventList!D479,"AAAAAGuu+1Q=")</f>
        <v>#VALUE!</v>
      </c>
      <c r="CH78" t="e">
        <f>AND(ConsolidatedEventList!E479,"AAAAAGuu+1U=")</f>
        <v>#VALUE!</v>
      </c>
      <c r="CI78" t="e">
        <f>AND(ConsolidatedEventList!F479,"AAAAAGuu+1Y=")</f>
        <v>#VALUE!</v>
      </c>
      <c r="CJ78" t="e">
        <f>AND(ConsolidatedEventList!G479,"AAAAAGuu+1c=")</f>
        <v>#VALUE!</v>
      </c>
      <c r="CK78" t="e">
        <f>AND(ConsolidatedEventList!H479,"AAAAAGuu+1g=")</f>
        <v>#VALUE!</v>
      </c>
      <c r="CL78">
        <f>IF(ConsolidatedEventList!480:480,"AAAAAGuu+1k=",0)</f>
        <v>0</v>
      </c>
      <c r="CM78" t="e">
        <f>AND(ConsolidatedEventList!A480,"AAAAAGuu+1o=")</f>
        <v>#VALUE!</v>
      </c>
      <c r="CN78" t="e">
        <f>AND(ConsolidatedEventList!B480,"AAAAAGuu+1s=")</f>
        <v>#VALUE!</v>
      </c>
      <c r="CO78" t="e">
        <f>AND(ConsolidatedEventList!C480,"AAAAAGuu+1w=")</f>
        <v>#VALUE!</v>
      </c>
      <c r="CP78" t="e">
        <f>AND(ConsolidatedEventList!D480,"AAAAAGuu+10=")</f>
        <v>#VALUE!</v>
      </c>
      <c r="CQ78" t="e">
        <f>AND(ConsolidatedEventList!E480,"AAAAAGuu+14=")</f>
        <v>#VALUE!</v>
      </c>
      <c r="CR78" t="e">
        <f>AND(ConsolidatedEventList!F480,"AAAAAGuu+18=")</f>
        <v>#VALUE!</v>
      </c>
      <c r="CS78" t="e">
        <f>AND(ConsolidatedEventList!G480,"AAAAAGuu+2A=")</f>
        <v>#VALUE!</v>
      </c>
      <c r="CT78" t="e">
        <f>AND(ConsolidatedEventList!H480,"AAAAAGuu+2E=")</f>
        <v>#VALUE!</v>
      </c>
      <c r="CU78">
        <f>IF(ConsolidatedEventList!481:481,"AAAAAGuu+2I=",0)</f>
        <v>0</v>
      </c>
      <c r="CV78" t="e">
        <f>AND(ConsolidatedEventList!A481,"AAAAAGuu+2M=")</f>
        <v>#VALUE!</v>
      </c>
      <c r="CW78" t="e">
        <f>AND(ConsolidatedEventList!B481,"AAAAAGuu+2Q=")</f>
        <v>#VALUE!</v>
      </c>
      <c r="CX78" t="e">
        <f>AND(ConsolidatedEventList!C481,"AAAAAGuu+2U=")</f>
        <v>#VALUE!</v>
      </c>
      <c r="CY78" t="e">
        <f>AND(ConsolidatedEventList!D481,"AAAAAGuu+2Y=")</f>
        <v>#VALUE!</v>
      </c>
      <c r="CZ78" t="e">
        <f>AND(ConsolidatedEventList!E481,"AAAAAGuu+2c=")</f>
        <v>#VALUE!</v>
      </c>
      <c r="DA78" t="e">
        <f>AND(ConsolidatedEventList!F481,"AAAAAGuu+2g=")</f>
        <v>#VALUE!</v>
      </c>
      <c r="DB78" t="e">
        <f>AND(ConsolidatedEventList!G481,"AAAAAGuu+2k=")</f>
        <v>#VALUE!</v>
      </c>
      <c r="DC78" t="e">
        <f>AND(ConsolidatedEventList!H481,"AAAAAGuu+2o=")</f>
        <v>#VALUE!</v>
      </c>
      <c r="DD78">
        <f>IF(ConsolidatedEventList!482:482,"AAAAAGuu+2s=",0)</f>
        <v>0</v>
      </c>
      <c r="DE78" t="e">
        <f>AND(ConsolidatedEventList!A482,"AAAAAGuu+2w=")</f>
        <v>#VALUE!</v>
      </c>
      <c r="DF78" t="e">
        <f>AND(ConsolidatedEventList!B482,"AAAAAGuu+20=")</f>
        <v>#VALUE!</v>
      </c>
      <c r="DG78" t="e">
        <f>AND(ConsolidatedEventList!C482,"AAAAAGuu+24=")</f>
        <v>#VALUE!</v>
      </c>
      <c r="DH78" t="e">
        <f>AND(ConsolidatedEventList!D482,"AAAAAGuu+28=")</f>
        <v>#VALUE!</v>
      </c>
      <c r="DI78" t="e">
        <f>AND(ConsolidatedEventList!E482,"AAAAAGuu+3A=")</f>
        <v>#VALUE!</v>
      </c>
      <c r="DJ78" t="e">
        <f>AND(ConsolidatedEventList!F482,"AAAAAGuu+3E=")</f>
        <v>#VALUE!</v>
      </c>
      <c r="DK78" t="e">
        <f>AND(ConsolidatedEventList!G482,"AAAAAGuu+3I=")</f>
        <v>#VALUE!</v>
      </c>
      <c r="DL78" t="e">
        <f>AND(ConsolidatedEventList!H482,"AAAAAGuu+3M=")</f>
        <v>#VALUE!</v>
      </c>
      <c r="DM78">
        <f>IF(ConsolidatedEventList!483:483,"AAAAAGuu+3Q=",0)</f>
        <v>0</v>
      </c>
      <c r="DN78" t="e">
        <f>AND(ConsolidatedEventList!A483,"AAAAAGuu+3U=")</f>
        <v>#VALUE!</v>
      </c>
      <c r="DO78" t="e">
        <f>AND(ConsolidatedEventList!B483,"AAAAAGuu+3Y=")</f>
        <v>#VALUE!</v>
      </c>
      <c r="DP78" t="e">
        <f>AND(ConsolidatedEventList!C483,"AAAAAGuu+3c=")</f>
        <v>#VALUE!</v>
      </c>
      <c r="DQ78" t="e">
        <f>AND(ConsolidatedEventList!D483,"AAAAAGuu+3g=")</f>
        <v>#VALUE!</v>
      </c>
      <c r="DR78" t="e">
        <f>AND(ConsolidatedEventList!E483,"AAAAAGuu+3k=")</f>
        <v>#VALUE!</v>
      </c>
      <c r="DS78" t="e">
        <f>AND(ConsolidatedEventList!F483,"AAAAAGuu+3o=")</f>
        <v>#VALUE!</v>
      </c>
      <c r="DT78" t="e">
        <f>AND(ConsolidatedEventList!G483,"AAAAAGuu+3s=")</f>
        <v>#VALUE!</v>
      </c>
      <c r="DU78" t="e">
        <f>AND(ConsolidatedEventList!H483,"AAAAAGuu+3w=")</f>
        <v>#VALUE!</v>
      </c>
      <c r="DV78" t="e">
        <f>IF(ConsolidatedEventList!#REF!,"AAAAAGuu+30=",0)</f>
        <v>#REF!</v>
      </c>
      <c r="DW78" t="e">
        <f>AND(ConsolidatedEventList!#REF!,"AAAAAGuu+34=")</f>
        <v>#REF!</v>
      </c>
      <c r="DX78" t="e">
        <f>AND(ConsolidatedEventList!#REF!,"AAAAAGuu+38=")</f>
        <v>#REF!</v>
      </c>
      <c r="DY78" t="e">
        <f>AND(ConsolidatedEventList!#REF!,"AAAAAGuu+4A=")</f>
        <v>#REF!</v>
      </c>
      <c r="DZ78" t="e">
        <f>AND(ConsolidatedEventList!#REF!,"AAAAAGuu+4E=")</f>
        <v>#REF!</v>
      </c>
      <c r="EA78" t="e">
        <f>AND(ConsolidatedEventList!#REF!,"AAAAAGuu+4I=")</f>
        <v>#REF!</v>
      </c>
      <c r="EB78" t="e">
        <f>AND(ConsolidatedEventList!#REF!,"AAAAAGuu+4M=")</f>
        <v>#REF!</v>
      </c>
      <c r="EC78" t="e">
        <f>AND(ConsolidatedEventList!#REF!,"AAAAAGuu+4Q=")</f>
        <v>#REF!</v>
      </c>
      <c r="ED78" t="e">
        <f>AND(ConsolidatedEventList!#REF!,"AAAAAGuu+4U=")</f>
        <v>#REF!</v>
      </c>
      <c r="EE78" t="e">
        <f>IF(ConsolidatedEventList!#REF!,"AAAAAGuu+4Y=",0)</f>
        <v>#REF!</v>
      </c>
      <c r="EF78" t="e">
        <f>AND(ConsolidatedEventList!#REF!,"AAAAAGuu+4c=")</f>
        <v>#REF!</v>
      </c>
      <c r="EG78" t="e">
        <f>AND(ConsolidatedEventList!#REF!,"AAAAAGuu+4g=")</f>
        <v>#REF!</v>
      </c>
      <c r="EH78" t="e">
        <f>AND(ConsolidatedEventList!#REF!,"AAAAAGuu+4k=")</f>
        <v>#REF!</v>
      </c>
      <c r="EI78" t="e">
        <f>AND(ConsolidatedEventList!#REF!,"AAAAAGuu+4o=")</f>
        <v>#REF!</v>
      </c>
      <c r="EJ78" t="e">
        <f>AND(ConsolidatedEventList!#REF!,"AAAAAGuu+4s=")</f>
        <v>#REF!</v>
      </c>
      <c r="EK78" t="e">
        <f>AND(ConsolidatedEventList!#REF!,"AAAAAGuu+4w=")</f>
        <v>#REF!</v>
      </c>
      <c r="EL78" t="e">
        <f>AND(ConsolidatedEventList!#REF!,"AAAAAGuu+40=")</f>
        <v>#REF!</v>
      </c>
      <c r="EM78" t="e">
        <f>AND(ConsolidatedEventList!#REF!,"AAAAAGuu+44=")</f>
        <v>#REF!</v>
      </c>
      <c r="EN78">
        <f>IF(ConsolidatedEventList!263:263,"AAAAAGuu+48=",0)</f>
        <v>0</v>
      </c>
      <c r="EO78" t="e">
        <f>AND(ConsolidatedEventList!A263,"AAAAAGuu+5A=")</f>
        <v>#VALUE!</v>
      </c>
      <c r="EP78" t="e">
        <f>AND(ConsolidatedEventList!B263,"AAAAAGuu+5E=")</f>
        <v>#VALUE!</v>
      </c>
      <c r="EQ78" t="e">
        <f>AND(ConsolidatedEventList!C263,"AAAAAGuu+5I=")</f>
        <v>#VALUE!</v>
      </c>
      <c r="ER78" t="e">
        <f>AND(ConsolidatedEventList!D263,"AAAAAGuu+5M=")</f>
        <v>#VALUE!</v>
      </c>
      <c r="ES78" t="e">
        <f>AND(ConsolidatedEventList!E263,"AAAAAGuu+5Q=")</f>
        <v>#VALUE!</v>
      </c>
      <c r="ET78" t="e">
        <f>AND(ConsolidatedEventList!F263,"AAAAAGuu+5U=")</f>
        <v>#VALUE!</v>
      </c>
      <c r="EU78" t="e">
        <f>AND(ConsolidatedEventList!G263,"AAAAAGuu+5Y=")</f>
        <v>#VALUE!</v>
      </c>
      <c r="EV78" t="e">
        <f>AND(ConsolidatedEventList!H263,"AAAAAGuu+5c=")</f>
        <v>#VALUE!</v>
      </c>
      <c r="EW78">
        <f>IF(ConsolidatedEventList!264:264,"AAAAAGuu+5g=",0)</f>
        <v>0</v>
      </c>
      <c r="EX78" t="e">
        <f>AND(ConsolidatedEventList!A264,"AAAAAGuu+5k=")</f>
        <v>#VALUE!</v>
      </c>
      <c r="EY78" t="e">
        <f>AND(ConsolidatedEventList!B264,"AAAAAGuu+5o=")</f>
        <v>#VALUE!</v>
      </c>
      <c r="EZ78" t="e">
        <f>AND(ConsolidatedEventList!C264,"AAAAAGuu+5s=")</f>
        <v>#VALUE!</v>
      </c>
      <c r="FA78" t="e">
        <f>AND(ConsolidatedEventList!D264,"AAAAAGuu+5w=")</f>
        <v>#VALUE!</v>
      </c>
      <c r="FB78" t="e">
        <f>AND(ConsolidatedEventList!E264,"AAAAAGuu+50=")</f>
        <v>#VALUE!</v>
      </c>
      <c r="FC78" t="e">
        <f>AND(ConsolidatedEventList!F264,"AAAAAGuu+54=")</f>
        <v>#VALUE!</v>
      </c>
      <c r="FD78" t="e">
        <f>AND(ConsolidatedEventList!G264,"AAAAAGuu+58=")</f>
        <v>#VALUE!</v>
      </c>
      <c r="FE78" t="e">
        <f>AND(ConsolidatedEventList!H264,"AAAAAGuu+6A=")</f>
        <v>#VALUE!</v>
      </c>
      <c r="FF78">
        <f>IF(ConsolidatedEventList!265:265,"AAAAAGuu+6E=",0)</f>
        <v>0</v>
      </c>
      <c r="FG78" t="e">
        <f>AND(ConsolidatedEventList!A265,"AAAAAGuu+6I=")</f>
        <v>#VALUE!</v>
      </c>
      <c r="FH78" t="e">
        <f>AND(ConsolidatedEventList!B265,"AAAAAGuu+6M=")</f>
        <v>#VALUE!</v>
      </c>
      <c r="FI78" t="e">
        <f>AND(ConsolidatedEventList!C265,"AAAAAGuu+6Q=")</f>
        <v>#VALUE!</v>
      </c>
      <c r="FJ78" t="e">
        <f>AND(ConsolidatedEventList!D265,"AAAAAGuu+6U=")</f>
        <v>#VALUE!</v>
      </c>
      <c r="FK78" t="e">
        <f>AND(ConsolidatedEventList!E265,"AAAAAGuu+6Y=")</f>
        <v>#VALUE!</v>
      </c>
      <c r="FL78" t="e">
        <f>AND(ConsolidatedEventList!F265,"AAAAAGuu+6c=")</f>
        <v>#VALUE!</v>
      </c>
      <c r="FM78" t="e">
        <f>AND(ConsolidatedEventList!G265,"AAAAAGuu+6g=")</f>
        <v>#VALUE!</v>
      </c>
      <c r="FN78" t="e">
        <f>AND(ConsolidatedEventList!H265,"AAAAAGuu+6k=")</f>
        <v>#VALUE!</v>
      </c>
      <c r="FO78">
        <f>IF(ConsolidatedEventList!266:266,"AAAAAGuu+6o=",0)</f>
        <v>0</v>
      </c>
      <c r="FP78" t="e">
        <f>AND(ConsolidatedEventList!A266,"AAAAAGuu+6s=")</f>
        <v>#VALUE!</v>
      </c>
      <c r="FQ78" t="e">
        <f>AND(ConsolidatedEventList!B266,"AAAAAGuu+6w=")</f>
        <v>#VALUE!</v>
      </c>
      <c r="FR78" t="e">
        <f>AND(ConsolidatedEventList!C266,"AAAAAGuu+60=")</f>
        <v>#VALUE!</v>
      </c>
      <c r="FS78" t="e">
        <f>AND(ConsolidatedEventList!D266,"AAAAAGuu+64=")</f>
        <v>#VALUE!</v>
      </c>
      <c r="FT78" t="e">
        <f>AND(ConsolidatedEventList!E266,"AAAAAGuu+68=")</f>
        <v>#VALUE!</v>
      </c>
      <c r="FU78" t="e">
        <f>AND(ConsolidatedEventList!F266,"AAAAAGuu+7A=")</f>
        <v>#VALUE!</v>
      </c>
      <c r="FV78" t="e">
        <f>AND(ConsolidatedEventList!G266,"AAAAAGuu+7E=")</f>
        <v>#VALUE!</v>
      </c>
      <c r="FW78" t="e">
        <f>AND(ConsolidatedEventList!H266,"AAAAAGuu+7I=")</f>
        <v>#VALUE!</v>
      </c>
      <c r="FX78">
        <f>IF(ConsolidatedEventList!267:267,"AAAAAGuu+7M=",0)</f>
        <v>0</v>
      </c>
      <c r="FY78" t="e">
        <f>AND(ConsolidatedEventList!A267,"AAAAAGuu+7Q=")</f>
        <v>#VALUE!</v>
      </c>
      <c r="FZ78" t="e">
        <f>AND(ConsolidatedEventList!B267,"AAAAAGuu+7U=")</f>
        <v>#VALUE!</v>
      </c>
      <c r="GA78" t="e">
        <f>AND(ConsolidatedEventList!C267,"AAAAAGuu+7Y=")</f>
        <v>#VALUE!</v>
      </c>
      <c r="GB78" t="e">
        <f>AND(ConsolidatedEventList!D267,"AAAAAGuu+7c=")</f>
        <v>#VALUE!</v>
      </c>
      <c r="GC78" t="e">
        <f>AND(ConsolidatedEventList!E267,"AAAAAGuu+7g=")</f>
        <v>#VALUE!</v>
      </c>
      <c r="GD78" t="e">
        <f>AND(ConsolidatedEventList!F267,"AAAAAGuu+7k=")</f>
        <v>#VALUE!</v>
      </c>
      <c r="GE78" t="e">
        <f>AND(ConsolidatedEventList!G267,"AAAAAGuu+7o=")</f>
        <v>#VALUE!</v>
      </c>
      <c r="GF78" t="e">
        <f>AND(ConsolidatedEventList!H267,"AAAAAGuu+7s=")</f>
        <v>#VALUE!</v>
      </c>
      <c r="GG78">
        <f>IF(ConsolidatedEventList!268:268,"AAAAAGuu+7w=",0)</f>
        <v>0</v>
      </c>
      <c r="GH78" t="e">
        <f>AND(ConsolidatedEventList!A268,"AAAAAGuu+70=")</f>
        <v>#VALUE!</v>
      </c>
      <c r="GI78" t="e">
        <f>AND(ConsolidatedEventList!B268,"AAAAAGuu+74=")</f>
        <v>#VALUE!</v>
      </c>
      <c r="GJ78" t="e">
        <f>AND(ConsolidatedEventList!C268,"AAAAAGuu+78=")</f>
        <v>#VALUE!</v>
      </c>
      <c r="GK78" t="e">
        <f>AND(ConsolidatedEventList!D268,"AAAAAGuu+8A=")</f>
        <v>#VALUE!</v>
      </c>
      <c r="GL78" t="e">
        <f>AND(ConsolidatedEventList!E268,"AAAAAGuu+8E=")</f>
        <v>#VALUE!</v>
      </c>
      <c r="GM78" t="e">
        <f>AND(ConsolidatedEventList!F268,"AAAAAGuu+8I=")</f>
        <v>#VALUE!</v>
      </c>
      <c r="GN78" t="e">
        <f>AND(ConsolidatedEventList!G268,"AAAAAGuu+8M=")</f>
        <v>#VALUE!</v>
      </c>
      <c r="GO78" t="e">
        <f>AND(ConsolidatedEventList!H268,"AAAAAGuu+8Q=")</f>
        <v>#VALUE!</v>
      </c>
      <c r="GP78">
        <f>IF(ConsolidatedEventList!269:269,"AAAAAGuu+8U=",0)</f>
        <v>0</v>
      </c>
      <c r="GQ78" t="e">
        <f>AND(ConsolidatedEventList!A269,"AAAAAGuu+8Y=")</f>
        <v>#VALUE!</v>
      </c>
      <c r="GR78" t="e">
        <f>AND(ConsolidatedEventList!B269,"AAAAAGuu+8c=")</f>
        <v>#VALUE!</v>
      </c>
      <c r="GS78" t="e">
        <f>AND(ConsolidatedEventList!C269,"AAAAAGuu+8g=")</f>
        <v>#VALUE!</v>
      </c>
      <c r="GT78" t="e">
        <f>AND(ConsolidatedEventList!D269,"AAAAAGuu+8k=")</f>
        <v>#VALUE!</v>
      </c>
      <c r="GU78" t="e">
        <f>AND(ConsolidatedEventList!E269,"AAAAAGuu+8o=")</f>
        <v>#VALUE!</v>
      </c>
      <c r="GV78" t="e">
        <f>AND(ConsolidatedEventList!F269,"AAAAAGuu+8s=")</f>
        <v>#VALUE!</v>
      </c>
      <c r="GW78" t="e">
        <f>AND(ConsolidatedEventList!G269,"AAAAAGuu+8w=")</f>
        <v>#VALUE!</v>
      </c>
      <c r="GX78" t="e">
        <f>AND(ConsolidatedEventList!H269,"AAAAAGuu+80=")</f>
        <v>#VALUE!</v>
      </c>
      <c r="GY78">
        <f>IF(ConsolidatedEventList!270:270,"AAAAAGuu+84=",0)</f>
        <v>0</v>
      </c>
      <c r="GZ78" t="e">
        <f>AND(ConsolidatedEventList!A270,"AAAAAGuu+88=")</f>
        <v>#VALUE!</v>
      </c>
      <c r="HA78" t="e">
        <f>AND(ConsolidatedEventList!B270,"AAAAAGuu+9A=")</f>
        <v>#VALUE!</v>
      </c>
      <c r="HB78" t="e">
        <f>AND(ConsolidatedEventList!C270,"AAAAAGuu+9E=")</f>
        <v>#VALUE!</v>
      </c>
      <c r="HC78" t="e">
        <f>AND(ConsolidatedEventList!D270,"AAAAAGuu+9I=")</f>
        <v>#VALUE!</v>
      </c>
      <c r="HD78" t="e">
        <f>AND(ConsolidatedEventList!E270,"AAAAAGuu+9M=")</f>
        <v>#VALUE!</v>
      </c>
      <c r="HE78" t="e">
        <f>AND(ConsolidatedEventList!F270,"AAAAAGuu+9Q=")</f>
        <v>#VALUE!</v>
      </c>
      <c r="HF78" t="e">
        <f>AND(ConsolidatedEventList!G270,"AAAAAGuu+9U=")</f>
        <v>#VALUE!</v>
      </c>
      <c r="HG78" t="e">
        <f>AND(ConsolidatedEventList!H270,"AAAAAGuu+9Y=")</f>
        <v>#VALUE!</v>
      </c>
      <c r="HH78" t="e">
        <f>IF(ConsolidatedEventList!#REF!,"AAAAAGuu+9c=",0)</f>
        <v>#REF!</v>
      </c>
      <c r="HI78" t="e">
        <f>AND(ConsolidatedEventList!#REF!,"AAAAAGuu+9g=")</f>
        <v>#REF!</v>
      </c>
      <c r="HJ78" t="e">
        <f>AND(ConsolidatedEventList!#REF!,"AAAAAGuu+9k=")</f>
        <v>#REF!</v>
      </c>
      <c r="HK78" t="e">
        <f>AND(ConsolidatedEventList!#REF!,"AAAAAGuu+9o=")</f>
        <v>#REF!</v>
      </c>
      <c r="HL78" t="e">
        <f>AND(ConsolidatedEventList!#REF!,"AAAAAGuu+9s=")</f>
        <v>#REF!</v>
      </c>
      <c r="HM78" t="e">
        <f>AND(ConsolidatedEventList!#REF!,"AAAAAGuu+9w=")</f>
        <v>#REF!</v>
      </c>
      <c r="HN78" t="e">
        <f>AND(ConsolidatedEventList!#REF!,"AAAAAGuu+90=")</f>
        <v>#REF!</v>
      </c>
      <c r="HO78" t="e">
        <f>AND(ConsolidatedEventList!#REF!,"AAAAAGuu+94=")</f>
        <v>#REF!</v>
      </c>
      <c r="HP78" t="e">
        <f>AND(ConsolidatedEventList!#REF!,"AAAAAGuu+98=")</f>
        <v>#REF!</v>
      </c>
      <c r="HQ78" t="e">
        <f>IF(ConsolidatedEventList!#REF!,"AAAAAGuu++A=",0)</f>
        <v>#REF!</v>
      </c>
      <c r="HR78" t="e">
        <f>AND(ConsolidatedEventList!#REF!,"AAAAAGuu++E=")</f>
        <v>#REF!</v>
      </c>
      <c r="HS78" t="e">
        <f>AND(ConsolidatedEventList!#REF!,"AAAAAGuu++I=")</f>
        <v>#REF!</v>
      </c>
      <c r="HT78" t="e">
        <f>AND(ConsolidatedEventList!#REF!,"AAAAAGuu++M=")</f>
        <v>#REF!</v>
      </c>
      <c r="HU78" t="e">
        <f>AND(ConsolidatedEventList!#REF!,"AAAAAGuu++Q=")</f>
        <v>#REF!</v>
      </c>
      <c r="HV78" t="e">
        <f>AND(ConsolidatedEventList!#REF!,"AAAAAGuu++U=")</f>
        <v>#REF!</v>
      </c>
      <c r="HW78" t="e">
        <f>AND(ConsolidatedEventList!#REF!,"AAAAAGuu++Y=")</f>
        <v>#REF!</v>
      </c>
      <c r="HX78" t="e">
        <f>AND(ConsolidatedEventList!#REF!,"AAAAAGuu++c=")</f>
        <v>#REF!</v>
      </c>
      <c r="HY78" t="e">
        <f>AND(ConsolidatedEventList!#REF!,"AAAAAGuu++g=")</f>
        <v>#REF!</v>
      </c>
      <c r="HZ78">
        <f>IF(ConsolidatedEventList!271:271,"AAAAAGuu++k=",0)</f>
        <v>0</v>
      </c>
      <c r="IA78" t="e">
        <f>AND(ConsolidatedEventList!A271,"AAAAAGuu++o=")</f>
        <v>#VALUE!</v>
      </c>
      <c r="IB78" t="e">
        <f>AND(ConsolidatedEventList!B271,"AAAAAGuu++s=")</f>
        <v>#VALUE!</v>
      </c>
      <c r="IC78" t="e">
        <f>AND(ConsolidatedEventList!C271,"AAAAAGuu++w=")</f>
        <v>#VALUE!</v>
      </c>
      <c r="ID78" t="e">
        <f>AND(ConsolidatedEventList!D271,"AAAAAGuu++0=")</f>
        <v>#VALUE!</v>
      </c>
      <c r="IE78" t="e">
        <f>AND(ConsolidatedEventList!E271,"AAAAAGuu++4=")</f>
        <v>#VALUE!</v>
      </c>
      <c r="IF78" t="e">
        <f>AND(ConsolidatedEventList!F271,"AAAAAGuu++8=")</f>
        <v>#VALUE!</v>
      </c>
      <c r="IG78" t="e">
        <f>AND(ConsolidatedEventList!G271,"AAAAAGuu+/A=")</f>
        <v>#VALUE!</v>
      </c>
      <c r="IH78" t="e">
        <f>AND(ConsolidatedEventList!H271,"AAAAAGuu+/E=")</f>
        <v>#VALUE!</v>
      </c>
      <c r="II78">
        <f>IF(ConsolidatedEventList!272:272,"AAAAAGuu+/I=",0)</f>
        <v>0</v>
      </c>
      <c r="IJ78" t="e">
        <f>AND(ConsolidatedEventList!A272,"AAAAAGuu+/M=")</f>
        <v>#VALUE!</v>
      </c>
      <c r="IK78" t="e">
        <f>AND(ConsolidatedEventList!B272,"AAAAAGuu+/Q=")</f>
        <v>#VALUE!</v>
      </c>
      <c r="IL78" t="e">
        <f>AND(ConsolidatedEventList!C272,"AAAAAGuu+/U=")</f>
        <v>#VALUE!</v>
      </c>
      <c r="IM78" t="e">
        <f>AND(ConsolidatedEventList!D272,"AAAAAGuu+/Y=")</f>
        <v>#VALUE!</v>
      </c>
      <c r="IN78" t="e">
        <f>AND(ConsolidatedEventList!E272,"AAAAAGuu+/c=")</f>
        <v>#VALUE!</v>
      </c>
      <c r="IO78" t="e">
        <f>AND(ConsolidatedEventList!F272,"AAAAAGuu+/g=")</f>
        <v>#VALUE!</v>
      </c>
      <c r="IP78" t="e">
        <f>AND(ConsolidatedEventList!G272,"AAAAAGuu+/k=")</f>
        <v>#VALUE!</v>
      </c>
      <c r="IQ78" t="e">
        <f>AND(ConsolidatedEventList!H272,"AAAAAGuu+/o=")</f>
        <v>#VALUE!</v>
      </c>
      <c r="IR78">
        <f>IF(ConsolidatedEventList!273:273,"AAAAAGuu+/s=",0)</f>
        <v>0</v>
      </c>
      <c r="IS78" t="e">
        <f>AND(ConsolidatedEventList!A273,"AAAAAGuu+/w=")</f>
        <v>#VALUE!</v>
      </c>
      <c r="IT78" t="e">
        <f>AND(ConsolidatedEventList!B273,"AAAAAGuu+/0=")</f>
        <v>#VALUE!</v>
      </c>
      <c r="IU78" t="e">
        <f>AND(ConsolidatedEventList!C273,"AAAAAGuu+/4=")</f>
        <v>#VALUE!</v>
      </c>
      <c r="IV78" t="e">
        <f>AND(ConsolidatedEventList!D273,"AAAAAGuu+/8=")</f>
        <v>#VALUE!</v>
      </c>
    </row>
    <row r="79" spans="1:256" x14ac:dyDescent="0.25">
      <c r="A79" t="e">
        <f>AND(ConsolidatedEventList!E273,"AAAAAG/buwA=")</f>
        <v>#VALUE!</v>
      </c>
      <c r="B79" t="e">
        <f>AND(ConsolidatedEventList!F273,"AAAAAG/buwE=")</f>
        <v>#VALUE!</v>
      </c>
      <c r="C79" t="e">
        <f>AND(ConsolidatedEventList!G273,"AAAAAG/buwI=")</f>
        <v>#VALUE!</v>
      </c>
      <c r="D79" t="e">
        <f>AND(ConsolidatedEventList!H273,"AAAAAG/buwM=")</f>
        <v>#VALUE!</v>
      </c>
      <c r="E79">
        <f>IF(ConsolidatedEventList!274:274,"AAAAAG/buwQ=",0)</f>
        <v>0</v>
      </c>
      <c r="F79" t="e">
        <f>AND(ConsolidatedEventList!A274,"AAAAAG/buwU=")</f>
        <v>#VALUE!</v>
      </c>
      <c r="G79" t="e">
        <f>AND(ConsolidatedEventList!B274,"AAAAAG/buwY=")</f>
        <v>#VALUE!</v>
      </c>
      <c r="H79" t="e">
        <f>AND(ConsolidatedEventList!C274,"AAAAAG/buwc=")</f>
        <v>#VALUE!</v>
      </c>
      <c r="I79" t="e">
        <f>AND(ConsolidatedEventList!D274,"AAAAAG/buwg=")</f>
        <v>#VALUE!</v>
      </c>
      <c r="J79" t="e">
        <f>AND(ConsolidatedEventList!E274,"AAAAAG/buwk=")</f>
        <v>#VALUE!</v>
      </c>
      <c r="K79" t="e">
        <f>AND(ConsolidatedEventList!F274,"AAAAAG/buwo=")</f>
        <v>#VALUE!</v>
      </c>
      <c r="L79" t="e">
        <f>AND(ConsolidatedEventList!G274,"AAAAAG/buws=")</f>
        <v>#VALUE!</v>
      </c>
      <c r="M79" t="e">
        <f>AND(ConsolidatedEventList!H274,"AAAAAG/buww=")</f>
        <v>#VALUE!</v>
      </c>
      <c r="N79">
        <f>IF(ConsolidatedEventList!275:275,"AAAAAG/buw0=",0)</f>
        <v>0</v>
      </c>
      <c r="O79" t="e">
        <f>AND(ConsolidatedEventList!A275,"AAAAAG/buw4=")</f>
        <v>#VALUE!</v>
      </c>
      <c r="P79" t="e">
        <f>AND(ConsolidatedEventList!B275,"AAAAAG/buw8=")</f>
        <v>#VALUE!</v>
      </c>
      <c r="Q79" t="e">
        <f>AND(ConsolidatedEventList!C275,"AAAAAG/buxA=")</f>
        <v>#VALUE!</v>
      </c>
      <c r="R79" t="e">
        <f>AND(ConsolidatedEventList!D275,"AAAAAG/buxE=")</f>
        <v>#VALUE!</v>
      </c>
      <c r="S79" t="e">
        <f>AND(ConsolidatedEventList!E275,"AAAAAG/buxI=")</f>
        <v>#VALUE!</v>
      </c>
      <c r="T79" t="e">
        <f>AND(ConsolidatedEventList!F275,"AAAAAG/buxM=")</f>
        <v>#VALUE!</v>
      </c>
      <c r="U79" t="e">
        <f>AND(ConsolidatedEventList!G275,"AAAAAG/buxQ=")</f>
        <v>#VALUE!</v>
      </c>
      <c r="V79" t="e">
        <f>AND(ConsolidatedEventList!H275,"AAAAAG/buxU=")</f>
        <v>#VALUE!</v>
      </c>
      <c r="W79" t="e">
        <f>IF(ConsolidatedEventList!#REF!,"AAAAAG/buxY=",0)</f>
        <v>#REF!</v>
      </c>
      <c r="X79" t="e">
        <f>AND(ConsolidatedEventList!#REF!,"AAAAAG/buxc=")</f>
        <v>#REF!</v>
      </c>
      <c r="Y79" t="e">
        <f>AND(ConsolidatedEventList!#REF!,"AAAAAG/buxg=")</f>
        <v>#REF!</v>
      </c>
      <c r="Z79" t="e">
        <f>AND(ConsolidatedEventList!#REF!,"AAAAAG/buxk=")</f>
        <v>#REF!</v>
      </c>
      <c r="AA79" t="e">
        <f>AND(ConsolidatedEventList!#REF!,"AAAAAG/buxo=")</f>
        <v>#REF!</v>
      </c>
      <c r="AB79" t="e">
        <f>AND(ConsolidatedEventList!#REF!,"AAAAAG/buxs=")</f>
        <v>#REF!</v>
      </c>
      <c r="AC79" t="e">
        <f>AND(ConsolidatedEventList!#REF!,"AAAAAG/buxw=")</f>
        <v>#REF!</v>
      </c>
      <c r="AD79" t="e">
        <f>AND(ConsolidatedEventList!#REF!,"AAAAAG/bux0=")</f>
        <v>#REF!</v>
      </c>
      <c r="AE79" t="e">
        <f>AND(ConsolidatedEventList!#REF!,"AAAAAG/bux4=")</f>
        <v>#REF!</v>
      </c>
      <c r="AF79" t="e">
        <f>IF(ConsolidatedEventList!#REF!,"AAAAAG/bux8=",0)</f>
        <v>#REF!</v>
      </c>
      <c r="AG79" t="e">
        <f>AND(ConsolidatedEventList!#REF!,"AAAAAG/buyA=")</f>
        <v>#REF!</v>
      </c>
      <c r="AH79" t="e">
        <f>AND(ConsolidatedEventList!#REF!,"AAAAAG/buyE=")</f>
        <v>#REF!</v>
      </c>
      <c r="AI79" t="e">
        <f>AND(ConsolidatedEventList!#REF!,"AAAAAG/buyI=")</f>
        <v>#REF!</v>
      </c>
      <c r="AJ79" t="e">
        <f>AND(ConsolidatedEventList!#REF!,"AAAAAG/buyM=")</f>
        <v>#REF!</v>
      </c>
      <c r="AK79" t="e">
        <f>AND(ConsolidatedEventList!#REF!,"AAAAAG/buyQ=")</f>
        <v>#REF!</v>
      </c>
      <c r="AL79" t="e">
        <f>AND(ConsolidatedEventList!#REF!,"AAAAAG/buyU=")</f>
        <v>#REF!</v>
      </c>
      <c r="AM79" t="e">
        <f>AND(ConsolidatedEventList!#REF!,"AAAAAG/buyY=")</f>
        <v>#REF!</v>
      </c>
      <c r="AN79" t="e">
        <f>AND(ConsolidatedEventList!#REF!,"AAAAAG/buyc=")</f>
        <v>#REF!</v>
      </c>
      <c r="AO79" t="e">
        <f>IF(ConsolidatedEventList!#REF!,"AAAAAG/buyg=",0)</f>
        <v>#REF!</v>
      </c>
      <c r="AP79" t="e">
        <f>AND(ConsolidatedEventList!#REF!,"AAAAAG/buyk=")</f>
        <v>#REF!</v>
      </c>
      <c r="AQ79" t="e">
        <f>AND(ConsolidatedEventList!#REF!,"AAAAAG/buyo=")</f>
        <v>#REF!</v>
      </c>
      <c r="AR79" t="e">
        <f>AND(ConsolidatedEventList!#REF!,"AAAAAG/buys=")</f>
        <v>#REF!</v>
      </c>
      <c r="AS79" t="e">
        <f>AND(ConsolidatedEventList!#REF!,"AAAAAG/buyw=")</f>
        <v>#REF!</v>
      </c>
      <c r="AT79" t="e">
        <f>AND(ConsolidatedEventList!#REF!,"AAAAAG/buy0=")</f>
        <v>#REF!</v>
      </c>
      <c r="AU79" t="e">
        <f>AND(ConsolidatedEventList!#REF!,"AAAAAG/buy4=")</f>
        <v>#REF!</v>
      </c>
      <c r="AV79" t="e">
        <f>AND(ConsolidatedEventList!#REF!,"AAAAAG/buy8=")</f>
        <v>#REF!</v>
      </c>
      <c r="AW79" t="e">
        <f>AND(ConsolidatedEventList!#REF!,"AAAAAG/buzA=")</f>
        <v>#REF!</v>
      </c>
      <c r="AX79" t="e">
        <f>IF(ConsolidatedEventList!#REF!,"AAAAAG/buzE=",0)</f>
        <v>#REF!</v>
      </c>
      <c r="AY79" t="e">
        <f>AND(ConsolidatedEventList!#REF!,"AAAAAG/buzI=")</f>
        <v>#REF!</v>
      </c>
      <c r="AZ79" t="e">
        <f>AND(ConsolidatedEventList!#REF!,"AAAAAG/buzM=")</f>
        <v>#REF!</v>
      </c>
      <c r="BA79" t="e">
        <f>AND(ConsolidatedEventList!#REF!,"AAAAAG/buzQ=")</f>
        <v>#REF!</v>
      </c>
      <c r="BB79" t="e">
        <f>AND(ConsolidatedEventList!#REF!,"AAAAAG/buzU=")</f>
        <v>#REF!</v>
      </c>
      <c r="BC79" t="e">
        <f>AND(ConsolidatedEventList!#REF!,"AAAAAG/buzY=")</f>
        <v>#REF!</v>
      </c>
      <c r="BD79" t="e">
        <f>AND(ConsolidatedEventList!#REF!,"AAAAAG/buzc=")</f>
        <v>#REF!</v>
      </c>
      <c r="BE79" t="e">
        <f>AND(ConsolidatedEventList!#REF!,"AAAAAG/buzg=")</f>
        <v>#REF!</v>
      </c>
      <c r="BF79" t="e">
        <f>AND(ConsolidatedEventList!#REF!,"AAAAAG/buzk=")</f>
        <v>#REF!</v>
      </c>
      <c r="BG79" t="e">
        <f>IF(ConsolidatedEventList!#REF!,"AAAAAG/buzo=",0)</f>
        <v>#REF!</v>
      </c>
      <c r="BH79" t="e">
        <f>AND(ConsolidatedEventList!#REF!,"AAAAAG/buzs=")</f>
        <v>#REF!</v>
      </c>
      <c r="BI79" t="e">
        <f>AND(ConsolidatedEventList!#REF!,"AAAAAG/buzw=")</f>
        <v>#REF!</v>
      </c>
      <c r="BJ79" t="e">
        <f>AND(ConsolidatedEventList!#REF!,"AAAAAG/buz0=")</f>
        <v>#REF!</v>
      </c>
      <c r="BK79" t="e">
        <f>AND(ConsolidatedEventList!#REF!,"AAAAAG/buz4=")</f>
        <v>#REF!</v>
      </c>
      <c r="BL79" t="e">
        <f>AND(ConsolidatedEventList!#REF!,"AAAAAG/buz8=")</f>
        <v>#REF!</v>
      </c>
      <c r="BM79" t="e">
        <f>AND(ConsolidatedEventList!#REF!,"AAAAAG/bu0A=")</f>
        <v>#REF!</v>
      </c>
      <c r="BN79" t="e">
        <f>AND(ConsolidatedEventList!#REF!,"AAAAAG/bu0E=")</f>
        <v>#REF!</v>
      </c>
      <c r="BO79" t="e">
        <f>AND(ConsolidatedEventList!#REF!,"AAAAAG/bu0I=")</f>
        <v>#REF!</v>
      </c>
      <c r="BP79" t="e">
        <f>IF(ConsolidatedEventList!#REF!,"AAAAAG/bu0M=",0)</f>
        <v>#REF!</v>
      </c>
      <c r="BQ79" t="e">
        <f>AND(ConsolidatedEventList!#REF!,"AAAAAG/bu0Q=")</f>
        <v>#REF!</v>
      </c>
      <c r="BR79" t="e">
        <f>AND(ConsolidatedEventList!#REF!,"AAAAAG/bu0U=")</f>
        <v>#REF!</v>
      </c>
      <c r="BS79" t="e">
        <f>AND(ConsolidatedEventList!#REF!,"AAAAAG/bu0Y=")</f>
        <v>#REF!</v>
      </c>
      <c r="BT79" t="e">
        <f>AND(ConsolidatedEventList!#REF!,"AAAAAG/bu0c=")</f>
        <v>#REF!</v>
      </c>
      <c r="BU79" t="e">
        <f>AND(ConsolidatedEventList!#REF!,"AAAAAG/bu0g=")</f>
        <v>#REF!</v>
      </c>
      <c r="BV79" t="e">
        <f>AND(ConsolidatedEventList!#REF!,"AAAAAG/bu0k=")</f>
        <v>#REF!</v>
      </c>
      <c r="BW79" t="e">
        <f>AND(ConsolidatedEventList!#REF!,"AAAAAG/bu0o=")</f>
        <v>#REF!</v>
      </c>
      <c r="BX79" t="e">
        <f>AND(ConsolidatedEventList!#REF!,"AAAAAG/bu0s=")</f>
        <v>#REF!</v>
      </c>
      <c r="BY79" t="e">
        <f>IF(ConsolidatedEventList!#REF!,"AAAAAG/bu0w=",0)</f>
        <v>#REF!</v>
      </c>
      <c r="BZ79" t="e">
        <f>AND(ConsolidatedEventList!#REF!,"AAAAAG/bu00=")</f>
        <v>#REF!</v>
      </c>
      <c r="CA79" t="e">
        <f>AND(ConsolidatedEventList!#REF!,"AAAAAG/bu04=")</f>
        <v>#REF!</v>
      </c>
      <c r="CB79" t="e">
        <f>AND(ConsolidatedEventList!#REF!,"AAAAAG/bu08=")</f>
        <v>#REF!</v>
      </c>
      <c r="CC79" t="e">
        <f>AND(ConsolidatedEventList!#REF!,"AAAAAG/bu1A=")</f>
        <v>#REF!</v>
      </c>
      <c r="CD79" t="e">
        <f>AND(ConsolidatedEventList!#REF!,"AAAAAG/bu1E=")</f>
        <v>#REF!</v>
      </c>
      <c r="CE79" t="e">
        <f>AND(ConsolidatedEventList!#REF!,"AAAAAG/bu1I=")</f>
        <v>#REF!</v>
      </c>
      <c r="CF79" t="e">
        <f>AND(ConsolidatedEventList!#REF!,"AAAAAG/bu1M=")</f>
        <v>#REF!</v>
      </c>
      <c r="CG79" t="e">
        <f>AND(ConsolidatedEventList!#REF!,"AAAAAG/bu1Q=")</f>
        <v>#REF!</v>
      </c>
      <c r="CH79" t="e">
        <f>IF(ConsolidatedEventList!#REF!,"AAAAAG/bu1U=",0)</f>
        <v>#REF!</v>
      </c>
      <c r="CI79" t="e">
        <f>AND(ConsolidatedEventList!#REF!,"AAAAAG/bu1Y=")</f>
        <v>#REF!</v>
      </c>
      <c r="CJ79" t="e">
        <f>AND(ConsolidatedEventList!#REF!,"AAAAAG/bu1c=")</f>
        <v>#REF!</v>
      </c>
      <c r="CK79" t="e">
        <f>AND(ConsolidatedEventList!#REF!,"AAAAAG/bu1g=")</f>
        <v>#REF!</v>
      </c>
      <c r="CL79" t="e">
        <f>AND(ConsolidatedEventList!#REF!,"AAAAAG/bu1k=")</f>
        <v>#REF!</v>
      </c>
      <c r="CM79" t="e">
        <f>AND(ConsolidatedEventList!#REF!,"AAAAAG/bu1o=")</f>
        <v>#REF!</v>
      </c>
      <c r="CN79" t="e">
        <f>AND(ConsolidatedEventList!#REF!,"AAAAAG/bu1s=")</f>
        <v>#REF!</v>
      </c>
      <c r="CO79" t="e">
        <f>AND(ConsolidatedEventList!#REF!,"AAAAAG/bu1w=")</f>
        <v>#REF!</v>
      </c>
      <c r="CP79" t="e">
        <f>AND(ConsolidatedEventList!#REF!,"AAAAAG/bu10=")</f>
        <v>#REF!</v>
      </c>
      <c r="CQ79" t="e">
        <f>IF(ConsolidatedEventList!#REF!,"AAAAAG/bu14=",0)</f>
        <v>#REF!</v>
      </c>
      <c r="CR79" t="e">
        <f>AND(ConsolidatedEventList!#REF!,"AAAAAG/bu18=")</f>
        <v>#REF!</v>
      </c>
      <c r="CS79" t="e">
        <f>AND(ConsolidatedEventList!#REF!,"AAAAAG/bu2A=")</f>
        <v>#REF!</v>
      </c>
      <c r="CT79" t="e">
        <f>AND(ConsolidatedEventList!#REF!,"AAAAAG/bu2E=")</f>
        <v>#REF!</v>
      </c>
      <c r="CU79" t="e">
        <f>AND(ConsolidatedEventList!#REF!,"AAAAAG/bu2I=")</f>
        <v>#REF!</v>
      </c>
      <c r="CV79" t="e">
        <f>AND(ConsolidatedEventList!#REF!,"AAAAAG/bu2M=")</f>
        <v>#REF!</v>
      </c>
      <c r="CW79" t="e">
        <f>AND(ConsolidatedEventList!#REF!,"AAAAAG/bu2Q=")</f>
        <v>#REF!</v>
      </c>
      <c r="CX79" t="e">
        <f>AND(ConsolidatedEventList!#REF!,"AAAAAG/bu2U=")</f>
        <v>#REF!</v>
      </c>
      <c r="CY79" t="e">
        <f>AND(ConsolidatedEventList!#REF!,"AAAAAG/bu2Y=")</f>
        <v>#REF!</v>
      </c>
      <c r="CZ79" t="e">
        <f>IF(ConsolidatedEventList!#REF!,"AAAAAG/bu2c=",0)</f>
        <v>#REF!</v>
      </c>
      <c r="DA79" t="e">
        <f>AND(ConsolidatedEventList!#REF!,"AAAAAG/bu2g=")</f>
        <v>#REF!</v>
      </c>
      <c r="DB79" t="e">
        <f>AND(ConsolidatedEventList!#REF!,"AAAAAG/bu2k=")</f>
        <v>#REF!</v>
      </c>
      <c r="DC79" t="e">
        <f>AND(ConsolidatedEventList!#REF!,"AAAAAG/bu2o=")</f>
        <v>#REF!</v>
      </c>
      <c r="DD79" t="e">
        <f>AND(ConsolidatedEventList!#REF!,"AAAAAG/bu2s=")</f>
        <v>#REF!</v>
      </c>
      <c r="DE79" t="e">
        <f>AND(ConsolidatedEventList!#REF!,"AAAAAG/bu2w=")</f>
        <v>#REF!</v>
      </c>
      <c r="DF79" t="e">
        <f>AND(ConsolidatedEventList!#REF!,"AAAAAG/bu20=")</f>
        <v>#REF!</v>
      </c>
      <c r="DG79" t="e">
        <f>AND(ConsolidatedEventList!#REF!,"AAAAAG/bu24=")</f>
        <v>#REF!</v>
      </c>
      <c r="DH79" t="e">
        <f>AND(ConsolidatedEventList!#REF!,"AAAAAG/bu28=")</f>
        <v>#REF!</v>
      </c>
      <c r="DI79" t="e">
        <f>IF(ConsolidatedEventList!#REF!,"AAAAAG/bu3A=",0)</f>
        <v>#REF!</v>
      </c>
      <c r="DJ79" t="e">
        <f>AND(ConsolidatedEventList!#REF!,"AAAAAG/bu3E=")</f>
        <v>#REF!</v>
      </c>
      <c r="DK79" t="e">
        <f>AND(ConsolidatedEventList!#REF!,"AAAAAG/bu3I=")</f>
        <v>#REF!</v>
      </c>
      <c r="DL79" t="e">
        <f>AND(ConsolidatedEventList!#REF!,"AAAAAG/bu3M=")</f>
        <v>#REF!</v>
      </c>
      <c r="DM79" t="e">
        <f>AND(ConsolidatedEventList!#REF!,"AAAAAG/bu3Q=")</f>
        <v>#REF!</v>
      </c>
      <c r="DN79" t="e">
        <f>AND(ConsolidatedEventList!#REF!,"AAAAAG/bu3U=")</f>
        <v>#REF!</v>
      </c>
      <c r="DO79" t="e">
        <f>AND(ConsolidatedEventList!#REF!,"AAAAAG/bu3Y=")</f>
        <v>#REF!</v>
      </c>
      <c r="DP79" t="e">
        <f>AND(ConsolidatedEventList!#REF!,"AAAAAG/bu3c=")</f>
        <v>#REF!</v>
      </c>
      <c r="DQ79" t="e">
        <f>AND(ConsolidatedEventList!#REF!,"AAAAAG/bu3g=")</f>
        <v>#REF!</v>
      </c>
      <c r="DR79">
        <f>IF(ConsolidatedEventList!276:276,"AAAAAG/bu3k=",0)</f>
        <v>0</v>
      </c>
      <c r="DS79" t="e">
        <f>AND(ConsolidatedEventList!A276,"AAAAAG/bu3o=")</f>
        <v>#VALUE!</v>
      </c>
      <c r="DT79" t="e">
        <f>AND(ConsolidatedEventList!B276,"AAAAAG/bu3s=")</f>
        <v>#VALUE!</v>
      </c>
      <c r="DU79" t="e">
        <f>AND(ConsolidatedEventList!C276,"AAAAAG/bu3w=")</f>
        <v>#VALUE!</v>
      </c>
      <c r="DV79" t="e">
        <f>AND(ConsolidatedEventList!D276,"AAAAAG/bu30=")</f>
        <v>#VALUE!</v>
      </c>
      <c r="DW79" t="e">
        <f>AND(ConsolidatedEventList!E276,"AAAAAG/bu34=")</f>
        <v>#VALUE!</v>
      </c>
      <c r="DX79" t="e">
        <f>AND(ConsolidatedEventList!F276,"AAAAAG/bu38=")</f>
        <v>#VALUE!</v>
      </c>
      <c r="DY79" t="e">
        <f>AND(ConsolidatedEventList!G276,"AAAAAG/bu4A=")</f>
        <v>#VALUE!</v>
      </c>
      <c r="DZ79" t="e">
        <f>AND(ConsolidatedEventList!H276,"AAAAAG/bu4E=")</f>
        <v>#VALUE!</v>
      </c>
      <c r="EA79">
        <f>IF(ConsolidatedEventList!277:277,"AAAAAG/bu4I=",0)</f>
        <v>0</v>
      </c>
      <c r="EB79" t="e">
        <f>AND(ConsolidatedEventList!A277,"AAAAAG/bu4M=")</f>
        <v>#VALUE!</v>
      </c>
      <c r="EC79" t="e">
        <f>AND(ConsolidatedEventList!B277,"AAAAAG/bu4Q=")</f>
        <v>#VALUE!</v>
      </c>
      <c r="ED79" t="e">
        <f>AND(ConsolidatedEventList!C277,"AAAAAG/bu4U=")</f>
        <v>#VALUE!</v>
      </c>
      <c r="EE79" t="e">
        <f>AND(ConsolidatedEventList!D277,"AAAAAG/bu4Y=")</f>
        <v>#VALUE!</v>
      </c>
      <c r="EF79" t="e">
        <f>AND(ConsolidatedEventList!E277,"AAAAAG/bu4c=")</f>
        <v>#VALUE!</v>
      </c>
      <c r="EG79" t="e">
        <f>AND(ConsolidatedEventList!F277,"AAAAAG/bu4g=")</f>
        <v>#VALUE!</v>
      </c>
      <c r="EH79" t="e">
        <f>AND(ConsolidatedEventList!G277,"AAAAAG/bu4k=")</f>
        <v>#VALUE!</v>
      </c>
      <c r="EI79" t="e">
        <f>AND(ConsolidatedEventList!H277,"AAAAAG/bu4o=")</f>
        <v>#VALUE!</v>
      </c>
      <c r="EJ79">
        <f>IF(ConsolidatedEventList!278:278,"AAAAAG/bu4s=",0)</f>
        <v>0</v>
      </c>
      <c r="EK79" t="e">
        <f>AND(ConsolidatedEventList!A278,"AAAAAG/bu4w=")</f>
        <v>#VALUE!</v>
      </c>
      <c r="EL79" t="e">
        <f>AND(ConsolidatedEventList!B278,"AAAAAG/bu40=")</f>
        <v>#VALUE!</v>
      </c>
      <c r="EM79" t="e">
        <f>AND(ConsolidatedEventList!C278,"AAAAAG/bu44=")</f>
        <v>#VALUE!</v>
      </c>
      <c r="EN79" t="e">
        <f>AND(ConsolidatedEventList!D278,"AAAAAG/bu48=")</f>
        <v>#VALUE!</v>
      </c>
      <c r="EO79" t="e">
        <f>AND(ConsolidatedEventList!E278,"AAAAAG/bu5A=")</f>
        <v>#VALUE!</v>
      </c>
      <c r="EP79" t="e">
        <f>AND(ConsolidatedEventList!F278,"AAAAAG/bu5E=")</f>
        <v>#VALUE!</v>
      </c>
      <c r="EQ79" t="e">
        <f>AND(ConsolidatedEventList!G278,"AAAAAG/bu5I=")</f>
        <v>#VALUE!</v>
      </c>
      <c r="ER79" t="e">
        <f>AND(ConsolidatedEventList!H278,"AAAAAG/bu5M=")</f>
        <v>#VALUE!</v>
      </c>
      <c r="ES79">
        <f>IF(ConsolidatedEventList!279:279,"AAAAAG/bu5Q=",0)</f>
        <v>0</v>
      </c>
      <c r="ET79" t="e">
        <f>AND(ConsolidatedEventList!A279,"AAAAAG/bu5U=")</f>
        <v>#VALUE!</v>
      </c>
      <c r="EU79" t="e">
        <f>AND(ConsolidatedEventList!B279,"AAAAAG/bu5Y=")</f>
        <v>#VALUE!</v>
      </c>
      <c r="EV79" t="e">
        <f>AND(ConsolidatedEventList!C279,"AAAAAG/bu5c=")</f>
        <v>#VALUE!</v>
      </c>
      <c r="EW79" t="e">
        <f>AND(ConsolidatedEventList!D279,"AAAAAG/bu5g=")</f>
        <v>#VALUE!</v>
      </c>
      <c r="EX79" t="e">
        <f>AND(ConsolidatedEventList!E279,"AAAAAG/bu5k=")</f>
        <v>#VALUE!</v>
      </c>
      <c r="EY79" t="e">
        <f>AND(ConsolidatedEventList!F279,"AAAAAG/bu5o=")</f>
        <v>#VALUE!</v>
      </c>
      <c r="EZ79" t="e">
        <f>AND(ConsolidatedEventList!G279,"AAAAAG/bu5s=")</f>
        <v>#VALUE!</v>
      </c>
      <c r="FA79" t="e">
        <f>AND(ConsolidatedEventList!H279,"AAAAAG/bu5w=")</f>
        <v>#VALUE!</v>
      </c>
      <c r="FB79">
        <f>IF(ConsolidatedEventList!280:280,"AAAAAG/bu50=",0)</f>
        <v>0</v>
      </c>
      <c r="FC79" t="e">
        <f>AND(ConsolidatedEventList!A280,"AAAAAG/bu54=")</f>
        <v>#VALUE!</v>
      </c>
      <c r="FD79" t="e">
        <f>AND(ConsolidatedEventList!B280,"AAAAAG/bu58=")</f>
        <v>#VALUE!</v>
      </c>
      <c r="FE79" t="e">
        <f>AND(ConsolidatedEventList!C280,"AAAAAG/bu6A=")</f>
        <v>#VALUE!</v>
      </c>
      <c r="FF79" t="e">
        <f>AND(ConsolidatedEventList!D280,"AAAAAG/bu6E=")</f>
        <v>#VALUE!</v>
      </c>
      <c r="FG79" t="e">
        <f>AND(ConsolidatedEventList!E280,"AAAAAG/bu6I=")</f>
        <v>#VALUE!</v>
      </c>
      <c r="FH79" t="e">
        <f>AND(ConsolidatedEventList!F280,"AAAAAG/bu6M=")</f>
        <v>#VALUE!</v>
      </c>
      <c r="FI79" t="e">
        <f>AND(ConsolidatedEventList!G280,"AAAAAG/bu6Q=")</f>
        <v>#VALUE!</v>
      </c>
      <c r="FJ79" t="e">
        <f>AND(ConsolidatedEventList!H280,"AAAAAG/bu6U=")</f>
        <v>#VALUE!</v>
      </c>
      <c r="FK79">
        <f>IF(ConsolidatedEventList!281:281,"AAAAAG/bu6Y=",0)</f>
        <v>0</v>
      </c>
      <c r="FL79" t="e">
        <f>AND(ConsolidatedEventList!A281,"AAAAAG/bu6c=")</f>
        <v>#VALUE!</v>
      </c>
      <c r="FM79" t="e">
        <f>AND(ConsolidatedEventList!B281,"AAAAAG/bu6g=")</f>
        <v>#VALUE!</v>
      </c>
      <c r="FN79" t="e">
        <f>AND(ConsolidatedEventList!C281,"AAAAAG/bu6k=")</f>
        <v>#VALUE!</v>
      </c>
      <c r="FO79" t="e">
        <f>AND(ConsolidatedEventList!D281,"AAAAAG/bu6o=")</f>
        <v>#VALUE!</v>
      </c>
      <c r="FP79" t="e">
        <f>AND(ConsolidatedEventList!E281,"AAAAAG/bu6s=")</f>
        <v>#VALUE!</v>
      </c>
      <c r="FQ79" t="e">
        <f>AND(ConsolidatedEventList!F281,"AAAAAG/bu6w=")</f>
        <v>#VALUE!</v>
      </c>
      <c r="FR79" t="e">
        <f>AND(ConsolidatedEventList!G281,"AAAAAG/bu60=")</f>
        <v>#VALUE!</v>
      </c>
      <c r="FS79" t="e">
        <f>AND(ConsolidatedEventList!H281,"AAAAAG/bu64=")</f>
        <v>#VALUE!</v>
      </c>
      <c r="FT79">
        <f>IF(ConsolidatedEventList!282:282,"AAAAAG/bu68=",0)</f>
        <v>0</v>
      </c>
      <c r="FU79" t="e">
        <f>AND(ConsolidatedEventList!A282,"AAAAAG/bu7A=")</f>
        <v>#VALUE!</v>
      </c>
      <c r="FV79" t="e">
        <f>AND(ConsolidatedEventList!B282,"AAAAAG/bu7E=")</f>
        <v>#VALUE!</v>
      </c>
      <c r="FW79" t="e">
        <f>AND(ConsolidatedEventList!C282,"AAAAAG/bu7I=")</f>
        <v>#VALUE!</v>
      </c>
      <c r="FX79" t="e">
        <f>AND(ConsolidatedEventList!D282,"AAAAAG/bu7M=")</f>
        <v>#VALUE!</v>
      </c>
      <c r="FY79" t="e">
        <f>AND(ConsolidatedEventList!E282,"AAAAAG/bu7Q=")</f>
        <v>#VALUE!</v>
      </c>
      <c r="FZ79" t="e">
        <f>AND(ConsolidatedEventList!F282,"AAAAAG/bu7U=")</f>
        <v>#VALUE!</v>
      </c>
      <c r="GA79" t="e">
        <f>AND(ConsolidatedEventList!G282,"AAAAAG/bu7Y=")</f>
        <v>#VALUE!</v>
      </c>
      <c r="GB79" t="e">
        <f>AND(ConsolidatedEventList!H282,"AAAAAG/bu7c=")</f>
        <v>#VALUE!</v>
      </c>
      <c r="GC79">
        <f>IF(ConsolidatedEventList!484:484,"AAAAAG/bu7g=",0)</f>
        <v>0</v>
      </c>
      <c r="GD79" t="e">
        <f>AND(ConsolidatedEventList!A484,"AAAAAG/bu7k=")</f>
        <v>#VALUE!</v>
      </c>
      <c r="GE79" t="e">
        <f>AND(ConsolidatedEventList!B484,"AAAAAG/bu7o=")</f>
        <v>#VALUE!</v>
      </c>
      <c r="GF79" t="e">
        <f>AND(ConsolidatedEventList!C484,"AAAAAG/bu7s=")</f>
        <v>#VALUE!</v>
      </c>
      <c r="GG79" t="e">
        <f>AND(ConsolidatedEventList!D484,"AAAAAG/bu7w=")</f>
        <v>#VALUE!</v>
      </c>
      <c r="GH79" t="e">
        <f>AND(ConsolidatedEventList!E484,"AAAAAG/bu70=")</f>
        <v>#VALUE!</v>
      </c>
      <c r="GI79" t="e">
        <f>AND(ConsolidatedEventList!F484,"AAAAAG/bu74=")</f>
        <v>#VALUE!</v>
      </c>
      <c r="GJ79" t="e">
        <f>AND(ConsolidatedEventList!G484,"AAAAAG/bu78=")</f>
        <v>#VALUE!</v>
      </c>
      <c r="GK79" t="e">
        <f>AND(ConsolidatedEventList!H484,"AAAAAG/bu8A=")</f>
        <v>#VALUE!</v>
      </c>
      <c r="GL79">
        <f>IF(ConsolidatedEventList!485:485,"AAAAAG/bu8E=",0)</f>
        <v>0</v>
      </c>
      <c r="GM79" t="e">
        <f>AND(ConsolidatedEventList!A485,"AAAAAG/bu8I=")</f>
        <v>#VALUE!</v>
      </c>
      <c r="GN79" t="e">
        <f>AND(ConsolidatedEventList!B485,"AAAAAG/bu8M=")</f>
        <v>#VALUE!</v>
      </c>
      <c r="GO79" t="e">
        <f>AND(ConsolidatedEventList!C485,"AAAAAG/bu8Q=")</f>
        <v>#VALUE!</v>
      </c>
      <c r="GP79" t="e">
        <f>AND(ConsolidatedEventList!D485,"AAAAAG/bu8U=")</f>
        <v>#VALUE!</v>
      </c>
      <c r="GQ79" t="e">
        <f>AND(ConsolidatedEventList!E485,"AAAAAG/bu8Y=")</f>
        <v>#VALUE!</v>
      </c>
      <c r="GR79" t="e">
        <f>AND(ConsolidatedEventList!F485,"AAAAAG/bu8c=")</f>
        <v>#VALUE!</v>
      </c>
      <c r="GS79" t="e">
        <f>AND(ConsolidatedEventList!G485,"AAAAAG/bu8g=")</f>
        <v>#VALUE!</v>
      </c>
      <c r="GT79" t="e">
        <f>AND(ConsolidatedEventList!H485,"AAAAAG/bu8k=")</f>
        <v>#VALUE!</v>
      </c>
      <c r="GU79">
        <f>IF(ConsolidatedEventList!486:486,"AAAAAG/bu8o=",0)</f>
        <v>0</v>
      </c>
      <c r="GV79" t="e">
        <f>AND(ConsolidatedEventList!A486,"AAAAAG/bu8s=")</f>
        <v>#VALUE!</v>
      </c>
      <c r="GW79" t="e">
        <f>AND(ConsolidatedEventList!B486,"AAAAAG/bu8w=")</f>
        <v>#VALUE!</v>
      </c>
      <c r="GX79" t="e">
        <f>AND(ConsolidatedEventList!C486,"AAAAAG/bu80=")</f>
        <v>#VALUE!</v>
      </c>
      <c r="GY79" t="e">
        <f>AND(ConsolidatedEventList!D486,"AAAAAG/bu84=")</f>
        <v>#VALUE!</v>
      </c>
      <c r="GZ79" t="e">
        <f>AND(ConsolidatedEventList!E486,"AAAAAG/bu88=")</f>
        <v>#VALUE!</v>
      </c>
      <c r="HA79" t="e">
        <f>AND(ConsolidatedEventList!F486,"AAAAAG/bu9A=")</f>
        <v>#VALUE!</v>
      </c>
      <c r="HB79" t="e">
        <f>AND(ConsolidatedEventList!G486,"AAAAAG/bu9E=")</f>
        <v>#VALUE!</v>
      </c>
      <c r="HC79" t="e">
        <f>AND(ConsolidatedEventList!H486,"AAAAAG/bu9I=")</f>
        <v>#VALUE!</v>
      </c>
      <c r="HD79">
        <f>IF(ConsolidatedEventList!487:487,"AAAAAG/bu9M=",0)</f>
        <v>0</v>
      </c>
      <c r="HE79" t="e">
        <f>AND(ConsolidatedEventList!A487,"AAAAAG/bu9Q=")</f>
        <v>#VALUE!</v>
      </c>
      <c r="HF79" t="e">
        <f>AND(ConsolidatedEventList!B487,"AAAAAG/bu9U=")</f>
        <v>#VALUE!</v>
      </c>
      <c r="HG79" t="e">
        <f>AND(ConsolidatedEventList!C487,"AAAAAG/bu9Y=")</f>
        <v>#VALUE!</v>
      </c>
      <c r="HH79" t="e">
        <f>AND(ConsolidatedEventList!D487,"AAAAAG/bu9c=")</f>
        <v>#VALUE!</v>
      </c>
      <c r="HI79" t="e">
        <f>AND(ConsolidatedEventList!E487,"AAAAAG/bu9g=")</f>
        <v>#VALUE!</v>
      </c>
      <c r="HJ79" t="e">
        <f>AND(ConsolidatedEventList!F487,"AAAAAG/bu9k=")</f>
        <v>#VALUE!</v>
      </c>
      <c r="HK79" t="e">
        <f>AND(ConsolidatedEventList!G487,"AAAAAG/bu9o=")</f>
        <v>#VALUE!</v>
      </c>
      <c r="HL79" t="e">
        <f>AND(ConsolidatedEventList!H487,"AAAAAG/bu9s=")</f>
        <v>#VALUE!</v>
      </c>
      <c r="HM79">
        <f>IF(ConsolidatedEventList!488:488,"AAAAAG/bu9w=",0)</f>
        <v>0</v>
      </c>
      <c r="HN79" t="e">
        <f>AND(ConsolidatedEventList!A488,"AAAAAG/bu90=")</f>
        <v>#VALUE!</v>
      </c>
      <c r="HO79" t="e">
        <f>AND(ConsolidatedEventList!B488,"AAAAAG/bu94=")</f>
        <v>#VALUE!</v>
      </c>
      <c r="HP79" t="e">
        <f>AND(ConsolidatedEventList!C488,"AAAAAG/bu98=")</f>
        <v>#VALUE!</v>
      </c>
      <c r="HQ79" t="e">
        <f>AND(ConsolidatedEventList!D488,"AAAAAG/bu+A=")</f>
        <v>#VALUE!</v>
      </c>
      <c r="HR79" t="e">
        <f>AND(ConsolidatedEventList!E488,"AAAAAG/bu+E=")</f>
        <v>#VALUE!</v>
      </c>
      <c r="HS79" t="e">
        <f>AND(ConsolidatedEventList!F488,"AAAAAG/bu+I=")</f>
        <v>#VALUE!</v>
      </c>
      <c r="HT79" t="e">
        <f>AND(ConsolidatedEventList!G488,"AAAAAG/bu+M=")</f>
        <v>#VALUE!</v>
      </c>
      <c r="HU79" t="e">
        <f>AND(ConsolidatedEventList!H488,"AAAAAG/bu+Q=")</f>
        <v>#VALUE!</v>
      </c>
      <c r="HV79">
        <f>IF(ConsolidatedEventList!489:489,"AAAAAG/bu+U=",0)</f>
        <v>0</v>
      </c>
      <c r="HW79" t="e">
        <f>AND(ConsolidatedEventList!A489,"AAAAAG/bu+Y=")</f>
        <v>#VALUE!</v>
      </c>
      <c r="HX79" t="e">
        <f>AND(ConsolidatedEventList!B489,"AAAAAG/bu+c=")</f>
        <v>#VALUE!</v>
      </c>
      <c r="HY79" t="e">
        <f>AND(ConsolidatedEventList!C489,"AAAAAG/bu+g=")</f>
        <v>#VALUE!</v>
      </c>
      <c r="HZ79" t="e">
        <f>AND(ConsolidatedEventList!D489,"AAAAAG/bu+k=")</f>
        <v>#VALUE!</v>
      </c>
      <c r="IA79" t="e">
        <f>AND(ConsolidatedEventList!E489,"AAAAAG/bu+o=")</f>
        <v>#VALUE!</v>
      </c>
      <c r="IB79" t="e">
        <f>AND(ConsolidatedEventList!F489,"AAAAAG/bu+s=")</f>
        <v>#VALUE!</v>
      </c>
      <c r="IC79" t="e">
        <f>AND(ConsolidatedEventList!G489,"AAAAAG/bu+w=")</f>
        <v>#VALUE!</v>
      </c>
      <c r="ID79" t="e">
        <f>AND(ConsolidatedEventList!H489,"AAAAAG/bu+0=")</f>
        <v>#VALUE!</v>
      </c>
      <c r="IE79">
        <f>IF(ConsolidatedEventList!490:490,"AAAAAG/bu+4=",0)</f>
        <v>0</v>
      </c>
      <c r="IF79" t="e">
        <f>AND(ConsolidatedEventList!A490,"AAAAAG/bu+8=")</f>
        <v>#VALUE!</v>
      </c>
      <c r="IG79" t="e">
        <f>AND(ConsolidatedEventList!B490,"AAAAAG/bu/A=")</f>
        <v>#VALUE!</v>
      </c>
      <c r="IH79" t="e">
        <f>AND(ConsolidatedEventList!C490,"AAAAAG/bu/E=")</f>
        <v>#VALUE!</v>
      </c>
      <c r="II79" t="e">
        <f>AND(ConsolidatedEventList!D490,"AAAAAG/bu/I=")</f>
        <v>#VALUE!</v>
      </c>
      <c r="IJ79" t="e">
        <f>AND(ConsolidatedEventList!E490,"AAAAAG/bu/M=")</f>
        <v>#VALUE!</v>
      </c>
      <c r="IK79" t="e">
        <f>AND(ConsolidatedEventList!F490,"AAAAAG/bu/Q=")</f>
        <v>#VALUE!</v>
      </c>
      <c r="IL79" t="e">
        <f>AND(ConsolidatedEventList!G490,"AAAAAG/bu/U=")</f>
        <v>#VALUE!</v>
      </c>
      <c r="IM79" t="e">
        <f>AND(ConsolidatedEventList!H490,"AAAAAG/bu/Y=")</f>
        <v>#VALUE!</v>
      </c>
      <c r="IN79">
        <f>IF(ConsolidatedEventList!491:491,"AAAAAG/bu/c=",0)</f>
        <v>0</v>
      </c>
      <c r="IO79" t="e">
        <f>AND(ConsolidatedEventList!A491,"AAAAAG/bu/g=")</f>
        <v>#VALUE!</v>
      </c>
      <c r="IP79" t="e">
        <f>AND(ConsolidatedEventList!B491,"AAAAAG/bu/k=")</f>
        <v>#VALUE!</v>
      </c>
      <c r="IQ79" t="e">
        <f>AND(ConsolidatedEventList!C491,"AAAAAG/bu/o=")</f>
        <v>#VALUE!</v>
      </c>
      <c r="IR79" t="e">
        <f>AND(ConsolidatedEventList!D491,"AAAAAG/bu/s=")</f>
        <v>#VALUE!</v>
      </c>
      <c r="IS79" t="e">
        <f>AND(ConsolidatedEventList!E491,"AAAAAG/bu/w=")</f>
        <v>#VALUE!</v>
      </c>
      <c r="IT79" t="e">
        <f>AND(ConsolidatedEventList!F491,"AAAAAG/bu/0=")</f>
        <v>#VALUE!</v>
      </c>
      <c r="IU79" t="e">
        <f>AND(ConsolidatedEventList!G491,"AAAAAG/bu/4=")</f>
        <v>#VALUE!</v>
      </c>
      <c r="IV79" t="e">
        <f>AND(ConsolidatedEventList!H491,"AAAAAG/bu/8=")</f>
        <v>#VALUE!</v>
      </c>
    </row>
    <row r="80" spans="1:256" x14ac:dyDescent="0.25">
      <c r="A80">
        <f>IF(ConsolidatedEventList!492:492,"AAAAAF6+/gA=",0)</f>
        <v>0</v>
      </c>
      <c r="B80" t="e">
        <f>AND(ConsolidatedEventList!A492,"AAAAAF6+/gE=")</f>
        <v>#VALUE!</v>
      </c>
      <c r="C80" t="e">
        <f>AND(ConsolidatedEventList!B492,"AAAAAF6+/gI=")</f>
        <v>#VALUE!</v>
      </c>
      <c r="D80" t="e">
        <f>AND(ConsolidatedEventList!C492,"AAAAAF6+/gM=")</f>
        <v>#VALUE!</v>
      </c>
      <c r="E80" t="e">
        <f>AND(ConsolidatedEventList!D492,"AAAAAF6+/gQ=")</f>
        <v>#VALUE!</v>
      </c>
      <c r="F80" t="e">
        <f>AND(ConsolidatedEventList!E492,"AAAAAF6+/gU=")</f>
        <v>#VALUE!</v>
      </c>
      <c r="G80" t="e">
        <f>AND(ConsolidatedEventList!F492,"AAAAAF6+/gY=")</f>
        <v>#VALUE!</v>
      </c>
      <c r="H80" t="e">
        <f>AND(ConsolidatedEventList!G492,"AAAAAF6+/gc=")</f>
        <v>#VALUE!</v>
      </c>
      <c r="I80" t="e">
        <f>AND(ConsolidatedEventList!H492,"AAAAAF6+/gg=")</f>
        <v>#VALUE!</v>
      </c>
      <c r="J80">
        <f>IF(ConsolidatedEventList!493:493,"AAAAAF6+/gk=",0)</f>
        <v>0</v>
      </c>
      <c r="K80" t="e">
        <f>AND(ConsolidatedEventList!A493,"AAAAAF6+/go=")</f>
        <v>#VALUE!</v>
      </c>
      <c r="L80" t="e">
        <f>AND(ConsolidatedEventList!B493,"AAAAAF6+/gs=")</f>
        <v>#VALUE!</v>
      </c>
      <c r="M80" t="e">
        <f>AND(ConsolidatedEventList!C493,"AAAAAF6+/gw=")</f>
        <v>#VALUE!</v>
      </c>
      <c r="N80" t="e">
        <f>AND(ConsolidatedEventList!D493,"AAAAAF6+/g0=")</f>
        <v>#VALUE!</v>
      </c>
      <c r="O80" t="e">
        <f>AND(ConsolidatedEventList!E493,"AAAAAF6+/g4=")</f>
        <v>#VALUE!</v>
      </c>
      <c r="P80" t="e">
        <f>AND(ConsolidatedEventList!F493,"AAAAAF6+/g8=")</f>
        <v>#VALUE!</v>
      </c>
      <c r="Q80" t="e">
        <f>AND(ConsolidatedEventList!G493,"AAAAAF6+/hA=")</f>
        <v>#VALUE!</v>
      </c>
      <c r="R80" t="e">
        <f>AND(ConsolidatedEventList!H493,"AAAAAF6+/hE=")</f>
        <v>#VALUE!</v>
      </c>
      <c r="S80">
        <f>IF(ConsolidatedEventList!494:494,"AAAAAF6+/hI=",0)</f>
        <v>0</v>
      </c>
      <c r="T80" t="e">
        <f>AND(ConsolidatedEventList!A494,"AAAAAF6+/hM=")</f>
        <v>#VALUE!</v>
      </c>
      <c r="U80" t="e">
        <f>AND(ConsolidatedEventList!B494,"AAAAAF6+/hQ=")</f>
        <v>#VALUE!</v>
      </c>
      <c r="V80" t="e">
        <f>AND(ConsolidatedEventList!C494,"AAAAAF6+/hU=")</f>
        <v>#VALUE!</v>
      </c>
      <c r="W80" t="e">
        <f>AND(ConsolidatedEventList!D494,"AAAAAF6+/hY=")</f>
        <v>#VALUE!</v>
      </c>
      <c r="X80" t="e">
        <f>AND(ConsolidatedEventList!E494,"AAAAAF6+/hc=")</f>
        <v>#VALUE!</v>
      </c>
      <c r="Y80" t="e">
        <f>AND(ConsolidatedEventList!F494,"AAAAAF6+/hg=")</f>
        <v>#VALUE!</v>
      </c>
      <c r="Z80" t="e">
        <f>AND(ConsolidatedEventList!G494,"AAAAAF6+/hk=")</f>
        <v>#VALUE!</v>
      </c>
      <c r="AA80" t="e">
        <f>AND(ConsolidatedEventList!H494,"AAAAAF6+/ho=")</f>
        <v>#VALUE!</v>
      </c>
      <c r="AB80">
        <f>IF(ConsolidatedEventList!495:495,"AAAAAF6+/hs=",0)</f>
        <v>0</v>
      </c>
      <c r="AC80" t="e">
        <f>AND(ConsolidatedEventList!A495,"AAAAAF6+/hw=")</f>
        <v>#VALUE!</v>
      </c>
      <c r="AD80" t="e">
        <f>AND(ConsolidatedEventList!B495,"AAAAAF6+/h0=")</f>
        <v>#VALUE!</v>
      </c>
      <c r="AE80" t="e">
        <f>AND(ConsolidatedEventList!C495,"AAAAAF6+/h4=")</f>
        <v>#VALUE!</v>
      </c>
      <c r="AF80" t="e">
        <f>AND(ConsolidatedEventList!D495,"AAAAAF6+/h8=")</f>
        <v>#VALUE!</v>
      </c>
      <c r="AG80" t="e">
        <f>AND(ConsolidatedEventList!E495,"AAAAAF6+/iA=")</f>
        <v>#VALUE!</v>
      </c>
      <c r="AH80" t="e">
        <f>AND(ConsolidatedEventList!F495,"AAAAAF6+/iE=")</f>
        <v>#VALUE!</v>
      </c>
      <c r="AI80" t="e">
        <f>AND(ConsolidatedEventList!G495,"AAAAAF6+/iI=")</f>
        <v>#VALUE!</v>
      </c>
      <c r="AJ80" t="e">
        <f>AND(ConsolidatedEventList!H495,"AAAAAF6+/iM=")</f>
        <v>#VALUE!</v>
      </c>
      <c r="AK80">
        <f>IF(ConsolidatedEventList!496:496,"AAAAAF6+/iQ=",0)</f>
        <v>0</v>
      </c>
      <c r="AL80" t="e">
        <f>AND(ConsolidatedEventList!A496,"AAAAAF6+/iU=")</f>
        <v>#VALUE!</v>
      </c>
      <c r="AM80" t="e">
        <f>AND(ConsolidatedEventList!B496,"AAAAAF6+/iY=")</f>
        <v>#VALUE!</v>
      </c>
      <c r="AN80" t="e">
        <f>AND(ConsolidatedEventList!C496,"AAAAAF6+/ic=")</f>
        <v>#VALUE!</v>
      </c>
      <c r="AO80" t="e">
        <f>AND(ConsolidatedEventList!D496,"AAAAAF6+/ig=")</f>
        <v>#VALUE!</v>
      </c>
      <c r="AP80" t="e">
        <f>AND(ConsolidatedEventList!E496,"AAAAAF6+/ik=")</f>
        <v>#VALUE!</v>
      </c>
      <c r="AQ80" t="e">
        <f>AND(ConsolidatedEventList!F496,"AAAAAF6+/io=")</f>
        <v>#VALUE!</v>
      </c>
      <c r="AR80" t="e">
        <f>AND(ConsolidatedEventList!G496,"AAAAAF6+/is=")</f>
        <v>#VALUE!</v>
      </c>
      <c r="AS80" t="e">
        <f>AND(ConsolidatedEventList!H496,"AAAAAF6+/iw=")</f>
        <v>#VALUE!</v>
      </c>
      <c r="AT80" t="e">
        <f>IF(ConsolidatedEventList!#REF!,"AAAAAF6+/i0=",0)</f>
        <v>#REF!</v>
      </c>
      <c r="AU80" t="e">
        <f>AND(ConsolidatedEventList!#REF!,"AAAAAF6+/i4=")</f>
        <v>#REF!</v>
      </c>
      <c r="AV80" t="e">
        <f>AND(ConsolidatedEventList!#REF!,"AAAAAF6+/i8=")</f>
        <v>#REF!</v>
      </c>
      <c r="AW80" t="e">
        <f>AND(ConsolidatedEventList!#REF!,"AAAAAF6+/jA=")</f>
        <v>#REF!</v>
      </c>
      <c r="AX80" t="e">
        <f>AND(ConsolidatedEventList!#REF!,"AAAAAF6+/jE=")</f>
        <v>#REF!</v>
      </c>
      <c r="AY80" t="e">
        <f>AND(ConsolidatedEventList!#REF!,"AAAAAF6+/jI=")</f>
        <v>#REF!</v>
      </c>
      <c r="AZ80" t="e">
        <f>AND(ConsolidatedEventList!#REF!,"AAAAAF6+/jM=")</f>
        <v>#REF!</v>
      </c>
      <c r="BA80" t="e">
        <f>AND(ConsolidatedEventList!#REF!,"AAAAAF6+/jQ=")</f>
        <v>#REF!</v>
      </c>
      <c r="BB80" t="e">
        <f>AND(ConsolidatedEventList!#REF!,"AAAAAF6+/jU=")</f>
        <v>#REF!</v>
      </c>
      <c r="BC80" t="e">
        <f>IF(ConsolidatedEventList!#REF!,"AAAAAF6+/jY=",0)</f>
        <v>#REF!</v>
      </c>
      <c r="BD80" t="e">
        <f>AND(ConsolidatedEventList!#REF!,"AAAAAF6+/jc=")</f>
        <v>#REF!</v>
      </c>
      <c r="BE80" t="e">
        <f>AND(ConsolidatedEventList!#REF!,"AAAAAF6+/jg=")</f>
        <v>#REF!</v>
      </c>
      <c r="BF80" t="e">
        <f>AND(ConsolidatedEventList!#REF!,"AAAAAF6+/jk=")</f>
        <v>#REF!</v>
      </c>
      <c r="BG80" t="e">
        <f>AND(ConsolidatedEventList!#REF!,"AAAAAF6+/jo=")</f>
        <v>#REF!</v>
      </c>
      <c r="BH80" t="e">
        <f>AND(ConsolidatedEventList!#REF!,"AAAAAF6+/js=")</f>
        <v>#REF!</v>
      </c>
      <c r="BI80" t="e">
        <f>AND(ConsolidatedEventList!#REF!,"AAAAAF6+/jw=")</f>
        <v>#REF!</v>
      </c>
      <c r="BJ80" t="e">
        <f>AND(ConsolidatedEventList!#REF!,"AAAAAF6+/j0=")</f>
        <v>#REF!</v>
      </c>
      <c r="BK80" t="e">
        <f>AND(ConsolidatedEventList!#REF!,"AAAAAF6+/j4=")</f>
        <v>#REF!</v>
      </c>
      <c r="BL80">
        <f>IF(ConsolidatedEventList!497:497,"AAAAAF6+/j8=",0)</f>
        <v>0</v>
      </c>
      <c r="BM80" t="e">
        <f>AND(ConsolidatedEventList!A497,"AAAAAF6+/kA=")</f>
        <v>#VALUE!</v>
      </c>
      <c r="BN80" t="e">
        <f>AND(ConsolidatedEventList!B497,"AAAAAF6+/kE=")</f>
        <v>#VALUE!</v>
      </c>
      <c r="BO80" t="e">
        <f>AND(ConsolidatedEventList!C497,"AAAAAF6+/kI=")</f>
        <v>#VALUE!</v>
      </c>
      <c r="BP80" t="e">
        <f>AND(ConsolidatedEventList!D497,"AAAAAF6+/kM=")</f>
        <v>#VALUE!</v>
      </c>
      <c r="BQ80" t="e">
        <f>AND(ConsolidatedEventList!E497,"AAAAAF6+/kQ=")</f>
        <v>#VALUE!</v>
      </c>
      <c r="BR80" t="e">
        <f>AND(ConsolidatedEventList!F497,"AAAAAF6+/kU=")</f>
        <v>#VALUE!</v>
      </c>
      <c r="BS80" t="e">
        <f>AND(ConsolidatedEventList!G497,"AAAAAF6+/kY=")</f>
        <v>#VALUE!</v>
      </c>
      <c r="BT80" t="e">
        <f>AND(ConsolidatedEventList!H497,"AAAAAF6+/kc=")</f>
        <v>#VALUE!</v>
      </c>
      <c r="BU80">
        <f>IF(ConsolidatedEventList!498:498,"AAAAAF6+/kg=",0)</f>
        <v>0</v>
      </c>
      <c r="BV80" t="e">
        <f>AND(ConsolidatedEventList!A498,"AAAAAF6+/kk=")</f>
        <v>#VALUE!</v>
      </c>
      <c r="BW80" t="e">
        <f>AND(ConsolidatedEventList!B498,"AAAAAF6+/ko=")</f>
        <v>#VALUE!</v>
      </c>
      <c r="BX80" t="e">
        <f>AND(ConsolidatedEventList!C498,"AAAAAF6+/ks=")</f>
        <v>#VALUE!</v>
      </c>
      <c r="BY80" t="e">
        <f>AND(ConsolidatedEventList!D498,"AAAAAF6+/kw=")</f>
        <v>#VALUE!</v>
      </c>
      <c r="BZ80" t="e">
        <f>AND(ConsolidatedEventList!E498,"AAAAAF6+/k0=")</f>
        <v>#VALUE!</v>
      </c>
      <c r="CA80" t="e">
        <f>AND(ConsolidatedEventList!F498,"AAAAAF6+/k4=")</f>
        <v>#VALUE!</v>
      </c>
      <c r="CB80" t="e">
        <f>AND(ConsolidatedEventList!G498,"AAAAAF6+/k8=")</f>
        <v>#VALUE!</v>
      </c>
      <c r="CC80" t="e">
        <f>AND(ConsolidatedEventList!H498,"AAAAAF6+/lA=")</f>
        <v>#VALUE!</v>
      </c>
      <c r="CD80">
        <f>IF(ConsolidatedEventList!499:499,"AAAAAF6+/lE=",0)</f>
        <v>0</v>
      </c>
      <c r="CE80" t="e">
        <f>AND(ConsolidatedEventList!A499,"AAAAAF6+/lI=")</f>
        <v>#VALUE!</v>
      </c>
      <c r="CF80" t="e">
        <f>AND(ConsolidatedEventList!B499,"AAAAAF6+/lM=")</f>
        <v>#VALUE!</v>
      </c>
      <c r="CG80" t="e">
        <f>AND(ConsolidatedEventList!C499,"AAAAAF6+/lQ=")</f>
        <v>#VALUE!</v>
      </c>
      <c r="CH80" t="e">
        <f>AND(ConsolidatedEventList!D499,"AAAAAF6+/lU=")</f>
        <v>#VALUE!</v>
      </c>
      <c r="CI80" t="e">
        <f>AND(ConsolidatedEventList!E499,"AAAAAF6+/lY=")</f>
        <v>#VALUE!</v>
      </c>
      <c r="CJ80" t="e">
        <f>AND(ConsolidatedEventList!F499,"AAAAAF6+/lc=")</f>
        <v>#VALUE!</v>
      </c>
      <c r="CK80" t="e">
        <f>AND(ConsolidatedEventList!G499,"AAAAAF6+/lg=")</f>
        <v>#VALUE!</v>
      </c>
      <c r="CL80" t="e">
        <f>AND(ConsolidatedEventList!H499,"AAAAAF6+/lk=")</f>
        <v>#VALUE!</v>
      </c>
      <c r="CM80">
        <f>IF(ConsolidatedEventList!520:520,"AAAAAF6+/lo=",0)</f>
        <v>0</v>
      </c>
      <c r="CN80" t="e">
        <f>AND(ConsolidatedEventList!A520,"AAAAAF6+/ls=")</f>
        <v>#VALUE!</v>
      </c>
      <c r="CO80" t="e">
        <f>AND(ConsolidatedEventList!B520,"AAAAAF6+/lw=")</f>
        <v>#VALUE!</v>
      </c>
      <c r="CP80" t="e">
        <f>AND(ConsolidatedEventList!C520,"AAAAAF6+/l0=")</f>
        <v>#VALUE!</v>
      </c>
      <c r="CQ80" t="e">
        <f>AND(ConsolidatedEventList!D520,"AAAAAF6+/l4=")</f>
        <v>#VALUE!</v>
      </c>
      <c r="CR80" t="e">
        <f>AND(ConsolidatedEventList!E520,"AAAAAF6+/l8=")</f>
        <v>#VALUE!</v>
      </c>
      <c r="CS80" t="e">
        <f>AND(ConsolidatedEventList!F520,"AAAAAF6+/mA=")</f>
        <v>#VALUE!</v>
      </c>
      <c r="CT80" t="e">
        <f>AND(ConsolidatedEventList!G520,"AAAAAF6+/mE=")</f>
        <v>#VALUE!</v>
      </c>
      <c r="CU80" t="e">
        <f>AND(ConsolidatedEventList!H520,"AAAAAF6+/mI=")</f>
        <v>#VALUE!</v>
      </c>
      <c r="CV80">
        <f>IF(ConsolidatedEventList!521:521,"AAAAAF6+/mM=",0)</f>
        <v>0</v>
      </c>
      <c r="CW80" t="e">
        <f>AND(ConsolidatedEventList!A521,"AAAAAF6+/mQ=")</f>
        <v>#VALUE!</v>
      </c>
      <c r="CX80" t="e">
        <f>AND(ConsolidatedEventList!B521,"AAAAAF6+/mU=")</f>
        <v>#VALUE!</v>
      </c>
      <c r="CY80" t="e">
        <f>AND(ConsolidatedEventList!C521,"AAAAAF6+/mY=")</f>
        <v>#VALUE!</v>
      </c>
      <c r="CZ80" t="e">
        <f>AND(ConsolidatedEventList!D521,"AAAAAF6+/mc=")</f>
        <v>#VALUE!</v>
      </c>
      <c r="DA80" t="e">
        <f>AND(ConsolidatedEventList!E521,"AAAAAF6+/mg=")</f>
        <v>#VALUE!</v>
      </c>
      <c r="DB80" t="e">
        <f>AND(ConsolidatedEventList!F521,"AAAAAF6+/mk=")</f>
        <v>#VALUE!</v>
      </c>
      <c r="DC80" t="e">
        <f>AND(ConsolidatedEventList!G521,"AAAAAF6+/mo=")</f>
        <v>#VALUE!</v>
      </c>
      <c r="DD80" t="e">
        <f>AND(ConsolidatedEventList!H521,"AAAAAF6+/ms=")</f>
        <v>#VALUE!</v>
      </c>
      <c r="DE80">
        <f>IF(ConsolidatedEventList!522:522,"AAAAAF6+/mw=",0)</f>
        <v>0</v>
      </c>
      <c r="DF80" t="e">
        <f>AND(ConsolidatedEventList!A522,"AAAAAF6+/m0=")</f>
        <v>#VALUE!</v>
      </c>
      <c r="DG80" t="e">
        <f>AND(ConsolidatedEventList!B522,"AAAAAF6+/m4=")</f>
        <v>#VALUE!</v>
      </c>
      <c r="DH80" t="e">
        <f>AND(ConsolidatedEventList!C522,"AAAAAF6+/m8=")</f>
        <v>#VALUE!</v>
      </c>
      <c r="DI80" t="e">
        <f>AND(ConsolidatedEventList!D522,"AAAAAF6+/nA=")</f>
        <v>#VALUE!</v>
      </c>
      <c r="DJ80" t="e">
        <f>AND(ConsolidatedEventList!E522,"AAAAAF6+/nE=")</f>
        <v>#VALUE!</v>
      </c>
      <c r="DK80" t="e">
        <f>AND(ConsolidatedEventList!F522,"AAAAAF6+/nI=")</f>
        <v>#VALUE!</v>
      </c>
      <c r="DL80" t="e">
        <f>AND(ConsolidatedEventList!G522,"AAAAAF6+/nM=")</f>
        <v>#VALUE!</v>
      </c>
      <c r="DM80" t="e">
        <f>AND(ConsolidatedEventList!H522,"AAAAAF6+/nQ=")</f>
        <v>#VALUE!</v>
      </c>
      <c r="DN80">
        <f>IF(ConsolidatedEventList!523:523,"AAAAAF6+/nU=",0)</f>
        <v>0</v>
      </c>
      <c r="DO80" t="e">
        <f>AND(ConsolidatedEventList!A523,"AAAAAF6+/nY=")</f>
        <v>#VALUE!</v>
      </c>
      <c r="DP80" t="e">
        <f>AND(ConsolidatedEventList!B523,"AAAAAF6+/nc=")</f>
        <v>#VALUE!</v>
      </c>
      <c r="DQ80" t="e">
        <f>AND(ConsolidatedEventList!C523,"AAAAAF6+/ng=")</f>
        <v>#VALUE!</v>
      </c>
      <c r="DR80" t="e">
        <f>AND(ConsolidatedEventList!D523,"AAAAAF6+/nk=")</f>
        <v>#VALUE!</v>
      </c>
      <c r="DS80" t="e">
        <f>AND(ConsolidatedEventList!E523,"AAAAAF6+/no=")</f>
        <v>#VALUE!</v>
      </c>
      <c r="DT80" t="e">
        <f>AND(ConsolidatedEventList!F523,"AAAAAF6+/ns=")</f>
        <v>#VALUE!</v>
      </c>
      <c r="DU80" t="e">
        <f>AND(ConsolidatedEventList!G523,"AAAAAF6+/nw=")</f>
        <v>#VALUE!</v>
      </c>
      <c r="DV80" t="e">
        <f>AND(ConsolidatedEventList!H523,"AAAAAF6+/n0=")</f>
        <v>#VALUE!</v>
      </c>
      <c r="DW80">
        <f>IF(ConsolidatedEventList!524:524,"AAAAAF6+/n4=",0)</f>
        <v>0</v>
      </c>
      <c r="DX80" t="e">
        <f>AND(ConsolidatedEventList!A524,"AAAAAF6+/n8=")</f>
        <v>#VALUE!</v>
      </c>
      <c r="DY80" t="e">
        <f>AND(ConsolidatedEventList!B524,"AAAAAF6+/oA=")</f>
        <v>#VALUE!</v>
      </c>
      <c r="DZ80" t="e">
        <f>AND(ConsolidatedEventList!C524,"AAAAAF6+/oE=")</f>
        <v>#VALUE!</v>
      </c>
      <c r="EA80" t="e">
        <f>AND(ConsolidatedEventList!D524,"AAAAAF6+/oI=")</f>
        <v>#VALUE!</v>
      </c>
      <c r="EB80" t="e">
        <f>AND(ConsolidatedEventList!E524,"AAAAAF6+/oM=")</f>
        <v>#VALUE!</v>
      </c>
      <c r="EC80" t="e">
        <f>AND(ConsolidatedEventList!F524,"AAAAAF6+/oQ=")</f>
        <v>#VALUE!</v>
      </c>
      <c r="ED80" t="e">
        <f>AND(ConsolidatedEventList!G524,"AAAAAF6+/oU=")</f>
        <v>#VALUE!</v>
      </c>
      <c r="EE80" t="e">
        <f>AND(ConsolidatedEventList!H524,"AAAAAF6+/oY=")</f>
        <v>#VALUE!</v>
      </c>
      <c r="EF80">
        <f>IF(ConsolidatedEventList!525:525,"AAAAAF6+/oc=",0)</f>
        <v>0</v>
      </c>
      <c r="EG80" t="e">
        <f>AND(ConsolidatedEventList!A525,"AAAAAF6+/og=")</f>
        <v>#VALUE!</v>
      </c>
      <c r="EH80" t="e">
        <f>AND(ConsolidatedEventList!B525,"AAAAAF6+/ok=")</f>
        <v>#VALUE!</v>
      </c>
      <c r="EI80" t="e">
        <f>AND(ConsolidatedEventList!C525,"AAAAAF6+/oo=")</f>
        <v>#VALUE!</v>
      </c>
      <c r="EJ80" t="e">
        <f>AND(ConsolidatedEventList!D525,"AAAAAF6+/os=")</f>
        <v>#VALUE!</v>
      </c>
      <c r="EK80" t="e">
        <f>AND(ConsolidatedEventList!E525,"AAAAAF6+/ow=")</f>
        <v>#VALUE!</v>
      </c>
      <c r="EL80" t="e">
        <f>AND(ConsolidatedEventList!F525,"AAAAAF6+/o0=")</f>
        <v>#VALUE!</v>
      </c>
      <c r="EM80" t="e">
        <f>AND(ConsolidatedEventList!G525,"AAAAAF6+/o4=")</f>
        <v>#VALUE!</v>
      </c>
      <c r="EN80" t="e">
        <f>AND(ConsolidatedEventList!H525,"AAAAAF6+/o8=")</f>
        <v>#VALUE!</v>
      </c>
      <c r="EO80">
        <f>IF(ConsolidatedEventList!526:526,"AAAAAF6+/pA=",0)</f>
        <v>0</v>
      </c>
      <c r="EP80" t="e">
        <f>AND(ConsolidatedEventList!A526,"AAAAAF6+/pE=")</f>
        <v>#VALUE!</v>
      </c>
      <c r="EQ80" t="e">
        <f>AND(ConsolidatedEventList!B526,"AAAAAF6+/pI=")</f>
        <v>#VALUE!</v>
      </c>
      <c r="ER80" t="e">
        <f>AND(ConsolidatedEventList!C526,"AAAAAF6+/pM=")</f>
        <v>#VALUE!</v>
      </c>
      <c r="ES80" t="e">
        <f>AND(ConsolidatedEventList!D526,"AAAAAF6+/pQ=")</f>
        <v>#VALUE!</v>
      </c>
      <c r="ET80" t="e">
        <f>AND(ConsolidatedEventList!E526,"AAAAAF6+/pU=")</f>
        <v>#VALUE!</v>
      </c>
      <c r="EU80" t="e">
        <f>AND(ConsolidatedEventList!F526,"AAAAAF6+/pY=")</f>
        <v>#VALUE!</v>
      </c>
      <c r="EV80" t="e">
        <f>AND(ConsolidatedEventList!G526,"AAAAAF6+/pc=")</f>
        <v>#VALUE!</v>
      </c>
      <c r="EW80" t="e">
        <f>AND(ConsolidatedEventList!H526,"AAAAAF6+/pg=")</f>
        <v>#VALUE!</v>
      </c>
      <c r="EX80">
        <f>IF(ConsolidatedEventList!527:527,"AAAAAF6+/pk=",0)</f>
        <v>0</v>
      </c>
      <c r="EY80" t="e">
        <f>AND(ConsolidatedEventList!A527,"AAAAAF6+/po=")</f>
        <v>#VALUE!</v>
      </c>
      <c r="EZ80" t="e">
        <f>AND(ConsolidatedEventList!B527,"AAAAAF6+/ps=")</f>
        <v>#VALUE!</v>
      </c>
      <c r="FA80" t="e">
        <f>AND(ConsolidatedEventList!C527,"AAAAAF6+/pw=")</f>
        <v>#VALUE!</v>
      </c>
      <c r="FB80" t="e">
        <f>AND(ConsolidatedEventList!D527,"AAAAAF6+/p0=")</f>
        <v>#VALUE!</v>
      </c>
      <c r="FC80" t="e">
        <f>AND(ConsolidatedEventList!E527,"AAAAAF6+/p4=")</f>
        <v>#VALUE!</v>
      </c>
      <c r="FD80" t="e">
        <f>AND(ConsolidatedEventList!F527,"AAAAAF6+/p8=")</f>
        <v>#VALUE!</v>
      </c>
      <c r="FE80" t="e">
        <f>AND(ConsolidatedEventList!G527,"AAAAAF6+/qA=")</f>
        <v>#VALUE!</v>
      </c>
      <c r="FF80" t="e">
        <f>AND(ConsolidatedEventList!H527,"AAAAAF6+/qE=")</f>
        <v>#VALUE!</v>
      </c>
      <c r="FG80">
        <f>IF(ConsolidatedEventList!528:528,"AAAAAF6+/qI=",0)</f>
        <v>0</v>
      </c>
      <c r="FH80" t="e">
        <f>AND(ConsolidatedEventList!A528,"AAAAAF6+/qM=")</f>
        <v>#VALUE!</v>
      </c>
      <c r="FI80" t="e">
        <f>AND(ConsolidatedEventList!B528,"AAAAAF6+/qQ=")</f>
        <v>#VALUE!</v>
      </c>
      <c r="FJ80" t="e">
        <f>AND(ConsolidatedEventList!C528,"AAAAAF6+/qU=")</f>
        <v>#VALUE!</v>
      </c>
      <c r="FK80" t="e">
        <f>AND(ConsolidatedEventList!D528,"AAAAAF6+/qY=")</f>
        <v>#VALUE!</v>
      </c>
      <c r="FL80" t="e">
        <f>AND(ConsolidatedEventList!E528,"AAAAAF6+/qc=")</f>
        <v>#VALUE!</v>
      </c>
      <c r="FM80" t="e">
        <f>AND(ConsolidatedEventList!F528,"AAAAAF6+/qg=")</f>
        <v>#VALUE!</v>
      </c>
      <c r="FN80" t="e">
        <f>AND(ConsolidatedEventList!G528,"AAAAAF6+/qk=")</f>
        <v>#VALUE!</v>
      </c>
      <c r="FO80" t="e">
        <f>AND(ConsolidatedEventList!H528,"AAAAAF6+/qo=")</f>
        <v>#VALUE!</v>
      </c>
      <c r="FP80">
        <f>IF(ConsolidatedEventList!529:529,"AAAAAF6+/qs=",0)</f>
        <v>0</v>
      </c>
      <c r="FQ80" t="e">
        <f>AND(ConsolidatedEventList!A529,"AAAAAF6+/qw=")</f>
        <v>#VALUE!</v>
      </c>
      <c r="FR80" t="e">
        <f>AND(ConsolidatedEventList!B529,"AAAAAF6+/q0=")</f>
        <v>#VALUE!</v>
      </c>
      <c r="FS80" t="e">
        <f>AND(ConsolidatedEventList!C529,"AAAAAF6+/q4=")</f>
        <v>#VALUE!</v>
      </c>
      <c r="FT80" t="e">
        <f>AND(ConsolidatedEventList!D529,"AAAAAF6+/q8=")</f>
        <v>#VALUE!</v>
      </c>
      <c r="FU80" t="e">
        <f>AND(ConsolidatedEventList!E529,"AAAAAF6+/rA=")</f>
        <v>#VALUE!</v>
      </c>
      <c r="FV80" t="e">
        <f>AND(ConsolidatedEventList!F529,"AAAAAF6+/rE=")</f>
        <v>#VALUE!</v>
      </c>
      <c r="FW80" t="e">
        <f>AND(ConsolidatedEventList!G529,"AAAAAF6+/rI=")</f>
        <v>#VALUE!</v>
      </c>
      <c r="FX80" t="e">
        <f>AND(ConsolidatedEventList!H529,"AAAAAF6+/rM=")</f>
        <v>#VALUE!</v>
      </c>
      <c r="FY80">
        <f>IF(ConsolidatedEventList!530:530,"AAAAAF6+/rQ=",0)</f>
        <v>0</v>
      </c>
      <c r="FZ80" t="e">
        <f>AND(ConsolidatedEventList!A530,"AAAAAF6+/rU=")</f>
        <v>#VALUE!</v>
      </c>
      <c r="GA80" t="e">
        <f>AND(ConsolidatedEventList!B530,"AAAAAF6+/rY=")</f>
        <v>#VALUE!</v>
      </c>
      <c r="GB80" t="e">
        <f>AND(ConsolidatedEventList!C530,"AAAAAF6+/rc=")</f>
        <v>#VALUE!</v>
      </c>
      <c r="GC80" t="e">
        <f>AND(ConsolidatedEventList!D530,"AAAAAF6+/rg=")</f>
        <v>#VALUE!</v>
      </c>
      <c r="GD80" t="e">
        <f>AND(ConsolidatedEventList!E530,"AAAAAF6+/rk=")</f>
        <v>#VALUE!</v>
      </c>
      <c r="GE80" t="e">
        <f>AND(ConsolidatedEventList!F530,"AAAAAF6+/ro=")</f>
        <v>#VALUE!</v>
      </c>
      <c r="GF80" t="e">
        <f>AND(ConsolidatedEventList!G530,"AAAAAF6+/rs=")</f>
        <v>#VALUE!</v>
      </c>
      <c r="GG80" t="e">
        <f>AND(ConsolidatedEventList!H530,"AAAAAF6+/rw=")</f>
        <v>#VALUE!</v>
      </c>
      <c r="GH80">
        <f>IF(ConsolidatedEventList!531:531,"AAAAAF6+/r0=",0)</f>
        <v>0</v>
      </c>
      <c r="GI80" t="e">
        <f>AND(ConsolidatedEventList!A531,"AAAAAF6+/r4=")</f>
        <v>#VALUE!</v>
      </c>
      <c r="GJ80" t="e">
        <f>AND(ConsolidatedEventList!B531,"AAAAAF6+/r8=")</f>
        <v>#VALUE!</v>
      </c>
      <c r="GK80" t="e">
        <f>AND(ConsolidatedEventList!C531,"AAAAAF6+/sA=")</f>
        <v>#VALUE!</v>
      </c>
      <c r="GL80" t="e">
        <f>AND(ConsolidatedEventList!D531,"AAAAAF6+/sE=")</f>
        <v>#VALUE!</v>
      </c>
      <c r="GM80" t="e">
        <f>AND(ConsolidatedEventList!E531,"AAAAAF6+/sI=")</f>
        <v>#VALUE!</v>
      </c>
      <c r="GN80" t="e">
        <f>AND(ConsolidatedEventList!F531,"AAAAAF6+/sM=")</f>
        <v>#VALUE!</v>
      </c>
      <c r="GO80" t="e">
        <f>AND(ConsolidatedEventList!G531,"AAAAAF6+/sQ=")</f>
        <v>#VALUE!</v>
      </c>
      <c r="GP80" t="e">
        <f>AND(ConsolidatedEventList!H531,"AAAAAF6+/sU=")</f>
        <v>#VALUE!</v>
      </c>
      <c r="GQ80">
        <f>IF(ConsolidatedEventList!532:532,"AAAAAF6+/sY=",0)</f>
        <v>0</v>
      </c>
      <c r="GR80" t="e">
        <f>AND(ConsolidatedEventList!A532,"AAAAAF6+/sc=")</f>
        <v>#VALUE!</v>
      </c>
      <c r="GS80" t="e">
        <f>AND(ConsolidatedEventList!B532,"AAAAAF6+/sg=")</f>
        <v>#VALUE!</v>
      </c>
      <c r="GT80" t="e">
        <f>AND(ConsolidatedEventList!C532,"AAAAAF6+/sk=")</f>
        <v>#VALUE!</v>
      </c>
      <c r="GU80" t="e">
        <f>AND(ConsolidatedEventList!D532,"AAAAAF6+/so=")</f>
        <v>#VALUE!</v>
      </c>
      <c r="GV80" t="e">
        <f>AND(ConsolidatedEventList!E532,"AAAAAF6+/ss=")</f>
        <v>#VALUE!</v>
      </c>
      <c r="GW80" t="e">
        <f>AND(ConsolidatedEventList!F532,"AAAAAF6+/sw=")</f>
        <v>#VALUE!</v>
      </c>
      <c r="GX80" t="e">
        <f>AND(ConsolidatedEventList!G532,"AAAAAF6+/s0=")</f>
        <v>#VALUE!</v>
      </c>
      <c r="GY80" t="e">
        <f>AND(ConsolidatedEventList!H532,"AAAAAF6+/s4=")</f>
        <v>#VALUE!</v>
      </c>
      <c r="GZ80">
        <f>IF(ConsolidatedEventList!533:533,"AAAAAF6+/s8=",0)</f>
        <v>0</v>
      </c>
      <c r="HA80" t="e">
        <f>AND(ConsolidatedEventList!A533,"AAAAAF6+/tA=")</f>
        <v>#VALUE!</v>
      </c>
      <c r="HB80" t="e">
        <f>AND(ConsolidatedEventList!B533,"AAAAAF6+/tE=")</f>
        <v>#VALUE!</v>
      </c>
      <c r="HC80" t="e">
        <f>AND(ConsolidatedEventList!C533,"AAAAAF6+/tI=")</f>
        <v>#VALUE!</v>
      </c>
      <c r="HD80" t="e">
        <f>AND(ConsolidatedEventList!D533,"AAAAAF6+/tM=")</f>
        <v>#VALUE!</v>
      </c>
      <c r="HE80" t="e">
        <f>AND(ConsolidatedEventList!E533,"AAAAAF6+/tQ=")</f>
        <v>#VALUE!</v>
      </c>
      <c r="HF80" t="e">
        <f>AND(ConsolidatedEventList!F533,"AAAAAF6+/tU=")</f>
        <v>#VALUE!</v>
      </c>
      <c r="HG80" t="e">
        <f>AND(ConsolidatedEventList!G533,"AAAAAF6+/tY=")</f>
        <v>#VALUE!</v>
      </c>
      <c r="HH80" t="e">
        <f>AND(ConsolidatedEventList!H533,"AAAAAF6+/tc=")</f>
        <v>#VALUE!</v>
      </c>
      <c r="HI80">
        <f>IF(ConsolidatedEventList!534:534,"AAAAAF6+/tg=",0)</f>
        <v>0</v>
      </c>
      <c r="HJ80" t="e">
        <f>AND(ConsolidatedEventList!A534,"AAAAAF6+/tk=")</f>
        <v>#VALUE!</v>
      </c>
      <c r="HK80" t="e">
        <f>AND(ConsolidatedEventList!B534,"AAAAAF6+/to=")</f>
        <v>#VALUE!</v>
      </c>
      <c r="HL80" t="e">
        <f>AND(ConsolidatedEventList!C534,"AAAAAF6+/ts=")</f>
        <v>#VALUE!</v>
      </c>
      <c r="HM80" t="e">
        <f>AND(ConsolidatedEventList!D534,"AAAAAF6+/tw=")</f>
        <v>#VALUE!</v>
      </c>
      <c r="HN80" t="e">
        <f>AND(ConsolidatedEventList!E534,"AAAAAF6+/t0=")</f>
        <v>#VALUE!</v>
      </c>
      <c r="HO80" t="e">
        <f>AND(ConsolidatedEventList!F534,"AAAAAF6+/t4=")</f>
        <v>#VALUE!</v>
      </c>
      <c r="HP80" t="e">
        <f>AND(ConsolidatedEventList!G534,"AAAAAF6+/t8=")</f>
        <v>#VALUE!</v>
      </c>
      <c r="HQ80" t="e">
        <f>AND(ConsolidatedEventList!H534,"AAAAAF6+/uA=")</f>
        <v>#VALUE!</v>
      </c>
      <c r="HR80">
        <f>IF(ConsolidatedEventList!535:535,"AAAAAF6+/uE=",0)</f>
        <v>0</v>
      </c>
      <c r="HS80" t="e">
        <f>AND(ConsolidatedEventList!A535,"AAAAAF6+/uI=")</f>
        <v>#VALUE!</v>
      </c>
      <c r="HT80" t="e">
        <f>AND(ConsolidatedEventList!B535,"AAAAAF6+/uM=")</f>
        <v>#VALUE!</v>
      </c>
      <c r="HU80" t="e">
        <f>AND(ConsolidatedEventList!C535,"AAAAAF6+/uQ=")</f>
        <v>#VALUE!</v>
      </c>
      <c r="HV80" t="e">
        <f>AND(ConsolidatedEventList!D535,"AAAAAF6+/uU=")</f>
        <v>#VALUE!</v>
      </c>
      <c r="HW80" t="e">
        <f>AND(ConsolidatedEventList!E535,"AAAAAF6+/uY=")</f>
        <v>#VALUE!</v>
      </c>
      <c r="HX80" t="e">
        <f>AND(ConsolidatedEventList!F535,"AAAAAF6+/uc=")</f>
        <v>#VALUE!</v>
      </c>
      <c r="HY80" t="e">
        <f>AND(ConsolidatedEventList!G535,"AAAAAF6+/ug=")</f>
        <v>#VALUE!</v>
      </c>
      <c r="HZ80" t="e">
        <f>AND(ConsolidatedEventList!H535,"AAAAAF6+/uk=")</f>
        <v>#VALUE!</v>
      </c>
      <c r="IA80">
        <f>IF(ConsolidatedEventList!536:536,"AAAAAF6+/uo=",0)</f>
        <v>0</v>
      </c>
      <c r="IB80" t="e">
        <f>AND(ConsolidatedEventList!A536,"AAAAAF6+/us=")</f>
        <v>#VALUE!</v>
      </c>
      <c r="IC80" t="e">
        <f>AND(ConsolidatedEventList!B536,"AAAAAF6+/uw=")</f>
        <v>#VALUE!</v>
      </c>
      <c r="ID80" t="e">
        <f>AND(ConsolidatedEventList!C536,"AAAAAF6+/u0=")</f>
        <v>#VALUE!</v>
      </c>
      <c r="IE80" t="e">
        <f>AND(ConsolidatedEventList!D536,"AAAAAF6+/u4=")</f>
        <v>#VALUE!</v>
      </c>
      <c r="IF80" t="e">
        <f>AND(ConsolidatedEventList!E536,"AAAAAF6+/u8=")</f>
        <v>#VALUE!</v>
      </c>
      <c r="IG80" t="e">
        <f>AND(ConsolidatedEventList!F536,"AAAAAF6+/vA=")</f>
        <v>#VALUE!</v>
      </c>
      <c r="IH80" t="e">
        <f>AND(ConsolidatedEventList!G536,"AAAAAF6+/vE=")</f>
        <v>#VALUE!</v>
      </c>
      <c r="II80" t="e">
        <f>AND(ConsolidatedEventList!H536,"AAAAAF6+/vI=")</f>
        <v>#VALUE!</v>
      </c>
      <c r="IJ80" t="e">
        <f>IF(ConsolidatedEventList!#REF!,"AAAAAF6+/vM=",0)</f>
        <v>#REF!</v>
      </c>
      <c r="IK80" t="e">
        <f>AND(ConsolidatedEventList!#REF!,"AAAAAF6+/vQ=")</f>
        <v>#REF!</v>
      </c>
      <c r="IL80" t="e">
        <f>AND(ConsolidatedEventList!#REF!,"AAAAAF6+/vU=")</f>
        <v>#REF!</v>
      </c>
      <c r="IM80" t="e">
        <f>AND(ConsolidatedEventList!#REF!,"AAAAAF6+/vY=")</f>
        <v>#REF!</v>
      </c>
      <c r="IN80" t="e">
        <f>AND(ConsolidatedEventList!#REF!,"AAAAAF6+/vc=")</f>
        <v>#REF!</v>
      </c>
      <c r="IO80" t="e">
        <f>AND(ConsolidatedEventList!#REF!,"AAAAAF6+/vg=")</f>
        <v>#REF!</v>
      </c>
      <c r="IP80" t="e">
        <f>AND(ConsolidatedEventList!#REF!,"AAAAAF6+/vk=")</f>
        <v>#REF!</v>
      </c>
      <c r="IQ80" t="e">
        <f>AND(ConsolidatedEventList!#REF!,"AAAAAF6+/vo=")</f>
        <v>#REF!</v>
      </c>
      <c r="IR80" t="e">
        <f>AND(ConsolidatedEventList!#REF!,"AAAAAF6+/vs=")</f>
        <v>#REF!</v>
      </c>
      <c r="IS80" t="e">
        <f>IF(ConsolidatedEventList!#REF!,"AAAAAF6+/vw=",0)</f>
        <v>#REF!</v>
      </c>
      <c r="IT80" t="e">
        <f>AND(ConsolidatedEventList!#REF!,"AAAAAF6+/v0=")</f>
        <v>#REF!</v>
      </c>
      <c r="IU80" t="e">
        <f>AND(ConsolidatedEventList!#REF!,"AAAAAF6+/v4=")</f>
        <v>#REF!</v>
      </c>
      <c r="IV80" t="e">
        <f>AND(ConsolidatedEventList!#REF!,"AAAAAF6+/v8=")</f>
        <v>#REF!</v>
      </c>
    </row>
    <row r="81" spans="1:256" x14ac:dyDescent="0.25">
      <c r="A81" t="e">
        <f>AND(ConsolidatedEventList!#REF!,"AAAAACr11wA=")</f>
        <v>#REF!</v>
      </c>
      <c r="B81" t="e">
        <f>AND(ConsolidatedEventList!#REF!,"AAAAACr11wE=")</f>
        <v>#REF!</v>
      </c>
      <c r="C81" t="e">
        <f>AND(ConsolidatedEventList!#REF!,"AAAAACr11wI=")</f>
        <v>#REF!</v>
      </c>
      <c r="D81" t="e">
        <f>AND(ConsolidatedEventList!#REF!,"AAAAACr11wM=")</f>
        <v>#REF!</v>
      </c>
      <c r="E81" t="e">
        <f>AND(ConsolidatedEventList!#REF!,"AAAAACr11wQ=")</f>
        <v>#REF!</v>
      </c>
      <c r="F81">
        <f>IF(ConsolidatedEventList!537:537,"AAAAACr11wU=",0)</f>
        <v>0</v>
      </c>
      <c r="G81" t="e">
        <f>AND(ConsolidatedEventList!A537,"AAAAACr11wY=")</f>
        <v>#VALUE!</v>
      </c>
      <c r="H81" t="e">
        <f>AND(ConsolidatedEventList!B537,"AAAAACr11wc=")</f>
        <v>#VALUE!</v>
      </c>
      <c r="I81" t="e">
        <f>AND(ConsolidatedEventList!C537,"AAAAACr11wg=")</f>
        <v>#VALUE!</v>
      </c>
      <c r="J81" t="e">
        <f>AND(ConsolidatedEventList!D537,"AAAAACr11wk=")</f>
        <v>#VALUE!</v>
      </c>
      <c r="K81" t="e">
        <f>AND(ConsolidatedEventList!E537,"AAAAACr11wo=")</f>
        <v>#VALUE!</v>
      </c>
      <c r="L81" t="e">
        <f>AND(ConsolidatedEventList!F537,"AAAAACr11ws=")</f>
        <v>#VALUE!</v>
      </c>
      <c r="M81" t="e">
        <f>AND(ConsolidatedEventList!G537,"AAAAACr11ww=")</f>
        <v>#VALUE!</v>
      </c>
      <c r="N81" t="e">
        <f>AND(ConsolidatedEventList!H537,"AAAAACr11w0=")</f>
        <v>#VALUE!</v>
      </c>
      <c r="O81">
        <f>IF(ConsolidatedEventList!538:538,"AAAAACr11w4=",0)</f>
        <v>0</v>
      </c>
      <c r="P81" t="e">
        <f>AND(ConsolidatedEventList!A538,"AAAAACr11w8=")</f>
        <v>#VALUE!</v>
      </c>
      <c r="Q81" t="e">
        <f>AND(ConsolidatedEventList!B538,"AAAAACr11xA=")</f>
        <v>#VALUE!</v>
      </c>
      <c r="R81" t="e">
        <f>AND(ConsolidatedEventList!C538,"AAAAACr11xE=")</f>
        <v>#VALUE!</v>
      </c>
      <c r="S81" t="e">
        <f>AND(ConsolidatedEventList!D538,"AAAAACr11xI=")</f>
        <v>#VALUE!</v>
      </c>
      <c r="T81" t="e">
        <f>AND(ConsolidatedEventList!E538,"AAAAACr11xM=")</f>
        <v>#VALUE!</v>
      </c>
      <c r="U81" t="e">
        <f>AND(ConsolidatedEventList!F538,"AAAAACr11xQ=")</f>
        <v>#VALUE!</v>
      </c>
      <c r="V81" t="e">
        <f>AND(ConsolidatedEventList!G538,"AAAAACr11xU=")</f>
        <v>#VALUE!</v>
      </c>
      <c r="W81" t="e">
        <f>AND(ConsolidatedEventList!H538,"AAAAACr11xY=")</f>
        <v>#VALUE!</v>
      </c>
      <c r="X81">
        <f>IF(ConsolidatedEventList!539:539,"AAAAACr11xc=",0)</f>
        <v>0</v>
      </c>
      <c r="Y81" t="e">
        <f>AND(ConsolidatedEventList!A539,"AAAAACr11xg=")</f>
        <v>#VALUE!</v>
      </c>
      <c r="Z81" t="e">
        <f>AND(ConsolidatedEventList!B539,"AAAAACr11xk=")</f>
        <v>#VALUE!</v>
      </c>
      <c r="AA81" t="e">
        <f>AND(ConsolidatedEventList!C539,"AAAAACr11xo=")</f>
        <v>#VALUE!</v>
      </c>
      <c r="AB81" t="e">
        <f>AND(ConsolidatedEventList!D539,"AAAAACr11xs=")</f>
        <v>#VALUE!</v>
      </c>
      <c r="AC81" t="e">
        <f>AND(ConsolidatedEventList!E539,"AAAAACr11xw=")</f>
        <v>#VALUE!</v>
      </c>
      <c r="AD81" t="e">
        <f>AND(ConsolidatedEventList!F539,"AAAAACr11x0=")</f>
        <v>#VALUE!</v>
      </c>
      <c r="AE81" t="e">
        <f>AND(ConsolidatedEventList!G539,"AAAAACr11x4=")</f>
        <v>#VALUE!</v>
      </c>
      <c r="AF81" t="e">
        <f>AND(ConsolidatedEventList!H539,"AAAAACr11x8=")</f>
        <v>#VALUE!</v>
      </c>
      <c r="AG81">
        <f>IF(ConsolidatedEventList!540:540,"AAAAACr11yA=",0)</f>
        <v>0</v>
      </c>
      <c r="AH81" t="e">
        <f>AND(ConsolidatedEventList!A540,"AAAAACr11yE=")</f>
        <v>#VALUE!</v>
      </c>
      <c r="AI81" t="e">
        <f>AND(ConsolidatedEventList!B540,"AAAAACr11yI=")</f>
        <v>#VALUE!</v>
      </c>
      <c r="AJ81" t="e">
        <f>AND(ConsolidatedEventList!C540,"AAAAACr11yM=")</f>
        <v>#VALUE!</v>
      </c>
      <c r="AK81" t="e">
        <f>AND(ConsolidatedEventList!D540,"AAAAACr11yQ=")</f>
        <v>#VALUE!</v>
      </c>
      <c r="AL81" t="e">
        <f>AND(ConsolidatedEventList!E540,"AAAAACr11yU=")</f>
        <v>#VALUE!</v>
      </c>
      <c r="AM81" t="e">
        <f>AND(ConsolidatedEventList!F540,"AAAAACr11yY=")</f>
        <v>#VALUE!</v>
      </c>
      <c r="AN81" t="e">
        <f>AND(ConsolidatedEventList!G540,"AAAAACr11yc=")</f>
        <v>#VALUE!</v>
      </c>
      <c r="AO81" t="e">
        <f>AND(ConsolidatedEventList!H540,"AAAAACr11yg=")</f>
        <v>#VALUE!</v>
      </c>
      <c r="AP81">
        <f>IF(ConsolidatedEventList!541:541,"AAAAACr11yk=",0)</f>
        <v>0</v>
      </c>
      <c r="AQ81" t="e">
        <f>AND(ConsolidatedEventList!A541,"AAAAACr11yo=")</f>
        <v>#VALUE!</v>
      </c>
      <c r="AR81" t="e">
        <f>AND(ConsolidatedEventList!B541,"AAAAACr11ys=")</f>
        <v>#VALUE!</v>
      </c>
      <c r="AS81" t="e">
        <f>AND(ConsolidatedEventList!C541,"AAAAACr11yw=")</f>
        <v>#VALUE!</v>
      </c>
      <c r="AT81" t="e">
        <f>AND(ConsolidatedEventList!D541,"AAAAACr11y0=")</f>
        <v>#VALUE!</v>
      </c>
      <c r="AU81" t="e">
        <f>AND(ConsolidatedEventList!E541,"AAAAACr11y4=")</f>
        <v>#VALUE!</v>
      </c>
      <c r="AV81" t="e">
        <f>AND(ConsolidatedEventList!F541,"AAAAACr11y8=")</f>
        <v>#VALUE!</v>
      </c>
      <c r="AW81" t="e">
        <f>AND(ConsolidatedEventList!G541,"AAAAACr11zA=")</f>
        <v>#VALUE!</v>
      </c>
      <c r="AX81" t="e">
        <f>AND(ConsolidatedEventList!H541,"AAAAACr11zE=")</f>
        <v>#VALUE!</v>
      </c>
      <c r="AY81">
        <f>IF(ConsolidatedEventList!542:542,"AAAAACr11zI=",0)</f>
        <v>0</v>
      </c>
      <c r="AZ81" t="e">
        <f>AND(ConsolidatedEventList!A542,"AAAAACr11zM=")</f>
        <v>#VALUE!</v>
      </c>
      <c r="BA81" t="e">
        <f>AND(ConsolidatedEventList!B542,"AAAAACr11zQ=")</f>
        <v>#VALUE!</v>
      </c>
      <c r="BB81" t="e">
        <f>AND(ConsolidatedEventList!C542,"AAAAACr11zU=")</f>
        <v>#VALUE!</v>
      </c>
      <c r="BC81" t="e">
        <f>AND(ConsolidatedEventList!D542,"AAAAACr11zY=")</f>
        <v>#VALUE!</v>
      </c>
      <c r="BD81" t="e">
        <f>AND(ConsolidatedEventList!E542,"AAAAACr11zc=")</f>
        <v>#VALUE!</v>
      </c>
      <c r="BE81" t="e">
        <f>AND(ConsolidatedEventList!F542,"AAAAACr11zg=")</f>
        <v>#VALUE!</v>
      </c>
      <c r="BF81" t="e">
        <f>AND(ConsolidatedEventList!G542,"AAAAACr11zk=")</f>
        <v>#VALUE!</v>
      </c>
      <c r="BG81" t="e">
        <f>AND(ConsolidatedEventList!H542,"AAAAACr11zo=")</f>
        <v>#VALUE!</v>
      </c>
      <c r="BH81">
        <f>IF(ConsolidatedEventList!543:543,"AAAAACr11zs=",0)</f>
        <v>0</v>
      </c>
      <c r="BI81" t="e">
        <f>AND(ConsolidatedEventList!A543,"AAAAACr11zw=")</f>
        <v>#VALUE!</v>
      </c>
      <c r="BJ81" t="e">
        <f>AND(ConsolidatedEventList!B543,"AAAAACr11z0=")</f>
        <v>#VALUE!</v>
      </c>
      <c r="BK81" t="e">
        <f>AND(ConsolidatedEventList!C543,"AAAAACr11z4=")</f>
        <v>#VALUE!</v>
      </c>
      <c r="BL81" t="e">
        <f>AND(ConsolidatedEventList!D543,"AAAAACr11z8=")</f>
        <v>#VALUE!</v>
      </c>
      <c r="BM81" t="e">
        <f>AND(ConsolidatedEventList!E543,"AAAAACr110A=")</f>
        <v>#VALUE!</v>
      </c>
      <c r="BN81" t="e">
        <f>AND(ConsolidatedEventList!F543,"AAAAACr110E=")</f>
        <v>#VALUE!</v>
      </c>
      <c r="BO81" t="e">
        <f>AND(ConsolidatedEventList!G543,"AAAAACr110I=")</f>
        <v>#VALUE!</v>
      </c>
      <c r="BP81" t="e">
        <f>AND(ConsolidatedEventList!H543,"AAAAACr110M=")</f>
        <v>#VALUE!</v>
      </c>
      <c r="BQ81">
        <f>IF(ConsolidatedEventList!544:544,"AAAAACr110Q=",0)</f>
        <v>0</v>
      </c>
      <c r="BR81" t="e">
        <f>AND(ConsolidatedEventList!A544,"AAAAACr110U=")</f>
        <v>#VALUE!</v>
      </c>
      <c r="BS81" t="e">
        <f>AND(ConsolidatedEventList!B544,"AAAAACr110Y=")</f>
        <v>#VALUE!</v>
      </c>
      <c r="BT81" t="e">
        <f>AND(ConsolidatedEventList!C544,"AAAAACr110c=")</f>
        <v>#VALUE!</v>
      </c>
      <c r="BU81" t="e">
        <f>AND(ConsolidatedEventList!D544,"AAAAACr110g=")</f>
        <v>#VALUE!</v>
      </c>
      <c r="BV81" t="e">
        <f>AND(ConsolidatedEventList!E544,"AAAAACr110k=")</f>
        <v>#VALUE!</v>
      </c>
      <c r="BW81" t="e">
        <f>AND(ConsolidatedEventList!F544,"AAAAACr110o=")</f>
        <v>#VALUE!</v>
      </c>
      <c r="BX81" t="e">
        <f>AND(ConsolidatedEventList!G544,"AAAAACr110s=")</f>
        <v>#VALUE!</v>
      </c>
      <c r="BY81" t="e">
        <f>AND(ConsolidatedEventList!H544,"AAAAACr110w=")</f>
        <v>#VALUE!</v>
      </c>
      <c r="BZ81" t="e">
        <f>IF(ConsolidatedEventList!#REF!,"AAAAACr1100=",0)</f>
        <v>#REF!</v>
      </c>
      <c r="CA81" t="e">
        <f>AND(ConsolidatedEventList!#REF!,"AAAAACr1104=")</f>
        <v>#REF!</v>
      </c>
      <c r="CB81" t="e">
        <f>AND(ConsolidatedEventList!#REF!,"AAAAACr1108=")</f>
        <v>#REF!</v>
      </c>
      <c r="CC81" t="e">
        <f>AND(ConsolidatedEventList!#REF!,"AAAAACr111A=")</f>
        <v>#REF!</v>
      </c>
      <c r="CD81" t="e">
        <f>AND(ConsolidatedEventList!#REF!,"AAAAACr111E=")</f>
        <v>#REF!</v>
      </c>
      <c r="CE81" t="e">
        <f>AND(ConsolidatedEventList!#REF!,"AAAAACr111I=")</f>
        <v>#REF!</v>
      </c>
      <c r="CF81" t="e">
        <f>AND(ConsolidatedEventList!#REF!,"AAAAACr111M=")</f>
        <v>#REF!</v>
      </c>
      <c r="CG81" t="e">
        <f>AND(ConsolidatedEventList!#REF!,"AAAAACr111Q=")</f>
        <v>#REF!</v>
      </c>
      <c r="CH81" t="e">
        <f>AND(ConsolidatedEventList!#REF!,"AAAAACr111U=")</f>
        <v>#REF!</v>
      </c>
      <c r="CI81" t="e">
        <f>IF(ConsolidatedEventList!#REF!,"AAAAACr111Y=",0)</f>
        <v>#REF!</v>
      </c>
      <c r="CJ81" t="e">
        <f>AND(ConsolidatedEventList!#REF!,"AAAAACr111c=")</f>
        <v>#REF!</v>
      </c>
      <c r="CK81" t="e">
        <f>AND(ConsolidatedEventList!#REF!,"AAAAACr111g=")</f>
        <v>#REF!</v>
      </c>
      <c r="CL81" t="e">
        <f>AND(ConsolidatedEventList!#REF!,"AAAAACr111k=")</f>
        <v>#REF!</v>
      </c>
      <c r="CM81" t="e">
        <f>AND(ConsolidatedEventList!#REF!,"AAAAACr111o=")</f>
        <v>#REF!</v>
      </c>
      <c r="CN81" t="e">
        <f>AND(ConsolidatedEventList!#REF!,"AAAAACr111s=")</f>
        <v>#REF!</v>
      </c>
      <c r="CO81" t="e">
        <f>AND(ConsolidatedEventList!#REF!,"AAAAACr111w=")</f>
        <v>#REF!</v>
      </c>
      <c r="CP81" t="e">
        <f>AND(ConsolidatedEventList!#REF!,"AAAAACr1110=")</f>
        <v>#REF!</v>
      </c>
      <c r="CQ81" t="e">
        <f>AND(ConsolidatedEventList!#REF!,"AAAAACr1114=")</f>
        <v>#REF!</v>
      </c>
      <c r="CR81">
        <f>IF(ConsolidatedEventList!545:545,"AAAAACr1118=",0)</f>
        <v>0</v>
      </c>
      <c r="CS81" t="e">
        <f>AND(ConsolidatedEventList!A545,"AAAAACr112A=")</f>
        <v>#VALUE!</v>
      </c>
      <c r="CT81" t="e">
        <f>AND(ConsolidatedEventList!B545,"AAAAACr112E=")</f>
        <v>#VALUE!</v>
      </c>
      <c r="CU81" t="e">
        <f>AND(ConsolidatedEventList!C545,"AAAAACr112I=")</f>
        <v>#VALUE!</v>
      </c>
      <c r="CV81" t="e">
        <f>AND(ConsolidatedEventList!D545,"AAAAACr112M=")</f>
        <v>#VALUE!</v>
      </c>
      <c r="CW81" t="e">
        <f>AND(ConsolidatedEventList!E545,"AAAAACr112Q=")</f>
        <v>#VALUE!</v>
      </c>
      <c r="CX81" t="e">
        <f>AND(ConsolidatedEventList!F545,"AAAAACr112U=")</f>
        <v>#VALUE!</v>
      </c>
      <c r="CY81" t="e">
        <f>AND(ConsolidatedEventList!G545,"AAAAACr112Y=")</f>
        <v>#VALUE!</v>
      </c>
      <c r="CZ81" t="e">
        <f>AND(ConsolidatedEventList!H545,"AAAAACr112c=")</f>
        <v>#VALUE!</v>
      </c>
      <c r="DA81">
        <f>IF(ConsolidatedEventList!546:546,"AAAAACr112g=",0)</f>
        <v>0</v>
      </c>
      <c r="DB81" t="e">
        <f>AND(ConsolidatedEventList!A546,"AAAAACr112k=")</f>
        <v>#VALUE!</v>
      </c>
      <c r="DC81" t="e">
        <f>AND(ConsolidatedEventList!B546,"AAAAACr112o=")</f>
        <v>#VALUE!</v>
      </c>
      <c r="DD81" t="e">
        <f>AND(ConsolidatedEventList!C546,"AAAAACr112s=")</f>
        <v>#VALUE!</v>
      </c>
      <c r="DE81" t="e">
        <f>AND(ConsolidatedEventList!D546,"AAAAACr112w=")</f>
        <v>#VALUE!</v>
      </c>
      <c r="DF81" t="e">
        <f>AND(ConsolidatedEventList!E546,"AAAAACr1120=")</f>
        <v>#VALUE!</v>
      </c>
      <c r="DG81" t="e">
        <f>AND(ConsolidatedEventList!F546,"AAAAACr1124=")</f>
        <v>#VALUE!</v>
      </c>
      <c r="DH81" t="e">
        <f>AND(ConsolidatedEventList!G546,"AAAAACr1128=")</f>
        <v>#VALUE!</v>
      </c>
      <c r="DI81" t="e">
        <f>AND(ConsolidatedEventList!H546,"AAAAACr113A=")</f>
        <v>#VALUE!</v>
      </c>
      <c r="DJ81">
        <f>IF(ConsolidatedEventList!547:547,"AAAAACr113E=",0)</f>
        <v>0</v>
      </c>
      <c r="DK81" t="e">
        <f>AND(ConsolidatedEventList!A547,"AAAAACr113I=")</f>
        <v>#VALUE!</v>
      </c>
      <c r="DL81" t="e">
        <f>AND(ConsolidatedEventList!B547,"AAAAACr113M=")</f>
        <v>#VALUE!</v>
      </c>
      <c r="DM81" t="e">
        <f>AND(ConsolidatedEventList!C547,"AAAAACr113Q=")</f>
        <v>#VALUE!</v>
      </c>
      <c r="DN81" t="e">
        <f>AND(ConsolidatedEventList!D547,"AAAAACr113U=")</f>
        <v>#VALUE!</v>
      </c>
      <c r="DO81" t="e">
        <f>AND(ConsolidatedEventList!E547,"AAAAACr113Y=")</f>
        <v>#VALUE!</v>
      </c>
      <c r="DP81" t="e">
        <f>AND(ConsolidatedEventList!F547,"AAAAACr113c=")</f>
        <v>#VALUE!</v>
      </c>
      <c r="DQ81" t="e">
        <f>AND(ConsolidatedEventList!G547,"AAAAACr113g=")</f>
        <v>#VALUE!</v>
      </c>
      <c r="DR81" t="e">
        <f>AND(ConsolidatedEventList!H547,"AAAAACr113k=")</f>
        <v>#VALUE!</v>
      </c>
      <c r="DS81">
        <f>IF(ConsolidatedEventList!548:548,"AAAAACr113o=",0)</f>
        <v>0</v>
      </c>
      <c r="DT81" t="e">
        <f>AND(ConsolidatedEventList!A548,"AAAAACr113s=")</f>
        <v>#VALUE!</v>
      </c>
      <c r="DU81" t="e">
        <f>AND(ConsolidatedEventList!B548,"AAAAACr113w=")</f>
        <v>#VALUE!</v>
      </c>
      <c r="DV81" t="e">
        <f>AND(ConsolidatedEventList!C548,"AAAAACr1130=")</f>
        <v>#VALUE!</v>
      </c>
      <c r="DW81" t="e">
        <f>AND(ConsolidatedEventList!D548,"AAAAACr1134=")</f>
        <v>#VALUE!</v>
      </c>
      <c r="DX81" t="e">
        <f>AND(ConsolidatedEventList!E548,"AAAAACr1138=")</f>
        <v>#VALUE!</v>
      </c>
      <c r="DY81" t="e">
        <f>AND(ConsolidatedEventList!F548,"AAAAACr114A=")</f>
        <v>#VALUE!</v>
      </c>
      <c r="DZ81" t="e">
        <f>AND(ConsolidatedEventList!G548,"AAAAACr114E=")</f>
        <v>#VALUE!</v>
      </c>
      <c r="EA81" t="e">
        <f>AND(ConsolidatedEventList!H548,"AAAAACr114I=")</f>
        <v>#VALUE!</v>
      </c>
      <c r="EB81">
        <f>IF(ConsolidatedEventList!549:549,"AAAAACr114M=",0)</f>
        <v>0</v>
      </c>
      <c r="EC81" t="e">
        <f>AND(ConsolidatedEventList!A549,"AAAAACr114Q=")</f>
        <v>#VALUE!</v>
      </c>
      <c r="ED81" t="e">
        <f>AND(ConsolidatedEventList!B549,"AAAAACr114U=")</f>
        <v>#VALUE!</v>
      </c>
      <c r="EE81" t="e">
        <f>AND(ConsolidatedEventList!C549,"AAAAACr114Y=")</f>
        <v>#VALUE!</v>
      </c>
      <c r="EF81" t="e">
        <f>AND(ConsolidatedEventList!D549,"AAAAACr114c=")</f>
        <v>#VALUE!</v>
      </c>
      <c r="EG81" t="e">
        <f>AND(ConsolidatedEventList!E549,"AAAAACr114g=")</f>
        <v>#VALUE!</v>
      </c>
      <c r="EH81" t="e">
        <f>AND(ConsolidatedEventList!F549,"AAAAACr114k=")</f>
        <v>#VALUE!</v>
      </c>
      <c r="EI81" t="e">
        <f>AND(ConsolidatedEventList!G549,"AAAAACr114o=")</f>
        <v>#VALUE!</v>
      </c>
      <c r="EJ81" t="e">
        <f>AND(ConsolidatedEventList!H549,"AAAAACr114s=")</f>
        <v>#VALUE!</v>
      </c>
      <c r="EK81">
        <f>IF(ConsolidatedEventList!566:566,"AAAAACr114w=",0)</f>
        <v>0</v>
      </c>
      <c r="EL81" t="e">
        <f>AND(ConsolidatedEventList!A566,"AAAAACr1140=")</f>
        <v>#VALUE!</v>
      </c>
      <c r="EM81" t="e">
        <f>AND(ConsolidatedEventList!B566,"AAAAACr1144=")</f>
        <v>#VALUE!</v>
      </c>
      <c r="EN81" t="e">
        <f>AND(ConsolidatedEventList!C566,"AAAAACr1148=")</f>
        <v>#VALUE!</v>
      </c>
      <c r="EO81" t="e">
        <f>AND(ConsolidatedEventList!D566,"AAAAACr115A=")</f>
        <v>#VALUE!</v>
      </c>
      <c r="EP81" t="e">
        <f>AND(ConsolidatedEventList!E566,"AAAAACr115E=")</f>
        <v>#VALUE!</v>
      </c>
      <c r="EQ81" t="e">
        <f>AND(ConsolidatedEventList!F566,"AAAAACr115I=")</f>
        <v>#VALUE!</v>
      </c>
      <c r="ER81" t="e">
        <f>AND(ConsolidatedEventList!G566,"AAAAACr115M=")</f>
        <v>#VALUE!</v>
      </c>
      <c r="ES81" t="e">
        <f>AND(ConsolidatedEventList!H566,"AAAAACr115Q=")</f>
        <v>#VALUE!</v>
      </c>
      <c r="ET81">
        <f>IF(ConsolidatedEventList!567:567,"AAAAACr115U=",0)</f>
        <v>0</v>
      </c>
      <c r="EU81" t="e">
        <f>AND(ConsolidatedEventList!A567,"AAAAACr115Y=")</f>
        <v>#VALUE!</v>
      </c>
      <c r="EV81" t="e">
        <f>AND(ConsolidatedEventList!B567,"AAAAACr115c=")</f>
        <v>#VALUE!</v>
      </c>
      <c r="EW81" t="e">
        <f>AND(ConsolidatedEventList!C567,"AAAAACr115g=")</f>
        <v>#VALUE!</v>
      </c>
      <c r="EX81" t="e">
        <f>AND(ConsolidatedEventList!D567,"AAAAACr115k=")</f>
        <v>#VALUE!</v>
      </c>
      <c r="EY81" t="e">
        <f>AND(ConsolidatedEventList!E567,"AAAAACr115o=")</f>
        <v>#VALUE!</v>
      </c>
      <c r="EZ81" t="e">
        <f>AND(ConsolidatedEventList!F567,"AAAAACr115s=")</f>
        <v>#VALUE!</v>
      </c>
      <c r="FA81" t="e">
        <f>AND(ConsolidatedEventList!G567,"AAAAACr115w=")</f>
        <v>#VALUE!</v>
      </c>
      <c r="FB81" t="e">
        <f>AND(ConsolidatedEventList!H567,"AAAAACr1150=")</f>
        <v>#VALUE!</v>
      </c>
      <c r="FC81">
        <f>IF(ConsolidatedEventList!568:568,"AAAAACr1154=",0)</f>
        <v>0</v>
      </c>
      <c r="FD81" t="e">
        <f>AND(ConsolidatedEventList!A568,"AAAAACr1158=")</f>
        <v>#VALUE!</v>
      </c>
      <c r="FE81" t="e">
        <f>AND(ConsolidatedEventList!B568,"AAAAACr116A=")</f>
        <v>#VALUE!</v>
      </c>
      <c r="FF81" t="e">
        <f>AND(ConsolidatedEventList!C568,"AAAAACr116E=")</f>
        <v>#VALUE!</v>
      </c>
      <c r="FG81" t="e">
        <f>AND(ConsolidatedEventList!D568,"AAAAACr116I=")</f>
        <v>#VALUE!</v>
      </c>
      <c r="FH81" t="e">
        <f>AND(ConsolidatedEventList!E568,"AAAAACr116M=")</f>
        <v>#VALUE!</v>
      </c>
      <c r="FI81" t="e">
        <f>AND(ConsolidatedEventList!F568,"AAAAACr116Q=")</f>
        <v>#VALUE!</v>
      </c>
      <c r="FJ81" t="e">
        <f>AND(ConsolidatedEventList!G568,"AAAAACr116U=")</f>
        <v>#VALUE!</v>
      </c>
      <c r="FK81" t="e">
        <f>AND(ConsolidatedEventList!H568,"AAAAACr116Y=")</f>
        <v>#VALUE!</v>
      </c>
      <c r="FL81">
        <f>IF(ConsolidatedEventList!569:569,"AAAAACr116c=",0)</f>
        <v>0</v>
      </c>
      <c r="FM81" t="e">
        <f>AND(ConsolidatedEventList!A569,"AAAAACr116g=")</f>
        <v>#VALUE!</v>
      </c>
      <c r="FN81" t="e">
        <f>AND(ConsolidatedEventList!B569,"AAAAACr116k=")</f>
        <v>#VALUE!</v>
      </c>
      <c r="FO81" t="e">
        <f>AND(ConsolidatedEventList!C569,"AAAAACr116o=")</f>
        <v>#VALUE!</v>
      </c>
      <c r="FP81" t="e">
        <f>AND(ConsolidatedEventList!D569,"AAAAACr116s=")</f>
        <v>#VALUE!</v>
      </c>
      <c r="FQ81" t="e">
        <f>AND(ConsolidatedEventList!E569,"AAAAACr116w=")</f>
        <v>#VALUE!</v>
      </c>
      <c r="FR81" t="e">
        <f>AND(ConsolidatedEventList!F569,"AAAAACr1160=")</f>
        <v>#VALUE!</v>
      </c>
      <c r="FS81" t="e">
        <f>AND(ConsolidatedEventList!G569,"AAAAACr1164=")</f>
        <v>#VALUE!</v>
      </c>
      <c r="FT81" t="e">
        <f>AND(ConsolidatedEventList!H569,"AAAAACr1168=")</f>
        <v>#VALUE!</v>
      </c>
      <c r="FU81">
        <f>IF(ConsolidatedEventList!570:570,"AAAAACr117A=",0)</f>
        <v>0</v>
      </c>
      <c r="FV81" t="e">
        <f>AND(ConsolidatedEventList!A570,"AAAAACr117E=")</f>
        <v>#VALUE!</v>
      </c>
      <c r="FW81" t="e">
        <f>AND(ConsolidatedEventList!B570,"AAAAACr117I=")</f>
        <v>#VALUE!</v>
      </c>
      <c r="FX81" t="e">
        <f>AND(ConsolidatedEventList!C570,"AAAAACr117M=")</f>
        <v>#VALUE!</v>
      </c>
      <c r="FY81" t="e">
        <f>AND(ConsolidatedEventList!D570,"AAAAACr117Q=")</f>
        <v>#VALUE!</v>
      </c>
      <c r="FZ81" t="e">
        <f>AND(ConsolidatedEventList!E570,"AAAAACr117U=")</f>
        <v>#VALUE!</v>
      </c>
      <c r="GA81" t="e">
        <f>AND(ConsolidatedEventList!F570,"AAAAACr117Y=")</f>
        <v>#VALUE!</v>
      </c>
      <c r="GB81" t="e">
        <f>AND(ConsolidatedEventList!G570,"AAAAACr117c=")</f>
        <v>#VALUE!</v>
      </c>
      <c r="GC81" t="e">
        <f>AND(ConsolidatedEventList!H570,"AAAAACr117g=")</f>
        <v>#VALUE!</v>
      </c>
      <c r="GD81">
        <f>IF(ConsolidatedEventList!571:571,"AAAAACr117k=",0)</f>
        <v>0</v>
      </c>
      <c r="GE81" t="e">
        <f>AND(ConsolidatedEventList!A571,"AAAAACr117o=")</f>
        <v>#VALUE!</v>
      </c>
      <c r="GF81" t="e">
        <f>AND(ConsolidatedEventList!B571,"AAAAACr117s=")</f>
        <v>#VALUE!</v>
      </c>
      <c r="GG81" t="e">
        <f>AND(ConsolidatedEventList!C571,"AAAAACr117w=")</f>
        <v>#VALUE!</v>
      </c>
      <c r="GH81" t="e">
        <f>AND(ConsolidatedEventList!D571,"AAAAACr1170=")</f>
        <v>#VALUE!</v>
      </c>
      <c r="GI81" t="e">
        <f>AND(ConsolidatedEventList!E571,"AAAAACr1174=")</f>
        <v>#VALUE!</v>
      </c>
      <c r="GJ81" t="e">
        <f>AND(ConsolidatedEventList!F571,"AAAAACr1178=")</f>
        <v>#VALUE!</v>
      </c>
      <c r="GK81" t="e">
        <f>AND(ConsolidatedEventList!G571,"AAAAACr118A=")</f>
        <v>#VALUE!</v>
      </c>
      <c r="GL81" t="e">
        <f>AND(ConsolidatedEventList!H571,"AAAAACr118E=")</f>
        <v>#VALUE!</v>
      </c>
      <c r="GM81">
        <f>IF(ConsolidatedEventList!572:572,"AAAAACr118I=",0)</f>
        <v>0</v>
      </c>
      <c r="GN81" t="e">
        <f>AND(ConsolidatedEventList!A572,"AAAAACr118M=")</f>
        <v>#VALUE!</v>
      </c>
      <c r="GO81" t="e">
        <f>AND(ConsolidatedEventList!B572,"AAAAACr118Q=")</f>
        <v>#VALUE!</v>
      </c>
      <c r="GP81" t="e">
        <f>AND(ConsolidatedEventList!C572,"AAAAACr118U=")</f>
        <v>#VALUE!</v>
      </c>
      <c r="GQ81" t="e">
        <f>AND(ConsolidatedEventList!D572,"AAAAACr118Y=")</f>
        <v>#VALUE!</v>
      </c>
      <c r="GR81" t="e">
        <f>AND(ConsolidatedEventList!E572,"AAAAACr118c=")</f>
        <v>#VALUE!</v>
      </c>
      <c r="GS81" t="e">
        <f>AND(ConsolidatedEventList!F572,"AAAAACr118g=")</f>
        <v>#VALUE!</v>
      </c>
      <c r="GT81" t="e">
        <f>AND(ConsolidatedEventList!G572,"AAAAACr118k=")</f>
        <v>#VALUE!</v>
      </c>
      <c r="GU81" t="e">
        <f>AND(ConsolidatedEventList!H572,"AAAAACr118o=")</f>
        <v>#VALUE!</v>
      </c>
      <c r="GV81">
        <f>IF(ConsolidatedEventList!573:573,"AAAAACr118s=",0)</f>
        <v>0</v>
      </c>
      <c r="GW81" t="e">
        <f>AND(ConsolidatedEventList!A573,"AAAAACr118w=")</f>
        <v>#VALUE!</v>
      </c>
      <c r="GX81" t="e">
        <f>AND(ConsolidatedEventList!B573,"AAAAACr1180=")</f>
        <v>#VALUE!</v>
      </c>
      <c r="GY81" t="e">
        <f>AND(ConsolidatedEventList!C573,"AAAAACr1184=")</f>
        <v>#VALUE!</v>
      </c>
      <c r="GZ81" t="e">
        <f>AND(ConsolidatedEventList!D573,"AAAAACr1188=")</f>
        <v>#VALUE!</v>
      </c>
      <c r="HA81" t="e">
        <f>AND(ConsolidatedEventList!E573,"AAAAACr119A=")</f>
        <v>#VALUE!</v>
      </c>
      <c r="HB81" t="e">
        <f>AND(ConsolidatedEventList!F573,"AAAAACr119E=")</f>
        <v>#VALUE!</v>
      </c>
      <c r="HC81" t="e">
        <f>AND(ConsolidatedEventList!G573,"AAAAACr119I=")</f>
        <v>#VALUE!</v>
      </c>
      <c r="HD81" t="e">
        <f>AND(ConsolidatedEventList!H573,"AAAAACr119M=")</f>
        <v>#VALUE!</v>
      </c>
      <c r="HE81">
        <f>IF(ConsolidatedEventList!574:574,"AAAAACr119Q=",0)</f>
        <v>0</v>
      </c>
      <c r="HF81" t="e">
        <f>AND(ConsolidatedEventList!A574,"AAAAACr119U=")</f>
        <v>#VALUE!</v>
      </c>
      <c r="HG81" t="e">
        <f>AND(ConsolidatedEventList!B574,"AAAAACr119Y=")</f>
        <v>#VALUE!</v>
      </c>
      <c r="HH81" t="e">
        <f>AND(ConsolidatedEventList!C574,"AAAAACr119c=")</f>
        <v>#VALUE!</v>
      </c>
      <c r="HI81" t="e">
        <f>AND(ConsolidatedEventList!D574,"AAAAACr119g=")</f>
        <v>#VALUE!</v>
      </c>
      <c r="HJ81" t="e">
        <f>AND(ConsolidatedEventList!E574,"AAAAACr119k=")</f>
        <v>#VALUE!</v>
      </c>
      <c r="HK81" t="e">
        <f>AND(ConsolidatedEventList!F574,"AAAAACr119o=")</f>
        <v>#VALUE!</v>
      </c>
      <c r="HL81" t="e">
        <f>AND(ConsolidatedEventList!G574,"AAAAACr119s=")</f>
        <v>#VALUE!</v>
      </c>
      <c r="HM81" t="e">
        <f>AND(ConsolidatedEventList!H574,"AAAAACr119w=")</f>
        <v>#VALUE!</v>
      </c>
      <c r="HN81">
        <f>IF(ConsolidatedEventList!575:575,"AAAAACr1190=",0)</f>
        <v>0</v>
      </c>
      <c r="HO81" t="e">
        <f>AND(ConsolidatedEventList!A575,"AAAAACr1194=")</f>
        <v>#VALUE!</v>
      </c>
      <c r="HP81" t="e">
        <f>AND(ConsolidatedEventList!B575,"AAAAACr1198=")</f>
        <v>#VALUE!</v>
      </c>
      <c r="HQ81" t="e">
        <f>AND(ConsolidatedEventList!C575,"AAAAACr11+A=")</f>
        <v>#VALUE!</v>
      </c>
      <c r="HR81" t="e">
        <f>AND(ConsolidatedEventList!D575,"AAAAACr11+E=")</f>
        <v>#VALUE!</v>
      </c>
      <c r="HS81" t="e">
        <f>AND(ConsolidatedEventList!E575,"AAAAACr11+I=")</f>
        <v>#VALUE!</v>
      </c>
      <c r="HT81" t="e">
        <f>AND(ConsolidatedEventList!F575,"AAAAACr11+M=")</f>
        <v>#VALUE!</v>
      </c>
      <c r="HU81" t="e">
        <f>AND(ConsolidatedEventList!G575,"AAAAACr11+Q=")</f>
        <v>#VALUE!</v>
      </c>
      <c r="HV81" t="e">
        <f>AND(ConsolidatedEventList!H575,"AAAAACr11+U=")</f>
        <v>#VALUE!</v>
      </c>
      <c r="HW81">
        <f>IF(ConsolidatedEventList!576:576,"AAAAACr11+Y=",0)</f>
        <v>0</v>
      </c>
      <c r="HX81" t="e">
        <f>AND(ConsolidatedEventList!A576,"AAAAACr11+c=")</f>
        <v>#VALUE!</v>
      </c>
      <c r="HY81" t="e">
        <f>AND(ConsolidatedEventList!B576,"AAAAACr11+g=")</f>
        <v>#VALUE!</v>
      </c>
      <c r="HZ81" t="e">
        <f>AND(ConsolidatedEventList!C576,"AAAAACr11+k=")</f>
        <v>#VALUE!</v>
      </c>
      <c r="IA81" t="e">
        <f>AND(ConsolidatedEventList!D576,"AAAAACr11+o=")</f>
        <v>#VALUE!</v>
      </c>
      <c r="IB81" t="e">
        <f>AND(ConsolidatedEventList!E576,"AAAAACr11+s=")</f>
        <v>#VALUE!</v>
      </c>
      <c r="IC81" t="e">
        <f>AND(ConsolidatedEventList!F576,"AAAAACr11+w=")</f>
        <v>#VALUE!</v>
      </c>
      <c r="ID81" t="e">
        <f>AND(ConsolidatedEventList!G576,"AAAAACr11+0=")</f>
        <v>#VALUE!</v>
      </c>
      <c r="IE81" t="e">
        <f>AND(ConsolidatedEventList!H576,"AAAAACr11+4=")</f>
        <v>#VALUE!</v>
      </c>
      <c r="IF81">
        <f>IF(ConsolidatedEventList!577:577,"AAAAACr11+8=",0)</f>
        <v>0</v>
      </c>
      <c r="IG81" t="e">
        <f>AND(ConsolidatedEventList!A577,"AAAAACr11/A=")</f>
        <v>#VALUE!</v>
      </c>
      <c r="IH81" t="e">
        <f>AND(ConsolidatedEventList!B577,"AAAAACr11/E=")</f>
        <v>#VALUE!</v>
      </c>
      <c r="II81" t="e">
        <f>AND(ConsolidatedEventList!C577,"AAAAACr11/I=")</f>
        <v>#VALUE!</v>
      </c>
      <c r="IJ81" t="e">
        <f>AND(ConsolidatedEventList!D577,"AAAAACr11/M=")</f>
        <v>#VALUE!</v>
      </c>
      <c r="IK81" t="e">
        <f>AND(ConsolidatedEventList!E577,"AAAAACr11/Q=")</f>
        <v>#VALUE!</v>
      </c>
      <c r="IL81" t="e">
        <f>AND(ConsolidatedEventList!F577,"AAAAACr11/U=")</f>
        <v>#VALUE!</v>
      </c>
      <c r="IM81" t="e">
        <f>AND(ConsolidatedEventList!G577,"AAAAACr11/Y=")</f>
        <v>#VALUE!</v>
      </c>
      <c r="IN81" t="e">
        <f>AND(ConsolidatedEventList!H577,"AAAAACr11/c=")</f>
        <v>#VALUE!</v>
      </c>
      <c r="IO81">
        <f>IF(ConsolidatedEventList!578:578,"AAAAACr11/g=",0)</f>
        <v>0</v>
      </c>
      <c r="IP81" t="e">
        <f>AND(ConsolidatedEventList!A578,"AAAAACr11/k=")</f>
        <v>#VALUE!</v>
      </c>
      <c r="IQ81" t="e">
        <f>AND(ConsolidatedEventList!B578,"AAAAACr11/o=")</f>
        <v>#VALUE!</v>
      </c>
      <c r="IR81" t="e">
        <f>AND(ConsolidatedEventList!C578,"AAAAACr11/s=")</f>
        <v>#VALUE!</v>
      </c>
      <c r="IS81" t="e">
        <f>AND(ConsolidatedEventList!D578,"AAAAACr11/w=")</f>
        <v>#VALUE!</v>
      </c>
      <c r="IT81" t="e">
        <f>AND(ConsolidatedEventList!E578,"AAAAACr11/0=")</f>
        <v>#VALUE!</v>
      </c>
      <c r="IU81" t="e">
        <f>AND(ConsolidatedEventList!F578,"AAAAACr11/4=")</f>
        <v>#VALUE!</v>
      </c>
      <c r="IV81" t="e">
        <f>AND(ConsolidatedEventList!G578,"AAAAACr11/8=")</f>
        <v>#VALUE!</v>
      </c>
    </row>
    <row r="82" spans="1:256" x14ac:dyDescent="0.25">
      <c r="A82" t="e">
        <f>AND(ConsolidatedEventList!H578,"AAAAAHfu7QA=")</f>
        <v>#VALUE!</v>
      </c>
      <c r="B82" t="str">
        <f>IF(ConsolidatedEventList!579:579,"AAAAAHfu7QE=",0)</f>
        <v>AAAAAHfu7QE=</v>
      </c>
      <c r="C82" t="e">
        <f>AND(ConsolidatedEventList!A579,"AAAAAHfu7QI=")</f>
        <v>#VALUE!</v>
      </c>
      <c r="D82" t="e">
        <f>AND(ConsolidatedEventList!B579,"AAAAAHfu7QM=")</f>
        <v>#VALUE!</v>
      </c>
      <c r="E82" t="e">
        <f>AND(ConsolidatedEventList!C579,"AAAAAHfu7QQ=")</f>
        <v>#VALUE!</v>
      </c>
      <c r="F82" t="e">
        <f>AND(ConsolidatedEventList!D579,"AAAAAHfu7QU=")</f>
        <v>#VALUE!</v>
      </c>
      <c r="G82" t="e">
        <f>AND(ConsolidatedEventList!E579,"AAAAAHfu7QY=")</f>
        <v>#VALUE!</v>
      </c>
      <c r="H82" t="e">
        <f>AND(ConsolidatedEventList!F579,"AAAAAHfu7Qc=")</f>
        <v>#VALUE!</v>
      </c>
      <c r="I82" t="e">
        <f>AND(ConsolidatedEventList!G579,"AAAAAHfu7Qg=")</f>
        <v>#VALUE!</v>
      </c>
      <c r="J82" t="e">
        <f>AND(ConsolidatedEventList!H579,"AAAAAHfu7Qk=")</f>
        <v>#VALUE!</v>
      </c>
      <c r="K82">
        <f>IF(ConsolidatedEventList!580:580,"AAAAAHfu7Qo=",0)</f>
        <v>0</v>
      </c>
      <c r="L82">
        <f>IF(ConsolidatedEventList!581:581,"AAAAAHfu7Qs=",0)</f>
        <v>0</v>
      </c>
      <c r="M82" t="e">
        <f>IF(ConsolidatedEventList!#REF!,"AAAAAHfu7Qw=",0)</f>
        <v>#REF!</v>
      </c>
      <c r="N82">
        <f>IF(ConsolidatedEventList!A:A,"AAAAAHfu7Q0=",0)</f>
        <v>0</v>
      </c>
      <c r="O82" t="str">
        <f>IF(ConsolidatedEventList!B:B,"AAAAAHfu7Q4=",0)</f>
        <v>AAAAAHfu7Q4=</v>
      </c>
      <c r="P82" t="e">
        <f>IF(ConsolidatedEventList!C:C,"AAAAAHfu7Q8=",0)</f>
        <v>#VALUE!</v>
      </c>
      <c r="Q82" t="e">
        <f>IF(ConsolidatedEventList!D:D,"AAAAAHfu7RA=",0)</f>
        <v>#VALUE!</v>
      </c>
      <c r="R82">
        <f>IF(ConsolidatedEventList!E:E,"AAAAAHfu7RE=",0)</f>
        <v>0</v>
      </c>
      <c r="S82">
        <f>IF(ConsolidatedEventList!F:F,"AAAAAHfu7RI=",0)</f>
        <v>0</v>
      </c>
      <c r="T82">
        <f>IF(ConsolidatedEventList!G:G,"AAAAAHfu7RM=",0)</f>
        <v>0</v>
      </c>
      <c r="U82">
        <f>IF(ConsolidatedEventList!H:H,"AAAAAHfu7RQ=",0)</f>
        <v>0</v>
      </c>
      <c r="V82" t="s">
        <v>137</v>
      </c>
      <c r="W82" s="40" t="s">
        <v>138</v>
      </c>
      <c r="X82" s="41" t="s">
        <v>139</v>
      </c>
      <c r="Y82" t="e">
        <f>IF("N",AgeGroup,"AAAAAHfu7Rg=")</f>
        <v>#VALUE!</v>
      </c>
      <c r="Z82" t="e">
        <f>IF("N",AgeInfo,"AAAAAHfu7Rk=")</f>
        <v>#VALUE!</v>
      </c>
      <c r="AA82" t="e">
        <f>IF("N",Jumpers,"AAAAAHfu7Ro=")</f>
        <v>#VALUE!</v>
      </c>
      <c r="AB82" t="e">
        <f>IF("N",Competitor!_xlnm.Print_Area,"AAAAAHfu7Rs=")</f>
        <v>#VALUE!</v>
      </c>
      <c r="AC82" t="e">
        <f>IF("N",Competitor!_xlnm.Print_Titles,"AAAAAHfu7Rw=")</f>
        <v>#VALUE!</v>
      </c>
      <c r="AD82" t="e">
        <f>IF("N",'Female SR Individual Freestyle'!_xlnm.Print_Titles,"AAAAAHfu7R0=")</f>
        <v>#VALUE!</v>
      </c>
      <c r="AE82" t="e">
        <f>IF("N",'Female SR Individual Speed'!_xlnm.Print_Titles,"AAAAAHfu7R4=")</f>
        <v>#VALUE!</v>
      </c>
      <c r="AF82" t="e">
        <f>IF("N",'Male SR Individual Freestyle'!_xlnm.Print_Titles,"AAAAAHfu7R8=")</f>
        <v>#VALUE!</v>
      </c>
      <c r="AG82" t="e">
        <f>IF("N",'Male SR Individual Speed'!_xlnm.Print_Titles,"AAAAAHfu7SA=")</f>
        <v>#VALUE!</v>
      </c>
    </row>
  </sheetData>
  <phoneticPr fontId="23" type="noConversion"/>
  <pageMargins left="0.7" right="0.7" top="0.75" bottom="0.75" header="0.3" footer="0.3"/>
  <customProperties>
    <customPr name="DVSECTIONID" r:id="rId1"/>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33"/>
  <sheetViews>
    <sheetView workbookViewId="0">
      <selection activeCell="B4" sqref="B4"/>
    </sheetView>
  </sheetViews>
  <sheetFormatPr defaultColWidth="8.85546875" defaultRowHeight="15" x14ac:dyDescent="0.25"/>
  <cols>
    <col min="1" max="1" width="5" style="37" customWidth="1"/>
    <col min="2" max="2" width="42.42578125" style="37" customWidth="1"/>
    <col min="3" max="3" width="34.85546875" style="37" customWidth="1"/>
    <col min="4" max="4" width="16.42578125" style="37" customWidth="1"/>
    <col min="5" max="16384" width="8.85546875" style="37"/>
  </cols>
  <sheetData>
    <row r="1" spans="1:4" ht="21" x14ac:dyDescent="0.35">
      <c r="A1" s="65" t="s">
        <v>101</v>
      </c>
      <c r="D1" s="43" t="str">
        <f>CONCATENATE("Team: ",'Team Info'!$B$3)</f>
        <v xml:space="preserve">Team: </v>
      </c>
    </row>
    <row r="2" spans="1:4" x14ac:dyDescent="0.25">
      <c r="A2" s="165" t="s">
        <v>131</v>
      </c>
      <c r="B2" s="165"/>
      <c r="C2" s="165"/>
      <c r="D2" s="165"/>
    </row>
    <row r="3" spans="1:4" x14ac:dyDescent="0.25">
      <c r="A3" s="97" t="s">
        <v>0</v>
      </c>
      <c r="B3" s="80" t="s">
        <v>96</v>
      </c>
      <c r="C3" s="80" t="s">
        <v>55</v>
      </c>
      <c r="D3" s="80" t="s">
        <v>64</v>
      </c>
    </row>
    <row r="4" spans="1:4" x14ac:dyDescent="0.25">
      <c r="A4" s="97">
        <v>1</v>
      </c>
      <c r="B4" s="36"/>
      <c r="C4" s="36"/>
      <c r="D4" s="36"/>
    </row>
    <row r="5" spans="1:4" x14ac:dyDescent="0.25">
      <c r="A5" s="97">
        <v>2</v>
      </c>
      <c r="B5" s="36"/>
      <c r="C5" s="36"/>
      <c r="D5" s="36"/>
    </row>
    <row r="6" spans="1:4" x14ac:dyDescent="0.25">
      <c r="A6" s="97">
        <v>3</v>
      </c>
      <c r="B6" s="36"/>
      <c r="C6" s="36"/>
      <c r="D6" s="36"/>
    </row>
    <row r="7" spans="1:4" x14ac:dyDescent="0.25">
      <c r="A7" s="97">
        <v>4</v>
      </c>
      <c r="B7" s="36"/>
      <c r="C7" s="36"/>
      <c r="D7" s="36"/>
    </row>
    <row r="8" spans="1:4" x14ac:dyDescent="0.25">
      <c r="A8" s="97">
        <v>5</v>
      </c>
      <c r="B8" s="36"/>
      <c r="C8" s="36"/>
      <c r="D8" s="36"/>
    </row>
    <row r="9" spans="1:4" x14ac:dyDescent="0.25">
      <c r="A9" s="97">
        <v>6</v>
      </c>
      <c r="B9" s="36"/>
      <c r="C9" s="36"/>
      <c r="D9" s="36"/>
    </row>
    <row r="10" spans="1:4" x14ac:dyDescent="0.25">
      <c r="A10" s="97">
        <v>7</v>
      </c>
      <c r="B10" s="36"/>
      <c r="C10" s="36"/>
      <c r="D10" s="36"/>
    </row>
    <row r="11" spans="1:4" x14ac:dyDescent="0.25">
      <c r="A11" s="97">
        <v>8</v>
      </c>
      <c r="B11" s="36"/>
      <c r="C11" s="36"/>
      <c r="D11" s="36"/>
    </row>
    <row r="12" spans="1:4" x14ac:dyDescent="0.25">
      <c r="A12" s="97">
        <v>9</v>
      </c>
      <c r="B12" s="36"/>
      <c r="C12" s="36"/>
      <c r="D12" s="36"/>
    </row>
    <row r="13" spans="1:4" x14ac:dyDescent="0.25">
      <c r="A13" s="97">
        <v>10</v>
      </c>
      <c r="B13" s="36"/>
      <c r="C13" s="36"/>
      <c r="D13" s="36"/>
    </row>
    <row r="14" spans="1:4" x14ac:dyDescent="0.25">
      <c r="A14" s="97">
        <v>11</v>
      </c>
      <c r="B14" s="36"/>
      <c r="C14" s="36"/>
      <c r="D14" s="36"/>
    </row>
    <row r="15" spans="1:4" x14ac:dyDescent="0.25">
      <c r="A15" s="97">
        <v>12</v>
      </c>
      <c r="B15" s="36"/>
      <c r="C15" s="36"/>
      <c r="D15" s="36"/>
    </row>
    <row r="16" spans="1:4" x14ac:dyDescent="0.25">
      <c r="A16" s="97">
        <v>13</v>
      </c>
      <c r="B16" s="36"/>
      <c r="C16" s="36"/>
      <c r="D16" s="36"/>
    </row>
    <row r="17" spans="1:4" x14ac:dyDescent="0.25">
      <c r="A17" s="97">
        <v>14</v>
      </c>
      <c r="B17" s="36"/>
      <c r="C17" s="36"/>
      <c r="D17" s="36"/>
    </row>
    <row r="18" spans="1:4" x14ac:dyDescent="0.25">
      <c r="A18" s="97">
        <v>15</v>
      </c>
      <c r="B18" s="36"/>
      <c r="C18" s="36"/>
      <c r="D18" s="36"/>
    </row>
    <row r="19" spans="1:4" x14ac:dyDescent="0.25">
      <c r="A19" s="97">
        <v>16</v>
      </c>
      <c r="B19" s="36"/>
      <c r="C19" s="36"/>
      <c r="D19" s="36"/>
    </row>
    <row r="20" spans="1:4" x14ac:dyDescent="0.25">
      <c r="A20" s="97">
        <v>17</v>
      </c>
      <c r="B20" s="36"/>
      <c r="C20" s="36"/>
      <c r="D20" s="36"/>
    </row>
    <row r="21" spans="1:4" x14ac:dyDescent="0.25">
      <c r="A21" s="97">
        <v>18</v>
      </c>
      <c r="B21" s="36"/>
      <c r="C21" s="36"/>
      <c r="D21" s="36"/>
    </row>
    <row r="22" spans="1:4" x14ac:dyDescent="0.25">
      <c r="A22" s="97">
        <v>19</v>
      </c>
      <c r="B22" s="36"/>
      <c r="C22" s="36"/>
      <c r="D22" s="36"/>
    </row>
    <row r="23" spans="1:4" x14ac:dyDescent="0.25">
      <c r="A23" s="97">
        <v>20</v>
      </c>
      <c r="B23" s="36"/>
      <c r="C23" s="36"/>
      <c r="D23" s="36"/>
    </row>
    <row r="24" spans="1:4" x14ac:dyDescent="0.25">
      <c r="A24" s="97">
        <v>21</v>
      </c>
      <c r="B24" s="36"/>
      <c r="C24" s="36"/>
      <c r="D24" s="36"/>
    </row>
    <row r="25" spans="1:4" x14ac:dyDescent="0.25">
      <c r="A25" s="97">
        <v>22</v>
      </c>
      <c r="B25" s="36"/>
      <c r="C25" s="36"/>
      <c r="D25" s="36"/>
    </row>
    <row r="26" spans="1:4" x14ac:dyDescent="0.25">
      <c r="A26" s="97">
        <v>23</v>
      </c>
      <c r="B26" s="36"/>
      <c r="C26" s="36"/>
      <c r="D26" s="36"/>
    </row>
    <row r="27" spans="1:4" x14ac:dyDescent="0.25">
      <c r="A27" s="97">
        <v>24</v>
      </c>
      <c r="B27" s="36"/>
      <c r="C27" s="36"/>
      <c r="D27" s="36"/>
    </row>
    <row r="28" spans="1:4" x14ac:dyDescent="0.25">
      <c r="A28" s="97">
        <v>25</v>
      </c>
      <c r="B28" s="36"/>
      <c r="C28" s="36"/>
      <c r="D28" s="36"/>
    </row>
    <row r="30" spans="1:4" x14ac:dyDescent="0.25">
      <c r="A30" s="96" t="s">
        <v>97</v>
      </c>
      <c r="B30" s="96"/>
      <c r="C30" s="96"/>
    </row>
    <row r="31" spans="1:4" x14ac:dyDescent="0.25">
      <c r="A31" s="96" t="s">
        <v>98</v>
      </c>
      <c r="B31" s="96"/>
      <c r="C31" s="96"/>
    </row>
    <row r="32" spans="1:4" x14ac:dyDescent="0.25">
      <c r="A32" s="96" t="s">
        <v>99</v>
      </c>
      <c r="B32" s="96"/>
      <c r="C32" s="96"/>
    </row>
    <row r="33" spans="1:3" x14ac:dyDescent="0.25">
      <c r="A33" s="96" t="s">
        <v>100</v>
      </c>
      <c r="B33" s="96"/>
      <c r="C33" s="96"/>
    </row>
  </sheetData>
  <sheetProtection sheet="1" objects="1" scenarios="1" selectLockedCells="1"/>
  <mergeCells count="1">
    <mergeCell ref="A2:D2"/>
  </mergeCells>
  <phoneticPr fontId="23" type="noConversion"/>
  <pageMargins left="0.25" right="0.25" top="0.75" bottom="0.75" header="0.3" footer="0.3"/>
  <pageSetup scale="96" orientation="portrait" horizontalDpi="180" verticalDpi="180"/>
  <headerFooter>
    <oddHeader>&amp;LUSAJR Regional Tournament&amp;R&amp;A</oddHeader>
    <oddFooter>&amp;RPage &amp;P of &amp;N</oddFooter>
  </headerFooter>
  <customProperties>
    <customPr name="DVSECTIONID" r:id="rId1"/>
  </customProperties>
  <extLst>
    <ext xmlns:mx="http://schemas.microsoft.com/office/mac/excel/2008/main" uri="{64002731-A6B0-56B0-2670-7721B7C09600}">
      <mx:PLV Mode="0" OnePage="0" WScale="83"/>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3"/>
  <sheetViews>
    <sheetView workbookViewId="0">
      <selection activeCell="B4" sqref="B4"/>
    </sheetView>
  </sheetViews>
  <sheetFormatPr defaultColWidth="8.85546875" defaultRowHeight="15" x14ac:dyDescent="0.25"/>
  <cols>
    <col min="1" max="1" width="8.28515625" style="70" bestFit="1" customWidth="1"/>
    <col min="2" max="3" width="20.7109375" style="37" customWidth="1"/>
    <col min="4" max="4" width="14.28515625" style="70" customWidth="1"/>
    <col min="5" max="5" width="6" style="70" customWidth="1"/>
    <col min="6" max="6" width="15.85546875" style="70" customWidth="1"/>
    <col min="7" max="7" width="10.7109375" style="70" customWidth="1"/>
    <col min="8" max="8" width="10.28515625" style="70" bestFit="1" customWidth="1"/>
    <col min="9" max="9" width="9.42578125" style="37" customWidth="1"/>
    <col min="10" max="13" width="8.85546875" style="37"/>
    <col min="14" max="14" width="11.85546875" style="37" hidden="1" customWidth="1"/>
    <col min="15" max="15" width="4" style="37" hidden="1" customWidth="1"/>
    <col min="16" max="16" width="9.140625" style="37" hidden="1" customWidth="1"/>
    <col min="17" max="16384" width="8.85546875" style="37"/>
  </cols>
  <sheetData>
    <row r="1" spans="1:16" ht="18.75" x14ac:dyDescent="0.3">
      <c r="A1" s="71" t="s">
        <v>90</v>
      </c>
      <c r="H1" s="43" t="str">
        <f>CONCATENATE("Team: ",'Team Info'!$B$3)</f>
        <v xml:space="preserve">Team: </v>
      </c>
    </row>
    <row r="2" spans="1:16" ht="23.25" customHeight="1" x14ac:dyDescent="0.25">
      <c r="A2" s="166" t="s">
        <v>179</v>
      </c>
      <c r="B2" s="166"/>
      <c r="C2" s="166"/>
      <c r="D2" s="166"/>
      <c r="E2" s="166"/>
      <c r="F2" s="166"/>
      <c r="G2" s="166"/>
      <c r="H2" s="166"/>
      <c r="I2" s="166"/>
    </row>
    <row r="3" spans="1:16" ht="41.25" x14ac:dyDescent="0.25">
      <c r="A3" s="81" t="s">
        <v>8</v>
      </c>
      <c r="B3" s="82" t="s">
        <v>1</v>
      </c>
      <c r="C3" s="82" t="s">
        <v>2</v>
      </c>
      <c r="D3" s="83" t="s">
        <v>150</v>
      </c>
      <c r="E3" s="79" t="s">
        <v>3</v>
      </c>
      <c r="F3" s="83" t="s">
        <v>132</v>
      </c>
      <c r="G3" s="83" t="str">
        <f ca="1">"Age as of "
&amp;TEXT($N$4,"mm/dd/yy")</f>
        <v>Age as of 06/15/19</v>
      </c>
      <c r="H3" s="83" t="s">
        <v>64</v>
      </c>
      <c r="I3" s="83" t="s">
        <v>169</v>
      </c>
      <c r="N3" s="44" t="s">
        <v>82</v>
      </c>
    </row>
    <row r="4" spans="1:16" x14ac:dyDescent="0.25">
      <c r="A4" s="52">
        <v>1</v>
      </c>
      <c r="B4" s="99"/>
      <c r="C4" s="99"/>
      <c r="D4" s="100"/>
      <c r="E4" s="101"/>
      <c r="F4" s="105"/>
      <c r="G4" s="52" t="str">
        <f>IF(F4&gt;0,IF(MONTH(F4)&lt;MONTH($N$4),YEAR($N$4)-YEAR(F4),IF(AND(MONTH(F4)=MONTH($N$4),DAY($N$4)&gt;DAY(F4)),YEAR($N$4)-YEAR(F4),YEAR($N$4)-YEAR(F4)-1)),"")</f>
        <v/>
      </c>
      <c r="H4" s="52" t="str">
        <f t="shared" ref="H4:H35" si="0">IF(F4&gt;0,IF(F4&gt;=$N$7, IF( I4="Y","8-Under","9"),VLOOKUP(G4,AgeGroup,2)),"")</f>
        <v/>
      </c>
      <c r="I4" s="35"/>
      <c r="N4" s="153">
        <f ca="1">DATE(IF(MONTH(TODAY())&gt;7,YEAR(TODAY())+1,YEAR(TODAY())),6,15)</f>
        <v>43631</v>
      </c>
      <c r="O4" s="37" t="s">
        <v>128</v>
      </c>
      <c r="P4" s="37" t="s">
        <v>129</v>
      </c>
    </row>
    <row r="5" spans="1:16" x14ac:dyDescent="0.25">
      <c r="A5" s="52">
        <v>2</v>
      </c>
      <c r="B5" s="102"/>
      <c r="C5" s="102"/>
      <c r="D5" s="100"/>
      <c r="E5" s="101"/>
      <c r="F5" s="105"/>
      <c r="G5" s="52" t="str">
        <f t="shared" ref="G5:G68" si="1">IF(F5&gt;0,IF(MONTH(F5)&lt;MONTH($N$4),YEAR($N$4)-YEAR(F5),IF(AND(MONTH(F5)=MONTH($N$4),DAY($N$4)&gt;DAY(F5)),YEAR($N$4)-YEAR(F5),YEAR($N$4)-YEAR(F5)-1)),"")</f>
        <v/>
      </c>
      <c r="H5" s="52" t="str">
        <f t="shared" si="0"/>
        <v/>
      </c>
      <c r="I5" s="35"/>
      <c r="N5" s="73"/>
      <c r="O5" s="37" t="s">
        <v>127</v>
      </c>
      <c r="P5" s="37" t="s">
        <v>130</v>
      </c>
    </row>
    <row r="6" spans="1:16" x14ac:dyDescent="0.25">
      <c r="A6" s="52">
        <v>3</v>
      </c>
      <c r="B6" s="102"/>
      <c r="C6" s="102"/>
      <c r="D6" s="100"/>
      <c r="E6" s="101"/>
      <c r="F6" s="105"/>
      <c r="G6" s="52" t="str">
        <f t="shared" si="1"/>
        <v/>
      </c>
      <c r="H6" s="52" t="str">
        <f t="shared" si="0"/>
        <v/>
      </c>
      <c r="I6" s="35"/>
      <c r="N6" s="73" t="s">
        <v>168</v>
      </c>
    </row>
    <row r="7" spans="1:16" x14ac:dyDescent="0.25">
      <c r="A7" s="52">
        <v>4</v>
      </c>
      <c r="B7" s="102"/>
      <c r="C7" s="102"/>
      <c r="D7" s="100"/>
      <c r="E7" s="101"/>
      <c r="F7" s="105"/>
      <c r="G7" s="52" t="str">
        <f t="shared" si="1"/>
        <v/>
      </c>
      <c r="H7" s="52" t="str">
        <f t="shared" si="0"/>
        <v/>
      </c>
      <c r="I7" s="35"/>
      <c r="N7" s="72">
        <f ca="1">N4-(9*365)-3</f>
        <v>40343</v>
      </c>
    </row>
    <row r="8" spans="1:16" x14ac:dyDescent="0.25">
      <c r="A8" s="52">
        <v>5</v>
      </c>
      <c r="B8" s="102"/>
      <c r="C8" s="99"/>
      <c r="D8" s="100"/>
      <c r="E8" s="101"/>
      <c r="F8" s="105"/>
      <c r="G8" s="52" t="str">
        <f t="shared" si="1"/>
        <v/>
      </c>
      <c r="H8" s="52" t="str">
        <f t="shared" si="0"/>
        <v/>
      </c>
      <c r="I8" s="35"/>
      <c r="N8" s="73"/>
    </row>
    <row r="9" spans="1:16" x14ac:dyDescent="0.25">
      <c r="A9" s="52">
        <v>6</v>
      </c>
      <c r="B9" s="102"/>
      <c r="C9" s="102"/>
      <c r="D9" s="100"/>
      <c r="E9" s="101"/>
      <c r="F9" s="105"/>
      <c r="G9" s="52" t="str">
        <f t="shared" si="1"/>
        <v/>
      </c>
      <c r="H9" s="52" t="str">
        <f t="shared" si="0"/>
        <v/>
      </c>
      <c r="I9" s="35"/>
      <c r="N9" s="73"/>
    </row>
    <row r="10" spans="1:16" x14ac:dyDescent="0.25">
      <c r="A10" s="52">
        <v>7</v>
      </c>
      <c r="B10" s="99"/>
      <c r="C10" s="102"/>
      <c r="D10" s="100"/>
      <c r="E10" s="101"/>
      <c r="F10" s="105"/>
      <c r="G10" s="52" t="str">
        <f t="shared" si="1"/>
        <v/>
      </c>
      <c r="H10" s="52" t="str">
        <f t="shared" si="0"/>
        <v/>
      </c>
      <c r="I10" s="35"/>
      <c r="N10" s="73"/>
    </row>
    <row r="11" spans="1:16" x14ac:dyDescent="0.25">
      <c r="A11" s="52">
        <v>8</v>
      </c>
      <c r="B11" s="99"/>
      <c r="C11" s="102"/>
      <c r="D11" s="100"/>
      <c r="E11" s="101"/>
      <c r="F11" s="105"/>
      <c r="G11" s="52" t="str">
        <f t="shared" si="1"/>
        <v/>
      </c>
      <c r="H11" s="52" t="str">
        <f t="shared" si="0"/>
        <v/>
      </c>
      <c r="I11" s="35"/>
      <c r="N11" s="73"/>
    </row>
    <row r="12" spans="1:16" x14ac:dyDescent="0.25">
      <c r="A12" s="52">
        <v>9</v>
      </c>
      <c r="B12" s="99"/>
      <c r="C12" s="99"/>
      <c r="D12" s="100"/>
      <c r="E12" s="101"/>
      <c r="F12" s="105"/>
      <c r="G12" s="52" t="str">
        <f t="shared" si="1"/>
        <v/>
      </c>
      <c r="H12" s="52" t="str">
        <f t="shared" si="0"/>
        <v/>
      </c>
      <c r="I12" s="35"/>
      <c r="N12" s="73"/>
    </row>
    <row r="13" spans="1:16" x14ac:dyDescent="0.25">
      <c r="A13" s="52">
        <v>10</v>
      </c>
      <c r="B13" s="102"/>
      <c r="C13" s="102"/>
      <c r="D13" s="100"/>
      <c r="E13" s="101"/>
      <c r="F13" s="105"/>
      <c r="G13" s="52" t="str">
        <f t="shared" si="1"/>
        <v/>
      </c>
      <c r="H13" s="52" t="str">
        <f t="shared" si="0"/>
        <v/>
      </c>
      <c r="I13" s="35"/>
      <c r="N13" s="73"/>
    </row>
    <row r="14" spans="1:16" x14ac:dyDescent="0.25">
      <c r="A14" s="52">
        <v>11</v>
      </c>
      <c r="B14" s="99"/>
      <c r="C14" s="102"/>
      <c r="D14" s="100"/>
      <c r="E14" s="101"/>
      <c r="F14" s="105"/>
      <c r="G14" s="52" t="str">
        <f t="shared" si="1"/>
        <v/>
      </c>
      <c r="H14" s="52" t="str">
        <f t="shared" si="0"/>
        <v/>
      </c>
      <c r="I14" s="35"/>
      <c r="N14" s="73"/>
    </row>
    <row r="15" spans="1:16" x14ac:dyDescent="0.25">
      <c r="A15" s="52">
        <v>12</v>
      </c>
      <c r="B15" s="99"/>
      <c r="C15" s="102"/>
      <c r="D15" s="100"/>
      <c r="E15" s="101"/>
      <c r="F15" s="105"/>
      <c r="G15" s="52" t="str">
        <f t="shared" si="1"/>
        <v/>
      </c>
      <c r="H15" s="52" t="str">
        <f t="shared" si="0"/>
        <v/>
      </c>
      <c r="I15" s="35"/>
      <c r="N15" s="73"/>
    </row>
    <row r="16" spans="1:16" x14ac:dyDescent="0.25">
      <c r="A16" s="52">
        <v>13</v>
      </c>
      <c r="B16" s="99"/>
      <c r="C16" s="102"/>
      <c r="D16" s="100"/>
      <c r="E16" s="101"/>
      <c r="F16" s="105"/>
      <c r="G16" s="52" t="str">
        <f t="shared" si="1"/>
        <v/>
      </c>
      <c r="H16" s="52" t="str">
        <f t="shared" si="0"/>
        <v/>
      </c>
      <c r="I16" s="35"/>
      <c r="N16" s="73"/>
    </row>
    <row r="17" spans="1:14" x14ac:dyDescent="0.25">
      <c r="A17" s="52">
        <v>14</v>
      </c>
      <c r="B17" s="99"/>
      <c r="C17" s="102"/>
      <c r="D17" s="100"/>
      <c r="E17" s="101"/>
      <c r="F17" s="105"/>
      <c r="G17" s="52" t="str">
        <f t="shared" si="1"/>
        <v/>
      </c>
      <c r="H17" s="52" t="str">
        <f t="shared" si="0"/>
        <v/>
      </c>
      <c r="I17" s="35"/>
      <c r="N17" s="73"/>
    </row>
    <row r="18" spans="1:14" x14ac:dyDescent="0.25">
      <c r="A18" s="52">
        <v>15</v>
      </c>
      <c r="B18" s="102"/>
      <c r="C18" s="102"/>
      <c r="D18" s="100"/>
      <c r="E18" s="101"/>
      <c r="F18" s="105"/>
      <c r="G18" s="52" t="str">
        <f t="shared" si="1"/>
        <v/>
      </c>
      <c r="H18" s="52" t="str">
        <f t="shared" si="0"/>
        <v/>
      </c>
      <c r="I18" s="35"/>
      <c r="N18" s="73"/>
    </row>
    <row r="19" spans="1:14" x14ac:dyDescent="0.25">
      <c r="A19" s="52">
        <v>16</v>
      </c>
      <c r="B19" s="99"/>
      <c r="C19" s="99"/>
      <c r="D19" s="100"/>
      <c r="E19" s="101"/>
      <c r="F19" s="105"/>
      <c r="G19" s="52" t="str">
        <f t="shared" si="1"/>
        <v/>
      </c>
      <c r="H19" s="52" t="str">
        <f t="shared" si="0"/>
        <v/>
      </c>
      <c r="I19" s="35"/>
      <c r="N19" s="73"/>
    </row>
    <row r="20" spans="1:14" x14ac:dyDescent="0.25">
      <c r="A20" s="52">
        <v>17</v>
      </c>
      <c r="B20" s="99"/>
      <c r="C20" s="102"/>
      <c r="D20" s="100"/>
      <c r="E20" s="101"/>
      <c r="F20" s="105"/>
      <c r="G20" s="52" t="str">
        <f t="shared" si="1"/>
        <v/>
      </c>
      <c r="H20" s="52" t="str">
        <f t="shared" si="0"/>
        <v/>
      </c>
      <c r="I20" s="35"/>
      <c r="N20" s="73"/>
    </row>
    <row r="21" spans="1:14" x14ac:dyDescent="0.25">
      <c r="A21" s="52">
        <v>18</v>
      </c>
      <c r="B21" s="99"/>
      <c r="C21" s="102"/>
      <c r="D21" s="100"/>
      <c r="E21" s="101"/>
      <c r="F21" s="105"/>
      <c r="G21" s="52" t="str">
        <f t="shared" si="1"/>
        <v/>
      </c>
      <c r="H21" s="52" t="str">
        <f t="shared" si="0"/>
        <v/>
      </c>
      <c r="I21" s="35"/>
      <c r="N21" s="73"/>
    </row>
    <row r="22" spans="1:14" x14ac:dyDescent="0.25">
      <c r="A22" s="52">
        <v>19</v>
      </c>
      <c r="B22" s="102"/>
      <c r="C22" s="102"/>
      <c r="D22" s="100"/>
      <c r="E22" s="101"/>
      <c r="F22" s="105"/>
      <c r="G22" s="52" t="str">
        <f t="shared" si="1"/>
        <v/>
      </c>
      <c r="H22" s="52" t="str">
        <f t="shared" si="0"/>
        <v/>
      </c>
      <c r="I22" s="35"/>
      <c r="N22" s="73"/>
    </row>
    <row r="23" spans="1:14" x14ac:dyDescent="0.25">
      <c r="A23" s="52">
        <v>20</v>
      </c>
      <c r="B23" s="99"/>
      <c r="C23" s="99"/>
      <c r="D23" s="100"/>
      <c r="E23" s="101"/>
      <c r="F23" s="105"/>
      <c r="G23" s="52" t="str">
        <f t="shared" si="1"/>
        <v/>
      </c>
      <c r="H23" s="52" t="str">
        <f t="shared" si="0"/>
        <v/>
      </c>
      <c r="I23" s="35"/>
      <c r="N23" s="73"/>
    </row>
    <row r="24" spans="1:14" x14ac:dyDescent="0.25">
      <c r="A24" s="52">
        <v>21</v>
      </c>
      <c r="B24" s="99"/>
      <c r="C24" s="102"/>
      <c r="D24" s="100"/>
      <c r="E24" s="101"/>
      <c r="F24" s="105"/>
      <c r="G24" s="52" t="str">
        <f t="shared" si="1"/>
        <v/>
      </c>
      <c r="H24" s="52" t="str">
        <f t="shared" si="0"/>
        <v/>
      </c>
      <c r="I24" s="35"/>
      <c r="N24" s="73"/>
    </row>
    <row r="25" spans="1:14" x14ac:dyDescent="0.25">
      <c r="A25" s="52">
        <v>22</v>
      </c>
      <c r="B25" s="103"/>
      <c r="C25" s="102"/>
      <c r="D25" s="100"/>
      <c r="E25" s="101"/>
      <c r="F25" s="105"/>
      <c r="G25" s="52" t="str">
        <f t="shared" si="1"/>
        <v/>
      </c>
      <c r="H25" s="52" t="str">
        <f t="shared" si="0"/>
        <v/>
      </c>
      <c r="I25" s="35"/>
      <c r="N25" s="73"/>
    </row>
    <row r="26" spans="1:14" x14ac:dyDescent="0.25">
      <c r="A26" s="52">
        <v>23</v>
      </c>
      <c r="B26" s="102"/>
      <c r="C26" s="102"/>
      <c r="D26" s="100"/>
      <c r="E26" s="101"/>
      <c r="F26" s="105"/>
      <c r="G26" s="52" t="str">
        <f t="shared" si="1"/>
        <v/>
      </c>
      <c r="H26" s="52" t="str">
        <f t="shared" si="0"/>
        <v/>
      </c>
      <c r="I26" s="35"/>
      <c r="N26" s="73"/>
    </row>
    <row r="27" spans="1:14" x14ac:dyDescent="0.25">
      <c r="A27" s="52">
        <v>24</v>
      </c>
      <c r="B27" s="99"/>
      <c r="C27" s="99"/>
      <c r="D27" s="100"/>
      <c r="E27" s="101"/>
      <c r="F27" s="105"/>
      <c r="G27" s="52" t="str">
        <f t="shared" si="1"/>
        <v/>
      </c>
      <c r="H27" s="52" t="str">
        <f t="shared" si="0"/>
        <v/>
      </c>
      <c r="I27" s="35"/>
      <c r="N27" s="73"/>
    </row>
    <row r="28" spans="1:14" x14ac:dyDescent="0.25">
      <c r="A28" s="52">
        <v>25</v>
      </c>
      <c r="B28" s="102"/>
      <c r="C28" s="102"/>
      <c r="D28" s="100"/>
      <c r="E28" s="101"/>
      <c r="F28" s="105"/>
      <c r="G28" s="52" t="str">
        <f t="shared" si="1"/>
        <v/>
      </c>
      <c r="H28" s="52" t="str">
        <f t="shared" si="0"/>
        <v/>
      </c>
      <c r="I28" s="35"/>
      <c r="N28" s="73"/>
    </row>
    <row r="29" spans="1:14" x14ac:dyDescent="0.25">
      <c r="A29" s="52">
        <v>26</v>
      </c>
      <c r="B29" s="99"/>
      <c r="C29" s="99"/>
      <c r="D29" s="100"/>
      <c r="E29" s="101"/>
      <c r="F29" s="105"/>
      <c r="G29" s="52" t="str">
        <f t="shared" si="1"/>
        <v/>
      </c>
      <c r="H29" s="52" t="str">
        <f t="shared" si="0"/>
        <v/>
      </c>
      <c r="I29" s="35"/>
      <c r="N29" s="73"/>
    </row>
    <row r="30" spans="1:14" x14ac:dyDescent="0.25">
      <c r="A30" s="52">
        <v>27</v>
      </c>
      <c r="B30" s="99"/>
      <c r="C30" s="99"/>
      <c r="D30" s="100"/>
      <c r="E30" s="101"/>
      <c r="F30" s="105"/>
      <c r="G30" s="52" t="str">
        <f t="shared" si="1"/>
        <v/>
      </c>
      <c r="H30" s="52" t="str">
        <f t="shared" si="0"/>
        <v/>
      </c>
      <c r="I30" s="35"/>
      <c r="N30" s="73"/>
    </row>
    <row r="31" spans="1:14" x14ac:dyDescent="0.25">
      <c r="A31" s="52">
        <v>28</v>
      </c>
      <c r="B31" s="102"/>
      <c r="C31" s="102"/>
      <c r="D31" s="100"/>
      <c r="E31" s="101"/>
      <c r="F31" s="105"/>
      <c r="G31" s="52" t="str">
        <f t="shared" ref="G31:G33" si="2">IF(F31&gt;0,IF(MONTH(F31)&lt;MONTH($N$4),YEAR($N$4)-YEAR(F31),IF(AND(MONTH(F31)=MONTH($N$4),DAY($N$4)&gt;DAY(F31)),YEAR($N$4)-YEAR(F31),YEAR($N$4)-YEAR(F31)-1)),"")</f>
        <v/>
      </c>
      <c r="H31" s="52" t="str">
        <f t="shared" ref="H31:H33" si="3">IF(F31&gt;0,IF(F31&gt;=$N$7, IF( I31="Y","8-Under","9"),VLOOKUP(G31,AgeGroup,2)),"")</f>
        <v/>
      </c>
      <c r="I31" s="35"/>
      <c r="N31" s="73"/>
    </row>
    <row r="32" spans="1:14" x14ac:dyDescent="0.25">
      <c r="A32" s="52">
        <v>29</v>
      </c>
      <c r="B32" s="99"/>
      <c r="C32" s="99"/>
      <c r="D32" s="100"/>
      <c r="E32" s="101"/>
      <c r="F32" s="105"/>
      <c r="G32" s="52" t="str">
        <f t="shared" si="2"/>
        <v/>
      </c>
      <c r="H32" s="52" t="str">
        <f t="shared" si="3"/>
        <v/>
      </c>
      <c r="I32" s="35"/>
      <c r="N32" s="73"/>
    </row>
    <row r="33" spans="1:14" x14ac:dyDescent="0.25">
      <c r="A33" s="52">
        <v>30</v>
      </c>
      <c r="B33" s="99"/>
      <c r="C33" s="99"/>
      <c r="D33" s="100"/>
      <c r="E33" s="101"/>
      <c r="F33" s="105"/>
      <c r="G33" s="52" t="str">
        <f t="shared" si="2"/>
        <v/>
      </c>
      <c r="H33" s="52" t="str">
        <f t="shared" si="3"/>
        <v/>
      </c>
      <c r="I33" s="35"/>
      <c r="N33" s="73"/>
    </row>
    <row r="34" spans="1:14" x14ac:dyDescent="0.25">
      <c r="A34" s="52">
        <v>31</v>
      </c>
      <c r="B34" s="99"/>
      <c r="C34" s="99"/>
      <c r="D34" s="100"/>
      <c r="E34" s="101"/>
      <c r="F34" s="105"/>
      <c r="G34" s="52" t="str">
        <f t="shared" si="1"/>
        <v/>
      </c>
      <c r="H34" s="52" t="str">
        <f t="shared" si="0"/>
        <v/>
      </c>
      <c r="I34" s="35"/>
      <c r="N34" s="73"/>
    </row>
    <row r="35" spans="1:14" x14ac:dyDescent="0.25">
      <c r="A35" s="52">
        <v>32</v>
      </c>
      <c r="B35" s="99"/>
      <c r="C35" s="99"/>
      <c r="D35" s="100"/>
      <c r="E35" s="101"/>
      <c r="F35" s="105"/>
      <c r="G35" s="52" t="str">
        <f t="shared" si="1"/>
        <v/>
      </c>
      <c r="H35" s="52" t="str">
        <f t="shared" si="0"/>
        <v/>
      </c>
      <c r="I35" s="35"/>
      <c r="N35" s="73"/>
    </row>
    <row r="36" spans="1:14" x14ac:dyDescent="0.25">
      <c r="A36" s="52">
        <v>33</v>
      </c>
      <c r="B36" s="99"/>
      <c r="C36" s="99"/>
      <c r="D36" s="100"/>
      <c r="E36" s="101"/>
      <c r="F36" s="105"/>
      <c r="G36" s="52" t="str">
        <f t="shared" si="1"/>
        <v/>
      </c>
      <c r="H36" s="52" t="str">
        <f t="shared" ref="H36:H67" si="4">IF(F36&gt;0,IF(F36&gt;=$N$7, IF( I36="Y","8-Under","9"),VLOOKUP(G36,AgeGroup,2)),"")</f>
        <v/>
      </c>
      <c r="I36" s="35"/>
      <c r="N36" s="73"/>
    </row>
    <row r="37" spans="1:14" x14ac:dyDescent="0.25">
      <c r="A37" s="52">
        <v>34</v>
      </c>
      <c r="B37" s="99"/>
      <c r="C37" s="99"/>
      <c r="D37" s="100"/>
      <c r="E37" s="101"/>
      <c r="F37" s="105"/>
      <c r="G37" s="52" t="str">
        <f t="shared" si="1"/>
        <v/>
      </c>
      <c r="H37" s="52" t="str">
        <f t="shared" si="4"/>
        <v/>
      </c>
      <c r="I37" s="35"/>
      <c r="N37" s="73"/>
    </row>
    <row r="38" spans="1:14" x14ac:dyDescent="0.25">
      <c r="A38" s="52">
        <v>35</v>
      </c>
      <c r="B38" s="99"/>
      <c r="C38" s="99"/>
      <c r="D38" s="100"/>
      <c r="E38" s="101"/>
      <c r="F38" s="105"/>
      <c r="G38" s="52" t="str">
        <f t="shared" si="1"/>
        <v/>
      </c>
      <c r="H38" s="52" t="str">
        <f t="shared" si="4"/>
        <v/>
      </c>
      <c r="I38" s="35"/>
      <c r="N38" s="73"/>
    </row>
    <row r="39" spans="1:14" x14ac:dyDescent="0.25">
      <c r="A39" s="52">
        <v>36</v>
      </c>
      <c r="B39" s="99"/>
      <c r="C39" s="99"/>
      <c r="D39" s="100"/>
      <c r="E39" s="101"/>
      <c r="F39" s="105"/>
      <c r="G39" s="52" t="str">
        <f t="shared" si="1"/>
        <v/>
      </c>
      <c r="H39" s="52" t="str">
        <f t="shared" si="4"/>
        <v/>
      </c>
      <c r="I39" s="35"/>
      <c r="N39" s="73"/>
    </row>
    <row r="40" spans="1:14" x14ac:dyDescent="0.25">
      <c r="A40" s="52">
        <v>37</v>
      </c>
      <c r="B40" s="99"/>
      <c r="C40" s="99"/>
      <c r="D40" s="100"/>
      <c r="E40" s="101"/>
      <c r="F40" s="105"/>
      <c r="G40" s="52" t="str">
        <f t="shared" si="1"/>
        <v/>
      </c>
      <c r="H40" s="52" t="str">
        <f t="shared" si="4"/>
        <v/>
      </c>
      <c r="I40" s="35"/>
      <c r="N40" s="73"/>
    </row>
    <row r="41" spans="1:14" x14ac:dyDescent="0.25">
      <c r="A41" s="52">
        <v>38</v>
      </c>
      <c r="B41" s="99"/>
      <c r="C41" s="99"/>
      <c r="D41" s="100"/>
      <c r="E41" s="101"/>
      <c r="F41" s="105"/>
      <c r="G41" s="52" t="str">
        <f t="shared" si="1"/>
        <v/>
      </c>
      <c r="H41" s="52" t="str">
        <f t="shared" si="4"/>
        <v/>
      </c>
      <c r="I41" s="35"/>
      <c r="N41" s="73"/>
    </row>
    <row r="42" spans="1:14" x14ac:dyDescent="0.25">
      <c r="A42" s="52">
        <v>39</v>
      </c>
      <c r="B42" s="99"/>
      <c r="C42" s="99"/>
      <c r="D42" s="100"/>
      <c r="E42" s="101"/>
      <c r="F42" s="105"/>
      <c r="G42" s="52" t="str">
        <f t="shared" si="1"/>
        <v/>
      </c>
      <c r="H42" s="52" t="str">
        <f t="shared" si="4"/>
        <v/>
      </c>
      <c r="I42" s="35"/>
      <c r="N42" s="73"/>
    </row>
    <row r="43" spans="1:14" x14ac:dyDescent="0.25">
      <c r="A43" s="52">
        <v>40</v>
      </c>
      <c r="B43" s="99"/>
      <c r="C43" s="99"/>
      <c r="D43" s="100"/>
      <c r="E43" s="101"/>
      <c r="F43" s="105"/>
      <c r="G43" s="52" t="str">
        <f t="shared" si="1"/>
        <v/>
      </c>
      <c r="H43" s="52" t="str">
        <f t="shared" si="4"/>
        <v/>
      </c>
      <c r="I43" s="35"/>
      <c r="N43" s="73"/>
    </row>
    <row r="44" spans="1:14" x14ac:dyDescent="0.25">
      <c r="A44" s="52">
        <v>41</v>
      </c>
      <c r="B44" s="99"/>
      <c r="C44" s="99"/>
      <c r="D44" s="100"/>
      <c r="E44" s="101"/>
      <c r="F44" s="105"/>
      <c r="G44" s="52" t="str">
        <f t="shared" si="1"/>
        <v/>
      </c>
      <c r="H44" s="52" t="str">
        <f t="shared" si="4"/>
        <v/>
      </c>
      <c r="I44" s="35"/>
      <c r="N44" s="73"/>
    </row>
    <row r="45" spans="1:14" x14ac:dyDescent="0.25">
      <c r="A45" s="52">
        <v>42</v>
      </c>
      <c r="B45" s="99"/>
      <c r="C45" s="99"/>
      <c r="D45" s="100"/>
      <c r="E45" s="101"/>
      <c r="F45" s="105"/>
      <c r="G45" s="52" t="str">
        <f t="shared" si="1"/>
        <v/>
      </c>
      <c r="H45" s="52" t="str">
        <f t="shared" si="4"/>
        <v/>
      </c>
      <c r="I45" s="35"/>
      <c r="N45" s="73"/>
    </row>
    <row r="46" spans="1:14" x14ac:dyDescent="0.25">
      <c r="A46" s="52">
        <v>43</v>
      </c>
      <c r="B46" s="102"/>
      <c r="C46" s="102"/>
      <c r="D46" s="100"/>
      <c r="E46" s="101"/>
      <c r="F46" s="105"/>
      <c r="G46" s="52" t="str">
        <f t="shared" si="1"/>
        <v/>
      </c>
      <c r="H46" s="52" t="str">
        <f t="shared" si="4"/>
        <v/>
      </c>
      <c r="I46" s="35"/>
      <c r="N46" s="73"/>
    </row>
    <row r="47" spans="1:14" x14ac:dyDescent="0.25">
      <c r="A47" s="52">
        <v>44</v>
      </c>
      <c r="B47" s="99"/>
      <c r="C47" s="99"/>
      <c r="D47" s="100"/>
      <c r="E47" s="101"/>
      <c r="F47" s="105"/>
      <c r="G47" s="52" t="str">
        <f t="shared" si="1"/>
        <v/>
      </c>
      <c r="H47" s="52" t="str">
        <f t="shared" si="4"/>
        <v/>
      </c>
      <c r="I47" s="35"/>
      <c r="N47" s="73"/>
    </row>
    <row r="48" spans="1:14" x14ac:dyDescent="0.25">
      <c r="A48" s="52">
        <v>45</v>
      </c>
      <c r="B48" s="99"/>
      <c r="C48" s="99"/>
      <c r="D48" s="100"/>
      <c r="E48" s="101"/>
      <c r="F48" s="105"/>
      <c r="G48" s="52" t="str">
        <f t="shared" si="1"/>
        <v/>
      </c>
      <c r="H48" s="52" t="str">
        <f t="shared" si="4"/>
        <v/>
      </c>
      <c r="I48" s="35"/>
      <c r="N48" s="73"/>
    </row>
    <row r="49" spans="1:14" x14ac:dyDescent="0.25">
      <c r="A49" s="52">
        <v>46</v>
      </c>
      <c r="B49" s="99"/>
      <c r="C49" s="99"/>
      <c r="D49" s="100"/>
      <c r="E49" s="101"/>
      <c r="F49" s="105"/>
      <c r="G49" s="52" t="str">
        <f t="shared" si="1"/>
        <v/>
      </c>
      <c r="H49" s="52" t="str">
        <f t="shared" si="4"/>
        <v/>
      </c>
      <c r="I49" s="35"/>
      <c r="N49" s="73"/>
    </row>
    <row r="50" spans="1:14" x14ac:dyDescent="0.25">
      <c r="A50" s="52">
        <v>47</v>
      </c>
      <c r="B50" s="102"/>
      <c r="C50" s="102"/>
      <c r="D50" s="100"/>
      <c r="E50" s="101"/>
      <c r="F50" s="105"/>
      <c r="G50" s="52" t="str">
        <f t="shared" si="1"/>
        <v/>
      </c>
      <c r="H50" s="52" t="str">
        <f t="shared" si="4"/>
        <v/>
      </c>
      <c r="I50" s="35"/>
      <c r="N50" s="73"/>
    </row>
    <row r="51" spans="1:14" x14ac:dyDescent="0.25">
      <c r="A51" s="52">
        <v>48</v>
      </c>
      <c r="B51" s="99"/>
      <c r="C51" s="99"/>
      <c r="D51" s="100"/>
      <c r="E51" s="101"/>
      <c r="F51" s="105"/>
      <c r="G51" s="52" t="str">
        <f t="shared" si="1"/>
        <v/>
      </c>
      <c r="H51" s="52" t="str">
        <f t="shared" si="4"/>
        <v/>
      </c>
      <c r="I51" s="35"/>
      <c r="N51" s="73"/>
    </row>
    <row r="52" spans="1:14" x14ac:dyDescent="0.25">
      <c r="A52" s="52">
        <v>49</v>
      </c>
      <c r="B52" s="99"/>
      <c r="C52" s="99"/>
      <c r="D52" s="100"/>
      <c r="E52" s="101"/>
      <c r="F52" s="105"/>
      <c r="G52" s="52" t="str">
        <f t="shared" si="1"/>
        <v/>
      </c>
      <c r="H52" s="52" t="str">
        <f t="shared" si="4"/>
        <v/>
      </c>
      <c r="I52" s="35"/>
      <c r="N52" s="73"/>
    </row>
    <row r="53" spans="1:14" x14ac:dyDescent="0.25">
      <c r="A53" s="52">
        <v>50</v>
      </c>
      <c r="B53" s="99"/>
      <c r="C53" s="99"/>
      <c r="D53" s="100"/>
      <c r="E53" s="101"/>
      <c r="F53" s="105"/>
      <c r="G53" s="52" t="str">
        <f t="shared" si="1"/>
        <v/>
      </c>
      <c r="H53" s="52" t="str">
        <f t="shared" si="4"/>
        <v/>
      </c>
      <c r="I53" s="35"/>
      <c r="N53" s="73"/>
    </row>
    <row r="54" spans="1:14" x14ac:dyDescent="0.25">
      <c r="A54" s="52">
        <v>51</v>
      </c>
      <c r="B54" s="99"/>
      <c r="C54" s="99"/>
      <c r="D54" s="100"/>
      <c r="E54" s="101"/>
      <c r="F54" s="105"/>
      <c r="G54" s="52" t="str">
        <f t="shared" si="1"/>
        <v/>
      </c>
      <c r="H54" s="52" t="str">
        <f t="shared" si="4"/>
        <v/>
      </c>
      <c r="I54" s="35"/>
    </row>
    <row r="55" spans="1:14" x14ac:dyDescent="0.25">
      <c r="A55" s="52">
        <v>52</v>
      </c>
      <c r="B55" s="99"/>
      <c r="C55" s="99"/>
      <c r="D55" s="100"/>
      <c r="E55" s="101"/>
      <c r="F55" s="105"/>
      <c r="G55" s="52" t="str">
        <f t="shared" si="1"/>
        <v/>
      </c>
      <c r="H55" s="52" t="str">
        <f t="shared" si="4"/>
        <v/>
      </c>
      <c r="I55" s="35"/>
    </row>
    <row r="56" spans="1:14" x14ac:dyDescent="0.25">
      <c r="A56" s="52">
        <v>53</v>
      </c>
      <c r="B56" s="99"/>
      <c r="C56" s="99"/>
      <c r="D56" s="100"/>
      <c r="E56" s="101"/>
      <c r="F56" s="105"/>
      <c r="G56" s="52" t="str">
        <f t="shared" si="1"/>
        <v/>
      </c>
      <c r="H56" s="52" t="str">
        <f t="shared" si="4"/>
        <v/>
      </c>
      <c r="I56" s="35"/>
    </row>
    <row r="57" spans="1:14" x14ac:dyDescent="0.25">
      <c r="A57" s="52">
        <v>54</v>
      </c>
      <c r="B57" s="99"/>
      <c r="C57" s="99"/>
      <c r="D57" s="100"/>
      <c r="E57" s="101"/>
      <c r="F57" s="105"/>
      <c r="G57" s="52" t="str">
        <f t="shared" si="1"/>
        <v/>
      </c>
      <c r="H57" s="52" t="str">
        <f t="shared" si="4"/>
        <v/>
      </c>
      <c r="I57" s="35"/>
    </row>
    <row r="58" spans="1:14" x14ac:dyDescent="0.25">
      <c r="A58" s="52">
        <v>55</v>
      </c>
      <c r="B58" s="99"/>
      <c r="C58" s="99"/>
      <c r="D58" s="100"/>
      <c r="E58" s="101"/>
      <c r="F58" s="105"/>
      <c r="G58" s="52" t="str">
        <f t="shared" si="1"/>
        <v/>
      </c>
      <c r="H58" s="52" t="str">
        <f t="shared" si="4"/>
        <v/>
      </c>
      <c r="I58" s="35"/>
    </row>
    <row r="59" spans="1:14" x14ac:dyDescent="0.25">
      <c r="A59" s="52">
        <v>56</v>
      </c>
      <c r="B59" s="99"/>
      <c r="C59" s="99"/>
      <c r="D59" s="100"/>
      <c r="E59" s="101"/>
      <c r="F59" s="105"/>
      <c r="G59" s="52" t="str">
        <f t="shared" si="1"/>
        <v/>
      </c>
      <c r="H59" s="52" t="str">
        <f t="shared" si="4"/>
        <v/>
      </c>
      <c r="I59" s="35"/>
    </row>
    <row r="60" spans="1:14" x14ac:dyDescent="0.25">
      <c r="A60" s="52">
        <v>57</v>
      </c>
      <c r="B60" s="99"/>
      <c r="C60" s="99"/>
      <c r="D60" s="100"/>
      <c r="E60" s="101"/>
      <c r="F60" s="105"/>
      <c r="G60" s="52" t="str">
        <f t="shared" si="1"/>
        <v/>
      </c>
      <c r="H60" s="52" t="str">
        <f t="shared" si="4"/>
        <v/>
      </c>
      <c r="I60" s="35"/>
    </row>
    <row r="61" spans="1:14" x14ac:dyDescent="0.25">
      <c r="A61" s="52">
        <v>58</v>
      </c>
      <c r="B61" s="102"/>
      <c r="C61" s="102"/>
      <c r="D61" s="100"/>
      <c r="E61" s="101"/>
      <c r="F61" s="105"/>
      <c r="G61" s="52" t="str">
        <f t="shared" si="1"/>
        <v/>
      </c>
      <c r="H61" s="52" t="str">
        <f t="shared" si="4"/>
        <v/>
      </c>
      <c r="I61" s="35"/>
    </row>
    <row r="62" spans="1:14" x14ac:dyDescent="0.25">
      <c r="A62" s="52">
        <v>59</v>
      </c>
      <c r="B62" s="99"/>
      <c r="C62" s="99"/>
      <c r="D62" s="100"/>
      <c r="E62" s="101"/>
      <c r="F62" s="105"/>
      <c r="G62" s="52" t="str">
        <f t="shared" si="1"/>
        <v/>
      </c>
      <c r="H62" s="52" t="str">
        <f t="shared" si="4"/>
        <v/>
      </c>
      <c r="I62" s="35"/>
    </row>
    <row r="63" spans="1:14" x14ac:dyDescent="0.25">
      <c r="A63" s="52">
        <v>60</v>
      </c>
      <c r="B63" s="99"/>
      <c r="C63" s="99"/>
      <c r="D63" s="100"/>
      <c r="E63" s="101"/>
      <c r="F63" s="105"/>
      <c r="G63" s="52" t="str">
        <f t="shared" si="1"/>
        <v/>
      </c>
      <c r="H63" s="52" t="str">
        <f t="shared" si="4"/>
        <v/>
      </c>
      <c r="I63" s="35"/>
    </row>
    <row r="64" spans="1:14" x14ac:dyDescent="0.25">
      <c r="A64" s="52">
        <v>61</v>
      </c>
      <c r="B64" s="99"/>
      <c r="C64" s="99"/>
      <c r="D64" s="100"/>
      <c r="E64" s="101"/>
      <c r="F64" s="105"/>
      <c r="G64" s="52" t="str">
        <f t="shared" si="1"/>
        <v/>
      </c>
      <c r="H64" s="52" t="str">
        <f t="shared" si="4"/>
        <v/>
      </c>
      <c r="I64" s="35"/>
    </row>
    <row r="65" spans="1:9" x14ac:dyDescent="0.25">
      <c r="A65" s="52">
        <v>62</v>
      </c>
      <c r="B65" s="99"/>
      <c r="C65" s="99"/>
      <c r="D65" s="100"/>
      <c r="E65" s="101"/>
      <c r="F65" s="106"/>
      <c r="G65" s="52" t="str">
        <f t="shared" si="1"/>
        <v/>
      </c>
      <c r="H65" s="52" t="str">
        <f t="shared" si="4"/>
        <v/>
      </c>
      <c r="I65" s="35"/>
    </row>
    <row r="66" spans="1:9" x14ac:dyDescent="0.25">
      <c r="A66" s="52">
        <v>63</v>
      </c>
      <c r="B66" s="99"/>
      <c r="C66" s="99"/>
      <c r="D66" s="100"/>
      <c r="E66" s="101"/>
      <c r="F66" s="105"/>
      <c r="G66" s="52" t="str">
        <f t="shared" si="1"/>
        <v/>
      </c>
      <c r="H66" s="52" t="str">
        <f t="shared" si="4"/>
        <v/>
      </c>
      <c r="I66" s="35"/>
    </row>
    <row r="67" spans="1:9" x14ac:dyDescent="0.25">
      <c r="A67" s="52">
        <v>64</v>
      </c>
      <c r="B67" s="99"/>
      <c r="C67" s="99"/>
      <c r="D67" s="100"/>
      <c r="E67" s="101"/>
      <c r="F67" s="105"/>
      <c r="G67" s="52" t="str">
        <f t="shared" si="1"/>
        <v/>
      </c>
      <c r="H67" s="52" t="str">
        <f t="shared" si="4"/>
        <v/>
      </c>
      <c r="I67" s="35"/>
    </row>
    <row r="68" spans="1:9" x14ac:dyDescent="0.25">
      <c r="A68" s="52">
        <v>65</v>
      </c>
      <c r="B68" s="99"/>
      <c r="C68" s="99"/>
      <c r="D68" s="100"/>
      <c r="E68" s="101"/>
      <c r="F68" s="105"/>
      <c r="G68" s="52" t="str">
        <f t="shared" si="1"/>
        <v/>
      </c>
      <c r="H68" s="52" t="str">
        <f t="shared" ref="H68:H99" si="5">IF(F68&gt;0,IF(F68&gt;=$N$7, IF( I68="Y","8-Under","9"),VLOOKUP(G68,AgeGroup,2)),"")</f>
        <v/>
      </c>
      <c r="I68" s="35"/>
    </row>
    <row r="69" spans="1:9" x14ac:dyDescent="0.25">
      <c r="A69" s="52">
        <v>66</v>
      </c>
      <c r="B69" s="99"/>
      <c r="C69" s="99"/>
      <c r="D69" s="100"/>
      <c r="E69" s="101"/>
      <c r="F69" s="105"/>
      <c r="G69" s="52" t="str">
        <f t="shared" ref="G69:G103" si="6">IF(F69&gt;0,IF(MONTH(F69)&lt;MONTH($N$4),YEAR($N$4)-YEAR(F69),IF(AND(MONTH(F69)=MONTH($N$4),DAY($N$4)&gt;DAY(F69)),YEAR($N$4)-YEAR(F69),YEAR($N$4)-YEAR(F69)-1)),"")</f>
        <v/>
      </c>
      <c r="H69" s="52" t="str">
        <f t="shared" si="5"/>
        <v/>
      </c>
      <c r="I69" s="35"/>
    </row>
    <row r="70" spans="1:9" x14ac:dyDescent="0.25">
      <c r="A70" s="52">
        <v>67</v>
      </c>
      <c r="B70" s="99"/>
      <c r="C70" s="99"/>
      <c r="D70" s="100"/>
      <c r="E70" s="101"/>
      <c r="F70" s="105"/>
      <c r="G70" s="52" t="str">
        <f t="shared" si="6"/>
        <v/>
      </c>
      <c r="H70" s="52" t="str">
        <f t="shared" si="5"/>
        <v/>
      </c>
      <c r="I70" s="35"/>
    </row>
    <row r="71" spans="1:9" x14ac:dyDescent="0.25">
      <c r="A71" s="52">
        <v>68</v>
      </c>
      <c r="B71" s="99"/>
      <c r="C71" s="99"/>
      <c r="D71" s="100"/>
      <c r="E71" s="101"/>
      <c r="F71" s="105"/>
      <c r="G71" s="52" t="str">
        <f t="shared" si="6"/>
        <v/>
      </c>
      <c r="H71" s="52" t="str">
        <f t="shared" si="5"/>
        <v/>
      </c>
      <c r="I71" s="35"/>
    </row>
    <row r="72" spans="1:9" x14ac:dyDescent="0.25">
      <c r="A72" s="52">
        <v>69</v>
      </c>
      <c r="B72" s="99"/>
      <c r="C72" s="99"/>
      <c r="D72" s="100"/>
      <c r="E72" s="101"/>
      <c r="F72" s="105"/>
      <c r="G72" s="52" t="str">
        <f t="shared" si="6"/>
        <v/>
      </c>
      <c r="H72" s="52" t="str">
        <f t="shared" ref="H72:H78" si="7">IF(F72&gt;0,IF(F72&gt;=$N$7, IF( I72="Y","8-Under","9"),VLOOKUP(G72,AgeGroup,2)),"")</f>
        <v/>
      </c>
      <c r="I72" s="35"/>
    </row>
    <row r="73" spans="1:9" x14ac:dyDescent="0.25">
      <c r="A73" s="52">
        <v>70</v>
      </c>
      <c r="B73" s="99"/>
      <c r="C73" s="99"/>
      <c r="D73" s="100"/>
      <c r="E73" s="101"/>
      <c r="F73" s="105"/>
      <c r="G73" s="52" t="str">
        <f t="shared" si="6"/>
        <v/>
      </c>
      <c r="H73" s="52" t="str">
        <f t="shared" si="7"/>
        <v/>
      </c>
      <c r="I73" s="35"/>
    </row>
    <row r="74" spans="1:9" x14ac:dyDescent="0.25">
      <c r="A74" s="52">
        <v>71</v>
      </c>
      <c r="B74" s="102"/>
      <c r="C74" s="99"/>
      <c r="D74" s="100"/>
      <c r="E74" s="101"/>
      <c r="F74" s="105"/>
      <c r="G74" s="52" t="str">
        <f t="shared" si="6"/>
        <v/>
      </c>
      <c r="H74" s="52" t="str">
        <f t="shared" si="7"/>
        <v/>
      </c>
      <c r="I74" s="35"/>
    </row>
    <row r="75" spans="1:9" x14ac:dyDescent="0.25">
      <c r="A75" s="52">
        <v>72</v>
      </c>
      <c r="B75" s="36"/>
      <c r="C75" s="36"/>
      <c r="D75" s="89"/>
      <c r="E75" s="35"/>
      <c r="F75" s="107"/>
      <c r="G75" s="52" t="str">
        <f t="shared" si="6"/>
        <v/>
      </c>
      <c r="H75" s="52" t="str">
        <f t="shared" si="7"/>
        <v/>
      </c>
      <c r="I75" s="35"/>
    </row>
    <row r="76" spans="1:9" x14ac:dyDescent="0.25">
      <c r="A76" s="52">
        <v>73</v>
      </c>
      <c r="B76" s="36"/>
      <c r="C76" s="36"/>
      <c r="D76" s="89"/>
      <c r="E76" s="35"/>
      <c r="F76" s="107"/>
      <c r="G76" s="52" t="str">
        <f t="shared" si="6"/>
        <v/>
      </c>
      <c r="H76" s="52" t="str">
        <f t="shared" si="7"/>
        <v/>
      </c>
      <c r="I76" s="35"/>
    </row>
    <row r="77" spans="1:9" x14ac:dyDescent="0.25">
      <c r="A77" s="52">
        <v>74</v>
      </c>
      <c r="B77" s="36"/>
      <c r="C77" s="36"/>
      <c r="D77" s="89"/>
      <c r="E77" s="35"/>
      <c r="F77" s="107"/>
      <c r="G77" s="52" t="str">
        <f t="shared" si="6"/>
        <v/>
      </c>
      <c r="H77" s="52" t="str">
        <f t="shared" si="7"/>
        <v/>
      </c>
      <c r="I77" s="35"/>
    </row>
    <row r="78" spans="1:9" x14ac:dyDescent="0.25">
      <c r="A78" s="52">
        <v>75</v>
      </c>
      <c r="B78" s="36"/>
      <c r="C78" s="36"/>
      <c r="D78" s="89"/>
      <c r="E78" s="35"/>
      <c r="F78" s="107"/>
      <c r="G78" s="52" t="str">
        <f t="shared" si="6"/>
        <v/>
      </c>
      <c r="H78" s="52" t="str">
        <f t="shared" si="7"/>
        <v/>
      </c>
      <c r="I78" s="35"/>
    </row>
    <row r="79" spans="1:9" x14ac:dyDescent="0.25">
      <c r="A79" s="52">
        <v>76</v>
      </c>
      <c r="B79" s="36"/>
      <c r="C79" s="36"/>
      <c r="D79" s="89"/>
      <c r="E79" s="35"/>
      <c r="F79" s="107"/>
      <c r="G79" s="52" t="str">
        <f t="shared" si="6"/>
        <v/>
      </c>
      <c r="H79" s="52" t="str">
        <f t="shared" si="5"/>
        <v/>
      </c>
      <c r="I79" s="35"/>
    </row>
    <row r="80" spans="1:9" x14ac:dyDescent="0.25">
      <c r="A80" s="52">
        <v>77</v>
      </c>
      <c r="B80" s="36"/>
      <c r="C80" s="36"/>
      <c r="D80" s="89"/>
      <c r="E80" s="35"/>
      <c r="F80" s="107"/>
      <c r="G80" s="52" t="str">
        <f t="shared" si="6"/>
        <v/>
      </c>
      <c r="H80" s="52" t="str">
        <f t="shared" si="5"/>
        <v/>
      </c>
      <c r="I80" s="35"/>
    </row>
    <row r="81" spans="1:9" x14ac:dyDescent="0.25">
      <c r="A81" s="52">
        <v>78</v>
      </c>
      <c r="B81" s="36"/>
      <c r="C81" s="36"/>
      <c r="D81" s="89"/>
      <c r="E81" s="35"/>
      <c r="F81" s="107"/>
      <c r="G81" s="52" t="str">
        <f t="shared" si="6"/>
        <v/>
      </c>
      <c r="H81" s="52" t="str">
        <f t="shared" si="5"/>
        <v/>
      </c>
      <c r="I81" s="35"/>
    </row>
    <row r="82" spans="1:9" x14ac:dyDescent="0.25">
      <c r="A82" s="52">
        <v>79</v>
      </c>
      <c r="B82" s="36"/>
      <c r="C82" s="36"/>
      <c r="D82" s="89"/>
      <c r="E82" s="35"/>
      <c r="F82" s="107"/>
      <c r="G82" s="52" t="str">
        <f t="shared" si="6"/>
        <v/>
      </c>
      <c r="H82" s="52" t="str">
        <f t="shared" si="5"/>
        <v/>
      </c>
      <c r="I82" s="35"/>
    </row>
    <row r="83" spans="1:9" x14ac:dyDescent="0.25">
      <c r="A83" s="52">
        <v>80</v>
      </c>
      <c r="B83" s="36"/>
      <c r="C83" s="36"/>
      <c r="D83" s="89"/>
      <c r="E83" s="35"/>
      <c r="F83" s="107"/>
      <c r="G83" s="52" t="str">
        <f t="shared" si="6"/>
        <v/>
      </c>
      <c r="H83" s="52" t="str">
        <f t="shared" si="5"/>
        <v/>
      </c>
      <c r="I83" s="35"/>
    </row>
    <row r="84" spans="1:9" x14ac:dyDescent="0.25">
      <c r="A84" s="52">
        <v>81</v>
      </c>
      <c r="B84" s="36"/>
      <c r="C84" s="36"/>
      <c r="D84" s="89"/>
      <c r="E84" s="35"/>
      <c r="F84" s="107"/>
      <c r="G84" s="52" t="str">
        <f t="shared" si="6"/>
        <v/>
      </c>
      <c r="H84" s="52" t="str">
        <f t="shared" si="5"/>
        <v/>
      </c>
      <c r="I84" s="35"/>
    </row>
    <row r="85" spans="1:9" x14ac:dyDescent="0.25">
      <c r="A85" s="52">
        <v>82</v>
      </c>
      <c r="B85" s="36"/>
      <c r="C85" s="36"/>
      <c r="D85" s="89"/>
      <c r="E85" s="35"/>
      <c r="F85" s="107"/>
      <c r="G85" s="52" t="str">
        <f t="shared" si="6"/>
        <v/>
      </c>
      <c r="H85" s="52" t="str">
        <f t="shared" si="5"/>
        <v/>
      </c>
      <c r="I85" s="35"/>
    </row>
    <row r="86" spans="1:9" x14ac:dyDescent="0.25">
      <c r="A86" s="52">
        <v>83</v>
      </c>
      <c r="B86" s="36"/>
      <c r="C86" s="36"/>
      <c r="D86" s="89"/>
      <c r="E86" s="35"/>
      <c r="F86" s="107"/>
      <c r="G86" s="52" t="str">
        <f t="shared" si="6"/>
        <v/>
      </c>
      <c r="H86" s="52" t="str">
        <f t="shared" si="5"/>
        <v/>
      </c>
      <c r="I86" s="35"/>
    </row>
    <row r="87" spans="1:9" x14ac:dyDescent="0.25">
      <c r="A87" s="52">
        <v>84</v>
      </c>
      <c r="B87" s="36"/>
      <c r="C87" s="36"/>
      <c r="D87" s="89"/>
      <c r="E87" s="35"/>
      <c r="F87" s="107"/>
      <c r="G87" s="52" t="str">
        <f t="shared" si="6"/>
        <v/>
      </c>
      <c r="H87" s="52" t="str">
        <f t="shared" si="5"/>
        <v/>
      </c>
      <c r="I87" s="35"/>
    </row>
    <row r="88" spans="1:9" x14ac:dyDescent="0.25">
      <c r="A88" s="52">
        <v>85</v>
      </c>
      <c r="B88" s="36"/>
      <c r="C88" s="36"/>
      <c r="D88" s="89"/>
      <c r="E88" s="35"/>
      <c r="F88" s="107"/>
      <c r="G88" s="52" t="str">
        <f t="shared" si="6"/>
        <v/>
      </c>
      <c r="H88" s="52" t="str">
        <f t="shared" si="5"/>
        <v/>
      </c>
      <c r="I88" s="35"/>
    </row>
    <row r="89" spans="1:9" x14ac:dyDescent="0.25">
      <c r="A89" s="52">
        <v>86</v>
      </c>
      <c r="B89" s="36"/>
      <c r="C89" s="36"/>
      <c r="D89" s="89"/>
      <c r="E89" s="35"/>
      <c r="F89" s="107"/>
      <c r="G89" s="52" t="str">
        <f t="shared" si="6"/>
        <v/>
      </c>
      <c r="H89" s="52" t="str">
        <f t="shared" si="5"/>
        <v/>
      </c>
      <c r="I89" s="35"/>
    </row>
    <row r="90" spans="1:9" x14ac:dyDescent="0.25">
      <c r="A90" s="52">
        <v>87</v>
      </c>
      <c r="B90" s="36"/>
      <c r="C90" s="36"/>
      <c r="D90" s="89"/>
      <c r="E90" s="35"/>
      <c r="F90" s="107"/>
      <c r="G90" s="52" t="str">
        <f t="shared" si="6"/>
        <v/>
      </c>
      <c r="H90" s="52" t="str">
        <f t="shared" si="5"/>
        <v/>
      </c>
      <c r="I90" s="35"/>
    </row>
    <row r="91" spans="1:9" x14ac:dyDescent="0.25">
      <c r="A91" s="52">
        <v>88</v>
      </c>
      <c r="B91" s="36"/>
      <c r="C91" s="36"/>
      <c r="D91" s="89"/>
      <c r="E91" s="35"/>
      <c r="F91" s="107"/>
      <c r="G91" s="52" t="str">
        <f t="shared" si="6"/>
        <v/>
      </c>
      <c r="H91" s="52" t="str">
        <f t="shared" si="5"/>
        <v/>
      </c>
      <c r="I91" s="35"/>
    </row>
    <row r="92" spans="1:9" x14ac:dyDescent="0.25">
      <c r="A92" s="52">
        <v>89</v>
      </c>
      <c r="B92" s="36"/>
      <c r="C92" s="36"/>
      <c r="D92" s="89"/>
      <c r="E92" s="35"/>
      <c r="F92" s="107"/>
      <c r="G92" s="52" t="str">
        <f t="shared" si="6"/>
        <v/>
      </c>
      <c r="H92" s="52" t="str">
        <f t="shared" si="5"/>
        <v/>
      </c>
      <c r="I92" s="35"/>
    </row>
    <row r="93" spans="1:9" x14ac:dyDescent="0.25">
      <c r="A93" s="52">
        <v>90</v>
      </c>
      <c r="B93" s="36"/>
      <c r="C93" s="36"/>
      <c r="D93" s="89"/>
      <c r="E93" s="35"/>
      <c r="F93" s="107"/>
      <c r="G93" s="52" t="str">
        <f t="shared" si="6"/>
        <v/>
      </c>
      <c r="H93" s="52" t="str">
        <f t="shared" si="5"/>
        <v/>
      </c>
      <c r="I93" s="35"/>
    </row>
    <row r="94" spans="1:9" x14ac:dyDescent="0.25">
      <c r="A94" s="52">
        <v>91</v>
      </c>
      <c r="B94" s="36"/>
      <c r="C94" s="36"/>
      <c r="D94" s="89"/>
      <c r="E94" s="35"/>
      <c r="F94" s="107"/>
      <c r="G94" s="52" t="str">
        <f t="shared" si="6"/>
        <v/>
      </c>
      <c r="H94" s="52" t="str">
        <f t="shared" si="5"/>
        <v/>
      </c>
      <c r="I94" s="35"/>
    </row>
    <row r="95" spans="1:9" x14ac:dyDescent="0.25">
      <c r="A95" s="52">
        <v>92</v>
      </c>
      <c r="B95" s="36"/>
      <c r="C95" s="36"/>
      <c r="D95" s="89"/>
      <c r="E95" s="35"/>
      <c r="F95" s="107"/>
      <c r="G95" s="52" t="str">
        <f t="shared" si="6"/>
        <v/>
      </c>
      <c r="H95" s="52" t="str">
        <f t="shared" si="5"/>
        <v/>
      </c>
      <c r="I95" s="35"/>
    </row>
    <row r="96" spans="1:9" x14ac:dyDescent="0.25">
      <c r="A96" s="52">
        <v>93</v>
      </c>
      <c r="B96" s="36"/>
      <c r="C96" s="36"/>
      <c r="D96" s="89"/>
      <c r="E96" s="35"/>
      <c r="F96" s="107"/>
      <c r="G96" s="52" t="str">
        <f t="shared" si="6"/>
        <v/>
      </c>
      <c r="H96" s="52" t="str">
        <f t="shared" si="5"/>
        <v/>
      </c>
      <c r="I96" s="35"/>
    </row>
    <row r="97" spans="1:9" x14ac:dyDescent="0.25">
      <c r="A97" s="52">
        <v>94</v>
      </c>
      <c r="B97" s="36"/>
      <c r="C97" s="36"/>
      <c r="D97" s="89"/>
      <c r="E97" s="35"/>
      <c r="F97" s="107"/>
      <c r="G97" s="52" t="str">
        <f t="shared" si="6"/>
        <v/>
      </c>
      <c r="H97" s="52" t="str">
        <f t="shared" si="5"/>
        <v/>
      </c>
      <c r="I97" s="35"/>
    </row>
    <row r="98" spans="1:9" x14ac:dyDescent="0.25">
      <c r="A98" s="52">
        <v>95</v>
      </c>
      <c r="B98" s="36"/>
      <c r="C98" s="36"/>
      <c r="D98" s="89"/>
      <c r="E98" s="35"/>
      <c r="F98" s="107"/>
      <c r="G98" s="52" t="str">
        <f t="shared" si="6"/>
        <v/>
      </c>
      <c r="H98" s="52" t="str">
        <f t="shared" si="5"/>
        <v/>
      </c>
      <c r="I98" s="35"/>
    </row>
    <row r="99" spans="1:9" x14ac:dyDescent="0.25">
      <c r="A99" s="52">
        <v>96</v>
      </c>
      <c r="B99" s="36"/>
      <c r="C99" s="36"/>
      <c r="D99" s="89"/>
      <c r="E99" s="35"/>
      <c r="F99" s="107"/>
      <c r="G99" s="52" t="str">
        <f t="shared" si="6"/>
        <v/>
      </c>
      <c r="H99" s="52" t="str">
        <f t="shared" si="5"/>
        <v/>
      </c>
      <c r="I99" s="35"/>
    </row>
    <row r="100" spans="1:9" x14ac:dyDescent="0.25">
      <c r="A100" s="52">
        <v>97</v>
      </c>
      <c r="B100" s="36"/>
      <c r="C100" s="36"/>
      <c r="D100" s="89"/>
      <c r="E100" s="35"/>
      <c r="F100" s="107"/>
      <c r="G100" s="52" t="str">
        <f t="shared" si="6"/>
        <v/>
      </c>
      <c r="H100" s="52" t="str">
        <f t="shared" ref="H100:H103" si="8">IF(F100&gt;0,IF(F100&gt;=$N$7, IF( I100="Y","8-Under","9"),VLOOKUP(G100,AgeGroup,2)),"")</f>
        <v/>
      </c>
      <c r="I100" s="35"/>
    </row>
    <row r="101" spans="1:9" x14ac:dyDescent="0.25">
      <c r="A101" s="52">
        <v>98</v>
      </c>
      <c r="B101" s="36"/>
      <c r="C101" s="36"/>
      <c r="D101" s="89"/>
      <c r="E101" s="35"/>
      <c r="F101" s="107"/>
      <c r="G101" s="52" t="str">
        <f t="shared" si="6"/>
        <v/>
      </c>
      <c r="H101" s="52" t="str">
        <f t="shared" si="8"/>
        <v/>
      </c>
      <c r="I101" s="35"/>
    </row>
    <row r="102" spans="1:9" x14ac:dyDescent="0.25">
      <c r="A102" s="52">
        <v>99</v>
      </c>
      <c r="B102" s="36"/>
      <c r="C102" s="36"/>
      <c r="D102" s="89"/>
      <c r="E102" s="35"/>
      <c r="F102" s="107"/>
      <c r="G102" s="52" t="str">
        <f t="shared" si="6"/>
        <v/>
      </c>
      <c r="H102" s="52" t="str">
        <f t="shared" si="8"/>
        <v/>
      </c>
      <c r="I102" s="35"/>
    </row>
    <row r="103" spans="1:9" x14ac:dyDescent="0.25">
      <c r="A103" s="52">
        <v>100</v>
      </c>
      <c r="B103" s="36"/>
      <c r="C103" s="36"/>
      <c r="D103" s="89"/>
      <c r="E103" s="35"/>
      <c r="F103" s="107"/>
      <c r="G103" s="52" t="str">
        <f t="shared" si="6"/>
        <v/>
      </c>
      <c r="H103" s="52" t="str">
        <f t="shared" si="8"/>
        <v/>
      </c>
      <c r="I103" s="35"/>
    </row>
  </sheetData>
  <sheetProtection password="CE88" sheet="1" objects="1" scenarios="1" selectLockedCells="1"/>
  <mergeCells count="1">
    <mergeCell ref="A2:I2"/>
  </mergeCells>
  <phoneticPr fontId="23" type="noConversion"/>
  <dataValidations count="2">
    <dataValidation type="list" allowBlank="1" showInputMessage="1" showErrorMessage="1" sqref="I4:I103">
      <formula1>$O$4:$O$5</formula1>
    </dataValidation>
    <dataValidation type="list" allowBlank="1" showInputMessage="1" showErrorMessage="1" sqref="E4:E103">
      <formula1>$P$4:$P$5</formula1>
    </dataValidation>
  </dataValidations>
  <pageMargins left="0.25" right="0.25" top="0.75" bottom="0.75" header="0.3" footer="0.3"/>
  <pageSetup scale="84" fitToHeight="2" orientation="portrait" r:id="rId1"/>
  <headerFooter>
    <oddHeader>&amp;LUSAJR Regional Tournament&amp;R&amp;A</oddHeader>
    <oddFooter>&amp;RPage &amp;P of &amp;N</oddFooter>
  </headerFooter>
  <customProperties>
    <customPr name="DVSECTIONID" r:id="rId2"/>
  </customPropertie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37"/>
  <sheetViews>
    <sheetView workbookViewId="0">
      <selection activeCell="D8" sqref="D8"/>
    </sheetView>
  </sheetViews>
  <sheetFormatPr defaultColWidth="8.85546875" defaultRowHeight="15" x14ac:dyDescent="0.25"/>
  <cols>
    <col min="1" max="1" width="3.42578125" style="37" customWidth="1"/>
    <col min="2" max="2" width="4.7109375" style="37" bestFit="1" customWidth="1"/>
    <col min="3" max="3" width="3.42578125" style="37" bestFit="1" customWidth="1"/>
    <col min="4" max="4" width="8.28515625" style="37" bestFit="1" customWidth="1"/>
    <col min="5" max="6" width="15.7109375" style="37" customWidth="1"/>
    <col min="7" max="7" width="3.140625" style="37" customWidth="1"/>
    <col min="8" max="8" width="3.42578125" style="70" customWidth="1"/>
    <col min="9" max="9" width="4.7109375" style="70" bestFit="1" customWidth="1"/>
    <col min="10" max="10" width="3.42578125" style="70" bestFit="1" customWidth="1"/>
    <col min="11" max="11" width="8.28515625" style="37" bestFit="1" customWidth="1"/>
    <col min="12" max="13" width="15.7109375" style="37" customWidth="1"/>
    <col min="14" max="16384" width="8.85546875" style="37"/>
  </cols>
  <sheetData>
    <row r="1" spans="1:16" ht="18.75" x14ac:dyDescent="0.25">
      <c r="A1" s="58" t="s">
        <v>88</v>
      </c>
      <c r="K1" s="74"/>
      <c r="M1" s="43" t="str">
        <f>CONCATENATE("Team: ",'Team Info'!$B$3)</f>
        <v xml:space="preserve">Team: </v>
      </c>
    </row>
    <row r="2" spans="1:16" ht="18.75" x14ac:dyDescent="0.25">
      <c r="A2" s="58"/>
      <c r="K2" s="74"/>
      <c r="M2" s="43"/>
    </row>
    <row r="3" spans="1:16" x14ac:dyDescent="0.25">
      <c r="A3" s="168" t="s">
        <v>144</v>
      </c>
      <c r="B3" s="168"/>
      <c r="C3" s="168"/>
      <c r="D3" s="168"/>
      <c r="E3" s="168"/>
      <c r="F3" s="168"/>
      <c r="G3" s="168"/>
      <c r="H3" s="168"/>
      <c r="I3" s="168"/>
      <c r="J3" s="168"/>
      <c r="K3" s="168"/>
      <c r="L3" s="168"/>
      <c r="M3" s="168"/>
      <c r="N3" s="98"/>
      <c r="O3" s="98"/>
      <c r="P3" s="98"/>
    </row>
    <row r="4" spans="1:16" x14ac:dyDescent="0.25">
      <c r="A4" s="167" t="s">
        <v>145</v>
      </c>
      <c r="B4" s="167"/>
      <c r="C4" s="167"/>
      <c r="D4" s="167"/>
      <c r="E4" s="167"/>
    </row>
    <row r="5" spans="1:16" x14ac:dyDescent="0.25">
      <c r="A5" s="75"/>
    </row>
    <row r="6" spans="1:16" x14ac:dyDescent="0.25">
      <c r="A6" s="37" t="s">
        <v>6</v>
      </c>
      <c r="H6" s="76" t="s">
        <v>7</v>
      </c>
      <c r="I6" s="76"/>
      <c r="J6" s="76"/>
    </row>
    <row r="7" spans="1:16" ht="23.25" x14ac:dyDescent="0.25">
      <c r="A7" s="39" t="s">
        <v>0</v>
      </c>
      <c r="B7" s="39" t="s">
        <v>55</v>
      </c>
      <c r="C7" s="39" t="s">
        <v>56</v>
      </c>
      <c r="D7" s="55" t="s">
        <v>8</v>
      </c>
      <c r="E7" s="39" t="s">
        <v>2</v>
      </c>
      <c r="F7" s="39" t="s">
        <v>1</v>
      </c>
      <c r="H7" s="39" t="s">
        <v>0</v>
      </c>
      <c r="I7" s="39" t="s">
        <v>55</v>
      </c>
      <c r="J7" s="39" t="s">
        <v>56</v>
      </c>
      <c r="K7" s="55" t="s">
        <v>8</v>
      </c>
      <c r="L7" s="39" t="s">
        <v>2</v>
      </c>
      <c r="M7" s="39" t="s">
        <v>1</v>
      </c>
    </row>
    <row r="8" spans="1:16" x14ac:dyDescent="0.25">
      <c r="A8" s="63">
        <v>1</v>
      </c>
      <c r="B8" s="63" t="s">
        <v>59</v>
      </c>
      <c r="C8" s="63" t="s">
        <v>85</v>
      </c>
      <c r="D8" s="35"/>
      <c r="E8" s="44" t="str">
        <f t="shared" ref="E8:E19" si="0">IF(D8&gt;0,VLOOKUP(D8,Jumpers,2),"")</f>
        <v/>
      </c>
      <c r="F8" s="44" t="str">
        <f t="shared" ref="F8:F19" si="1">IF(D8&gt;0,VLOOKUP(D8,Jumpers,3),"")</f>
        <v/>
      </c>
      <c r="H8" s="63">
        <v>1</v>
      </c>
      <c r="I8" s="63" t="s">
        <v>60</v>
      </c>
      <c r="J8" s="63" t="s">
        <v>85</v>
      </c>
      <c r="K8" s="35"/>
      <c r="L8" s="44" t="str">
        <f t="shared" ref="L8:L37" si="2">IF(K8&gt;0,VLOOKUP(K8,Jumpers,2),"")</f>
        <v/>
      </c>
      <c r="M8" s="44" t="str">
        <f t="shared" ref="M8:M37" si="3">IF(K8&gt;0,VLOOKUP(K8,Jumpers,3),"")</f>
        <v/>
      </c>
    </row>
    <row r="9" spans="1:16" x14ac:dyDescent="0.25">
      <c r="A9" s="63">
        <v>2</v>
      </c>
      <c r="B9" s="63" t="s">
        <v>59</v>
      </c>
      <c r="C9" s="63" t="s">
        <v>85</v>
      </c>
      <c r="D9" s="35"/>
      <c r="E9" s="44" t="str">
        <f t="shared" si="0"/>
        <v/>
      </c>
      <c r="F9" s="44" t="str">
        <f t="shared" si="1"/>
        <v/>
      </c>
      <c r="H9" s="63">
        <v>2</v>
      </c>
      <c r="I9" s="63" t="s">
        <v>60</v>
      </c>
      <c r="J9" s="63" t="s">
        <v>85</v>
      </c>
      <c r="K9" s="35"/>
      <c r="L9" s="44" t="str">
        <f t="shared" si="2"/>
        <v/>
      </c>
      <c r="M9" s="44" t="str">
        <f t="shared" si="3"/>
        <v/>
      </c>
    </row>
    <row r="10" spans="1:16" x14ac:dyDescent="0.25">
      <c r="A10" s="63">
        <v>3</v>
      </c>
      <c r="B10" s="63" t="s">
        <v>59</v>
      </c>
      <c r="C10" s="63" t="s">
        <v>85</v>
      </c>
      <c r="D10" s="35"/>
      <c r="E10" s="44" t="str">
        <f t="shared" si="0"/>
        <v/>
      </c>
      <c r="F10" s="44" t="str">
        <f t="shared" si="1"/>
        <v/>
      </c>
      <c r="H10" s="63">
        <v>3</v>
      </c>
      <c r="I10" s="63" t="s">
        <v>60</v>
      </c>
      <c r="J10" s="63" t="s">
        <v>85</v>
      </c>
      <c r="K10" s="35"/>
      <c r="L10" s="44" t="str">
        <f t="shared" si="2"/>
        <v/>
      </c>
      <c r="M10" s="44" t="str">
        <f t="shared" si="3"/>
        <v/>
      </c>
    </row>
    <row r="11" spans="1:16" x14ac:dyDescent="0.25">
      <c r="A11" s="63">
        <v>4</v>
      </c>
      <c r="B11" s="63" t="s">
        <v>59</v>
      </c>
      <c r="C11" s="63" t="s">
        <v>85</v>
      </c>
      <c r="D11" s="35"/>
      <c r="E11" s="44" t="str">
        <f t="shared" si="0"/>
        <v/>
      </c>
      <c r="F11" s="44" t="str">
        <f t="shared" si="1"/>
        <v/>
      </c>
      <c r="H11" s="63">
        <v>4</v>
      </c>
      <c r="I11" s="63" t="s">
        <v>60</v>
      </c>
      <c r="J11" s="63" t="s">
        <v>85</v>
      </c>
      <c r="K11" s="35"/>
      <c r="L11" s="44" t="str">
        <f t="shared" si="2"/>
        <v/>
      </c>
      <c r="M11" s="44" t="str">
        <f t="shared" si="3"/>
        <v/>
      </c>
    </row>
    <row r="12" spans="1:16" x14ac:dyDescent="0.25">
      <c r="A12" s="63">
        <v>5</v>
      </c>
      <c r="B12" s="63" t="s">
        <v>59</v>
      </c>
      <c r="C12" s="63" t="s">
        <v>85</v>
      </c>
      <c r="D12" s="35"/>
      <c r="E12" s="44" t="str">
        <f t="shared" si="0"/>
        <v/>
      </c>
      <c r="F12" s="44" t="str">
        <f t="shared" si="1"/>
        <v/>
      </c>
      <c r="H12" s="63">
        <v>5</v>
      </c>
      <c r="I12" s="63" t="s">
        <v>60</v>
      </c>
      <c r="J12" s="63" t="s">
        <v>85</v>
      </c>
      <c r="K12" s="35"/>
      <c r="L12" s="44" t="str">
        <f t="shared" si="2"/>
        <v/>
      </c>
      <c r="M12" s="44" t="str">
        <f t="shared" si="3"/>
        <v/>
      </c>
    </row>
    <row r="13" spans="1:16" x14ac:dyDescent="0.25">
      <c r="A13" s="63">
        <v>6</v>
      </c>
      <c r="B13" s="63" t="s">
        <v>59</v>
      </c>
      <c r="C13" s="63" t="s">
        <v>85</v>
      </c>
      <c r="D13" s="35"/>
      <c r="E13" s="44" t="str">
        <f t="shared" si="0"/>
        <v/>
      </c>
      <c r="F13" s="44" t="str">
        <f t="shared" si="1"/>
        <v/>
      </c>
      <c r="H13" s="63">
        <v>6</v>
      </c>
      <c r="I13" s="63" t="s">
        <v>60</v>
      </c>
      <c r="J13" s="63" t="s">
        <v>85</v>
      </c>
      <c r="K13" s="35"/>
      <c r="L13" s="44" t="str">
        <f t="shared" si="2"/>
        <v/>
      </c>
      <c r="M13" s="44" t="str">
        <f t="shared" si="3"/>
        <v/>
      </c>
    </row>
    <row r="14" spans="1:16" x14ac:dyDescent="0.25">
      <c r="A14" s="63">
        <v>7</v>
      </c>
      <c r="B14" s="63" t="s">
        <v>59</v>
      </c>
      <c r="C14" s="63" t="s">
        <v>85</v>
      </c>
      <c r="D14" s="35"/>
      <c r="E14" s="44" t="str">
        <f t="shared" si="0"/>
        <v/>
      </c>
      <c r="F14" s="44" t="str">
        <f t="shared" si="1"/>
        <v/>
      </c>
      <c r="H14" s="63">
        <v>7</v>
      </c>
      <c r="I14" s="63" t="s">
        <v>60</v>
      </c>
      <c r="J14" s="63" t="s">
        <v>85</v>
      </c>
      <c r="K14" s="35"/>
      <c r="L14" s="44" t="str">
        <f t="shared" si="2"/>
        <v/>
      </c>
      <c r="M14" s="44" t="str">
        <f t="shared" si="3"/>
        <v/>
      </c>
    </row>
    <row r="15" spans="1:16" x14ac:dyDescent="0.25">
      <c r="A15" s="63">
        <v>8</v>
      </c>
      <c r="B15" s="63" t="s">
        <v>59</v>
      </c>
      <c r="C15" s="63" t="s">
        <v>85</v>
      </c>
      <c r="D15" s="35"/>
      <c r="E15" s="44" t="str">
        <f t="shared" si="0"/>
        <v/>
      </c>
      <c r="F15" s="44" t="str">
        <f t="shared" si="1"/>
        <v/>
      </c>
      <c r="H15" s="63">
        <v>8</v>
      </c>
      <c r="I15" s="63" t="s">
        <v>60</v>
      </c>
      <c r="J15" s="63" t="s">
        <v>85</v>
      </c>
      <c r="K15" s="35"/>
      <c r="L15" s="44" t="str">
        <f t="shared" si="2"/>
        <v/>
      </c>
      <c r="M15" s="44" t="str">
        <f t="shared" si="3"/>
        <v/>
      </c>
    </row>
    <row r="16" spans="1:16" x14ac:dyDescent="0.25">
      <c r="A16" s="63">
        <v>9</v>
      </c>
      <c r="B16" s="63" t="s">
        <v>59</v>
      </c>
      <c r="C16" s="63" t="s">
        <v>85</v>
      </c>
      <c r="D16" s="35"/>
      <c r="E16" s="44" t="str">
        <f t="shared" si="0"/>
        <v/>
      </c>
      <c r="F16" s="44" t="str">
        <f t="shared" si="1"/>
        <v/>
      </c>
      <c r="H16" s="63">
        <v>9</v>
      </c>
      <c r="I16" s="63" t="s">
        <v>60</v>
      </c>
      <c r="J16" s="63" t="s">
        <v>85</v>
      </c>
      <c r="K16" s="35"/>
      <c r="L16" s="44" t="str">
        <f t="shared" si="2"/>
        <v/>
      </c>
      <c r="M16" s="44" t="str">
        <f t="shared" si="3"/>
        <v/>
      </c>
    </row>
    <row r="17" spans="1:13" x14ac:dyDescent="0.25">
      <c r="A17" s="63">
        <v>10</v>
      </c>
      <c r="B17" s="63" t="s">
        <v>59</v>
      </c>
      <c r="C17" s="63" t="s">
        <v>85</v>
      </c>
      <c r="D17" s="35"/>
      <c r="E17" s="44" t="str">
        <f t="shared" si="0"/>
        <v/>
      </c>
      <c r="F17" s="44" t="str">
        <f t="shared" si="1"/>
        <v/>
      </c>
      <c r="H17" s="63">
        <v>10</v>
      </c>
      <c r="I17" s="63" t="s">
        <v>60</v>
      </c>
      <c r="J17" s="63" t="s">
        <v>85</v>
      </c>
      <c r="K17" s="35"/>
      <c r="L17" s="44" t="str">
        <f t="shared" si="2"/>
        <v/>
      </c>
      <c r="M17" s="44" t="str">
        <f t="shared" si="3"/>
        <v/>
      </c>
    </row>
    <row r="18" spans="1:13" x14ac:dyDescent="0.25">
      <c r="A18" s="63">
        <v>11</v>
      </c>
      <c r="B18" s="63" t="s">
        <v>59</v>
      </c>
      <c r="C18" s="63" t="s">
        <v>85</v>
      </c>
      <c r="D18" s="35"/>
      <c r="E18" s="44" t="str">
        <f t="shared" si="0"/>
        <v/>
      </c>
      <c r="F18" s="44" t="str">
        <f t="shared" si="1"/>
        <v/>
      </c>
      <c r="H18" s="63">
        <v>11</v>
      </c>
      <c r="I18" s="63" t="s">
        <v>60</v>
      </c>
      <c r="J18" s="63" t="s">
        <v>85</v>
      </c>
      <c r="K18" s="35"/>
      <c r="L18" s="44" t="str">
        <f t="shared" si="2"/>
        <v/>
      </c>
      <c r="M18" s="44" t="str">
        <f t="shared" si="3"/>
        <v/>
      </c>
    </row>
    <row r="19" spans="1:13" x14ac:dyDescent="0.25">
      <c r="A19" s="63">
        <v>12</v>
      </c>
      <c r="B19" s="63" t="s">
        <v>59</v>
      </c>
      <c r="C19" s="63" t="s">
        <v>85</v>
      </c>
      <c r="D19" s="35"/>
      <c r="E19" s="44" t="str">
        <f t="shared" si="0"/>
        <v/>
      </c>
      <c r="F19" s="44" t="str">
        <f t="shared" si="1"/>
        <v/>
      </c>
      <c r="H19" s="63">
        <v>12</v>
      </c>
      <c r="I19" s="63" t="s">
        <v>60</v>
      </c>
      <c r="J19" s="63" t="s">
        <v>85</v>
      </c>
      <c r="K19" s="35"/>
      <c r="L19" s="44" t="str">
        <f t="shared" si="2"/>
        <v/>
      </c>
      <c r="M19" s="44" t="str">
        <f t="shared" si="3"/>
        <v/>
      </c>
    </row>
    <row r="20" spans="1:13" x14ac:dyDescent="0.25">
      <c r="H20" s="63">
        <v>13</v>
      </c>
      <c r="I20" s="63" t="s">
        <v>60</v>
      </c>
      <c r="J20" s="63" t="s">
        <v>85</v>
      </c>
      <c r="K20" s="35"/>
      <c r="L20" s="44" t="str">
        <f t="shared" si="2"/>
        <v/>
      </c>
      <c r="M20" s="44" t="str">
        <f t="shared" si="3"/>
        <v/>
      </c>
    </row>
    <row r="21" spans="1:13" x14ac:dyDescent="0.25">
      <c r="H21" s="63">
        <v>14</v>
      </c>
      <c r="I21" s="63" t="s">
        <v>60</v>
      </c>
      <c r="J21" s="63" t="s">
        <v>85</v>
      </c>
      <c r="K21" s="35"/>
      <c r="L21" s="44" t="str">
        <f t="shared" si="2"/>
        <v/>
      </c>
      <c r="M21" s="44" t="str">
        <f t="shared" si="3"/>
        <v/>
      </c>
    </row>
    <row r="22" spans="1:13" x14ac:dyDescent="0.25">
      <c r="H22" s="63">
        <v>15</v>
      </c>
      <c r="I22" s="63" t="s">
        <v>60</v>
      </c>
      <c r="J22" s="63" t="s">
        <v>85</v>
      </c>
      <c r="K22" s="35"/>
      <c r="L22" s="44" t="str">
        <f t="shared" si="2"/>
        <v/>
      </c>
      <c r="M22" s="44" t="str">
        <f t="shared" si="3"/>
        <v/>
      </c>
    </row>
    <row r="23" spans="1:13" x14ac:dyDescent="0.25">
      <c r="H23" s="63">
        <v>16</v>
      </c>
      <c r="I23" s="63" t="s">
        <v>60</v>
      </c>
      <c r="J23" s="63" t="s">
        <v>85</v>
      </c>
      <c r="K23" s="35"/>
      <c r="L23" s="44" t="str">
        <f t="shared" si="2"/>
        <v/>
      </c>
      <c r="M23" s="44" t="str">
        <f t="shared" si="3"/>
        <v/>
      </c>
    </row>
    <row r="24" spans="1:13" x14ac:dyDescent="0.25">
      <c r="H24" s="63">
        <v>17</v>
      </c>
      <c r="I24" s="63" t="s">
        <v>60</v>
      </c>
      <c r="J24" s="63" t="s">
        <v>85</v>
      </c>
      <c r="K24" s="35"/>
      <c r="L24" s="44" t="str">
        <f t="shared" si="2"/>
        <v/>
      </c>
      <c r="M24" s="44" t="str">
        <f t="shared" si="3"/>
        <v/>
      </c>
    </row>
    <row r="25" spans="1:13" x14ac:dyDescent="0.25">
      <c r="H25" s="63">
        <v>18</v>
      </c>
      <c r="I25" s="63" t="s">
        <v>60</v>
      </c>
      <c r="J25" s="63" t="s">
        <v>85</v>
      </c>
      <c r="K25" s="35"/>
      <c r="L25" s="44" t="str">
        <f t="shared" si="2"/>
        <v/>
      </c>
      <c r="M25" s="44" t="str">
        <f t="shared" si="3"/>
        <v/>
      </c>
    </row>
    <row r="26" spans="1:13" x14ac:dyDescent="0.25">
      <c r="H26" s="63">
        <v>19</v>
      </c>
      <c r="I26" s="63" t="s">
        <v>60</v>
      </c>
      <c r="J26" s="63" t="s">
        <v>85</v>
      </c>
      <c r="K26" s="35"/>
      <c r="L26" s="44" t="str">
        <f t="shared" si="2"/>
        <v/>
      </c>
      <c r="M26" s="44" t="str">
        <f t="shared" si="3"/>
        <v/>
      </c>
    </row>
    <row r="27" spans="1:13" x14ac:dyDescent="0.25">
      <c r="H27" s="63">
        <v>20</v>
      </c>
      <c r="I27" s="63" t="s">
        <v>60</v>
      </c>
      <c r="J27" s="63" t="s">
        <v>85</v>
      </c>
      <c r="K27" s="35"/>
      <c r="L27" s="44" t="str">
        <f t="shared" si="2"/>
        <v/>
      </c>
      <c r="M27" s="44" t="str">
        <f t="shared" si="3"/>
        <v/>
      </c>
    </row>
    <row r="28" spans="1:13" x14ac:dyDescent="0.25">
      <c r="H28" s="63">
        <v>21</v>
      </c>
      <c r="I28" s="63" t="s">
        <v>60</v>
      </c>
      <c r="J28" s="63" t="s">
        <v>85</v>
      </c>
      <c r="K28" s="35"/>
      <c r="L28" s="44" t="str">
        <f t="shared" si="2"/>
        <v/>
      </c>
      <c r="M28" s="44" t="str">
        <f t="shared" si="3"/>
        <v/>
      </c>
    </row>
    <row r="29" spans="1:13" x14ac:dyDescent="0.25">
      <c r="H29" s="63">
        <v>22</v>
      </c>
      <c r="I29" s="63" t="s">
        <v>60</v>
      </c>
      <c r="J29" s="63" t="s">
        <v>85</v>
      </c>
      <c r="K29" s="35"/>
      <c r="L29" s="44" t="str">
        <f t="shared" si="2"/>
        <v/>
      </c>
      <c r="M29" s="44" t="str">
        <f t="shared" si="3"/>
        <v/>
      </c>
    </row>
    <row r="30" spans="1:13" x14ac:dyDescent="0.25">
      <c r="H30" s="63">
        <v>23</v>
      </c>
      <c r="I30" s="63" t="s">
        <v>60</v>
      </c>
      <c r="J30" s="63" t="s">
        <v>85</v>
      </c>
      <c r="K30" s="35"/>
      <c r="L30" s="44" t="str">
        <f t="shared" si="2"/>
        <v/>
      </c>
      <c r="M30" s="44" t="str">
        <f t="shared" si="3"/>
        <v/>
      </c>
    </row>
    <row r="31" spans="1:13" x14ac:dyDescent="0.25">
      <c r="H31" s="63">
        <v>24</v>
      </c>
      <c r="I31" s="63" t="s">
        <v>60</v>
      </c>
      <c r="J31" s="63" t="s">
        <v>85</v>
      </c>
      <c r="K31" s="35"/>
      <c r="L31" s="44" t="str">
        <f t="shared" si="2"/>
        <v/>
      </c>
      <c r="M31" s="44" t="str">
        <f t="shared" si="3"/>
        <v/>
      </c>
    </row>
    <row r="32" spans="1:13" x14ac:dyDescent="0.25">
      <c r="H32" s="63">
        <v>25</v>
      </c>
      <c r="I32" s="63" t="s">
        <v>60</v>
      </c>
      <c r="J32" s="63" t="s">
        <v>85</v>
      </c>
      <c r="K32" s="35"/>
      <c r="L32" s="44" t="str">
        <f t="shared" si="2"/>
        <v/>
      </c>
      <c r="M32" s="44" t="str">
        <f t="shared" si="3"/>
        <v/>
      </c>
    </row>
    <row r="33" spans="8:13" x14ac:dyDescent="0.25">
      <c r="H33" s="63">
        <v>26</v>
      </c>
      <c r="I33" s="63" t="s">
        <v>60</v>
      </c>
      <c r="J33" s="63" t="s">
        <v>85</v>
      </c>
      <c r="K33" s="35"/>
      <c r="L33" s="44" t="str">
        <f t="shared" si="2"/>
        <v/>
      </c>
      <c r="M33" s="44" t="str">
        <f t="shared" si="3"/>
        <v/>
      </c>
    </row>
    <row r="34" spans="8:13" x14ac:dyDescent="0.25">
      <c r="H34" s="63">
        <v>27</v>
      </c>
      <c r="I34" s="63" t="s">
        <v>60</v>
      </c>
      <c r="J34" s="63" t="s">
        <v>85</v>
      </c>
      <c r="K34" s="35"/>
      <c r="L34" s="44" t="str">
        <f t="shared" si="2"/>
        <v/>
      </c>
      <c r="M34" s="44" t="str">
        <f t="shared" si="3"/>
        <v/>
      </c>
    </row>
    <row r="35" spans="8:13" x14ac:dyDescent="0.25">
      <c r="H35" s="63">
        <v>28</v>
      </c>
      <c r="I35" s="63" t="s">
        <v>60</v>
      </c>
      <c r="J35" s="63" t="s">
        <v>85</v>
      </c>
      <c r="K35" s="35"/>
      <c r="L35" s="44" t="str">
        <f t="shared" si="2"/>
        <v/>
      </c>
      <c r="M35" s="44" t="str">
        <f t="shared" si="3"/>
        <v/>
      </c>
    </row>
    <row r="36" spans="8:13" x14ac:dyDescent="0.25">
      <c r="H36" s="63">
        <v>29</v>
      </c>
      <c r="I36" s="63" t="s">
        <v>60</v>
      </c>
      <c r="J36" s="63" t="s">
        <v>85</v>
      </c>
      <c r="K36" s="35"/>
      <c r="L36" s="44" t="str">
        <f t="shared" si="2"/>
        <v/>
      </c>
      <c r="M36" s="44" t="str">
        <f t="shared" si="3"/>
        <v/>
      </c>
    </row>
    <row r="37" spans="8:13" x14ac:dyDescent="0.25">
      <c r="H37" s="63">
        <v>30</v>
      </c>
      <c r="I37" s="63" t="s">
        <v>60</v>
      </c>
      <c r="J37" s="63" t="s">
        <v>85</v>
      </c>
      <c r="K37" s="35"/>
      <c r="L37" s="44" t="str">
        <f t="shared" si="2"/>
        <v/>
      </c>
      <c r="M37" s="44" t="str">
        <f t="shared" si="3"/>
        <v/>
      </c>
    </row>
  </sheetData>
  <sheetProtection password="CE88" sheet="1" objects="1" scenarios="1" selectLockedCells="1"/>
  <mergeCells count="2">
    <mergeCell ref="A4:E4"/>
    <mergeCell ref="A3:M3"/>
  </mergeCells>
  <phoneticPr fontId="23" type="noConversion"/>
  <conditionalFormatting sqref="K8:K37">
    <cfRule type="expression" dxfId="567" priority="2" stopIfTrue="1">
      <formula>OR(CODE(K8)&lt;48,CODE(K8)&gt;57)</formula>
    </cfRule>
  </conditionalFormatting>
  <conditionalFormatting sqref="D8:D19">
    <cfRule type="expression" dxfId="566" priority="1" stopIfTrue="1">
      <formula>OR(CODE(D8)&lt;48,CODE(D8)&gt;57)</formula>
    </cfRule>
  </conditionalFormatting>
  <pageMargins left="0.25" right="0.25" top="0.75" bottom="0.75" header="0.3" footer="0.3"/>
  <pageSetup scale="90" orientation="portrait" horizontalDpi="180" verticalDpi="180"/>
  <headerFooter>
    <oddHeader>&amp;LUSAJR Regional Tournament&amp;R&amp;A</oddHeader>
    <oddFooter>&amp;RPage &amp;P of &amp;N</oddFooter>
  </headerFooter>
  <customProperties>
    <customPr name="DVSECTIONID" r:id="rId1"/>
  </customProperties>
  <extLst>
    <ext xmlns:mx="http://schemas.microsoft.com/office/mac/excel/2008/main" uri="{64002731-A6B0-56B0-2670-7721B7C09600}">
      <mx:PLV Mode="0" OnePage="0" WScale="83"/>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election activeCell="D5" sqref="D5"/>
    </sheetView>
  </sheetViews>
  <sheetFormatPr defaultColWidth="8.85546875" defaultRowHeight="15" x14ac:dyDescent="0.25"/>
  <cols>
    <col min="1" max="1" width="2.7109375" style="37" customWidth="1"/>
    <col min="2" max="2" width="4.7109375" style="60" bestFit="1" customWidth="1"/>
    <col min="3" max="3" width="7.140625" style="60" bestFit="1" customWidth="1"/>
    <col min="4" max="4" width="8.28515625" style="37" bestFit="1" customWidth="1"/>
    <col min="5" max="6" width="15.7109375" style="37" customWidth="1"/>
    <col min="7" max="7" width="1.7109375" style="37" customWidth="1"/>
    <col min="8" max="8" width="2.7109375" style="37" bestFit="1" customWidth="1"/>
    <col min="9" max="9" width="4.7109375" style="60" bestFit="1" customWidth="1"/>
    <col min="10" max="10" width="6.28515625" style="60" bestFit="1" customWidth="1"/>
    <col min="11" max="11" width="8.28515625" style="37" bestFit="1" customWidth="1"/>
    <col min="12" max="13" width="15.7109375" style="37" customWidth="1"/>
    <col min="14" max="14" width="1.7109375" style="37" customWidth="1"/>
    <col min="15" max="15" width="2.7109375" style="37" customWidth="1"/>
    <col min="16" max="16" width="4.7109375" style="37" bestFit="1" customWidth="1"/>
    <col min="17" max="17" width="4.85546875" style="37" bestFit="1" customWidth="1"/>
    <col min="18" max="18" width="8.85546875" style="37"/>
    <col min="19" max="20" width="12.7109375" style="37" customWidth="1"/>
    <col min="21" max="21" width="1.7109375" style="37" customWidth="1"/>
    <col min="22" max="22" width="2.7109375" style="37" customWidth="1"/>
    <col min="23" max="23" width="4.7109375" style="37" bestFit="1" customWidth="1"/>
    <col min="24" max="24" width="4.85546875" style="37" bestFit="1" customWidth="1"/>
    <col min="25" max="25" width="8.85546875" style="37"/>
    <col min="26" max="27" width="12.7109375" style="37" customWidth="1"/>
    <col min="28" max="16384" width="8.85546875" style="37"/>
  </cols>
  <sheetData>
    <row r="1" spans="1:14" ht="18.75" x14ac:dyDescent="0.25">
      <c r="A1" s="58" t="s">
        <v>164</v>
      </c>
      <c r="B1" s="59"/>
      <c r="C1" s="59"/>
      <c r="M1" s="43" t="str">
        <f>CONCATENATE("Team: ",'Team Info'!$B$3)</f>
        <v xml:space="preserve">Team: </v>
      </c>
    </row>
    <row r="2" spans="1:14" x14ac:dyDescent="0.25">
      <c r="A2" s="77" t="s">
        <v>133</v>
      </c>
      <c r="B2" s="61"/>
      <c r="C2" s="61"/>
    </row>
    <row r="3" spans="1:14" x14ac:dyDescent="0.25">
      <c r="A3" s="104" t="s">
        <v>170</v>
      </c>
      <c r="B3" s="54"/>
      <c r="C3" s="54"/>
      <c r="D3" s="38"/>
      <c r="E3" s="38"/>
      <c r="F3" s="38"/>
    </row>
    <row r="4" spans="1:14" ht="23.25" customHeight="1" x14ac:dyDescent="0.25">
      <c r="A4" s="39" t="s">
        <v>0</v>
      </c>
      <c r="B4" s="39" t="s">
        <v>55</v>
      </c>
      <c r="C4" s="39" t="s">
        <v>56</v>
      </c>
      <c r="D4" s="55" t="s">
        <v>8</v>
      </c>
      <c r="E4" s="39" t="s">
        <v>2</v>
      </c>
      <c r="F4" s="39" t="s">
        <v>1</v>
      </c>
      <c r="I4" s="169" t="s">
        <v>178</v>
      </c>
      <c r="J4" s="169"/>
      <c r="K4" s="169"/>
      <c r="L4" s="169"/>
      <c r="M4" s="169"/>
      <c r="N4" s="169"/>
    </row>
    <row r="5" spans="1:14" x14ac:dyDescent="0.25">
      <c r="A5" s="63">
        <v>1</v>
      </c>
      <c r="B5" s="90" t="s">
        <v>166</v>
      </c>
      <c r="C5" s="90" t="s">
        <v>177</v>
      </c>
      <c r="D5" s="108"/>
      <c r="E5" s="44" t="str">
        <f t="shared" ref="E5:E14" si="0">IF(D5&gt;0,VLOOKUP(D5,Jumpers,3),"")</f>
        <v/>
      </c>
      <c r="F5" s="44" t="str">
        <f t="shared" ref="F5:F14" si="1">IF(D5&gt;0,VLOOKUP(D5,Jumpers,2),"")</f>
        <v/>
      </c>
      <c r="I5" s="169"/>
      <c r="J5" s="169"/>
      <c r="K5" s="169"/>
      <c r="L5" s="169"/>
      <c r="M5" s="169"/>
      <c r="N5" s="169"/>
    </row>
    <row r="6" spans="1:14" x14ac:dyDescent="0.25">
      <c r="A6" s="63">
        <v>2</v>
      </c>
      <c r="B6" s="90" t="s">
        <v>166</v>
      </c>
      <c r="C6" s="90" t="s">
        <v>177</v>
      </c>
      <c r="D6" s="35"/>
      <c r="E6" s="44" t="str">
        <f t="shared" si="0"/>
        <v/>
      </c>
      <c r="F6" s="44" t="str">
        <f t="shared" si="1"/>
        <v/>
      </c>
      <c r="I6" s="169"/>
      <c r="J6" s="169"/>
      <c r="K6" s="169"/>
      <c r="L6" s="169"/>
      <c r="M6" s="169"/>
      <c r="N6" s="169"/>
    </row>
    <row r="7" spans="1:14" x14ac:dyDescent="0.25">
      <c r="A7" s="63">
        <v>3</v>
      </c>
      <c r="B7" s="90" t="s">
        <v>166</v>
      </c>
      <c r="C7" s="90" t="s">
        <v>177</v>
      </c>
      <c r="D7" s="35"/>
      <c r="E7" s="44" t="str">
        <f t="shared" si="0"/>
        <v/>
      </c>
      <c r="F7" s="44" t="str">
        <f t="shared" si="1"/>
        <v/>
      </c>
      <c r="I7" s="169"/>
      <c r="J7" s="169"/>
      <c r="K7" s="169"/>
      <c r="L7" s="169"/>
      <c r="M7" s="169"/>
      <c r="N7" s="169"/>
    </row>
    <row r="8" spans="1:14" x14ac:dyDescent="0.25">
      <c r="A8" s="63">
        <v>4</v>
      </c>
      <c r="B8" s="90" t="s">
        <v>166</v>
      </c>
      <c r="C8" s="90" t="s">
        <v>177</v>
      </c>
      <c r="D8" s="35"/>
      <c r="E8" s="44" t="str">
        <f t="shared" si="0"/>
        <v/>
      </c>
      <c r="F8" s="44" t="str">
        <f t="shared" si="1"/>
        <v/>
      </c>
    </row>
    <row r="9" spans="1:14" x14ac:dyDescent="0.25">
      <c r="A9" s="63">
        <v>5</v>
      </c>
      <c r="B9" s="90" t="s">
        <v>166</v>
      </c>
      <c r="C9" s="90" t="s">
        <v>177</v>
      </c>
      <c r="D9" s="35"/>
      <c r="E9" s="44" t="str">
        <f t="shared" si="0"/>
        <v/>
      </c>
      <c r="F9" s="44" t="str">
        <f t="shared" si="1"/>
        <v/>
      </c>
    </row>
    <row r="10" spans="1:14" x14ac:dyDescent="0.25">
      <c r="A10" s="63">
        <v>6</v>
      </c>
      <c r="B10" s="90" t="s">
        <v>166</v>
      </c>
      <c r="C10" s="90" t="s">
        <v>177</v>
      </c>
      <c r="D10" s="35"/>
      <c r="E10" s="44" t="str">
        <f t="shared" si="0"/>
        <v/>
      </c>
      <c r="F10" s="44" t="str">
        <f t="shared" si="1"/>
        <v/>
      </c>
    </row>
    <row r="11" spans="1:14" x14ac:dyDescent="0.25">
      <c r="A11" s="63">
        <v>7</v>
      </c>
      <c r="B11" s="90" t="s">
        <v>166</v>
      </c>
      <c r="C11" s="90" t="s">
        <v>177</v>
      </c>
      <c r="D11" s="35"/>
      <c r="E11" s="44" t="str">
        <f t="shared" si="0"/>
        <v/>
      </c>
      <c r="F11" s="44" t="str">
        <f t="shared" si="1"/>
        <v/>
      </c>
    </row>
    <row r="12" spans="1:14" x14ac:dyDescent="0.25">
      <c r="A12" s="63">
        <v>8</v>
      </c>
      <c r="B12" s="90" t="s">
        <v>166</v>
      </c>
      <c r="C12" s="90" t="s">
        <v>177</v>
      </c>
      <c r="D12" s="35"/>
      <c r="E12" s="44" t="str">
        <f t="shared" si="0"/>
        <v/>
      </c>
      <c r="F12" s="44" t="str">
        <f t="shared" si="1"/>
        <v/>
      </c>
    </row>
    <row r="13" spans="1:14" x14ac:dyDescent="0.25">
      <c r="A13" s="63">
        <v>9</v>
      </c>
      <c r="B13" s="90" t="s">
        <v>166</v>
      </c>
      <c r="C13" s="90" t="s">
        <v>177</v>
      </c>
      <c r="D13" s="35"/>
      <c r="E13" s="44" t="str">
        <f t="shared" si="0"/>
        <v/>
      </c>
      <c r="F13" s="44" t="str">
        <f t="shared" si="1"/>
        <v/>
      </c>
    </row>
    <row r="14" spans="1:14" x14ac:dyDescent="0.25">
      <c r="A14" s="63">
        <v>10</v>
      </c>
      <c r="B14" s="90" t="s">
        <v>166</v>
      </c>
      <c r="C14" s="90" t="s">
        <v>177</v>
      </c>
      <c r="D14" s="35"/>
      <c r="E14" s="44" t="str">
        <f t="shared" si="0"/>
        <v/>
      </c>
      <c r="F14" s="44" t="str">
        <f t="shared" si="1"/>
        <v/>
      </c>
    </row>
    <row r="15" spans="1:14" x14ac:dyDescent="0.25">
      <c r="A15" s="38" t="s">
        <v>9</v>
      </c>
      <c r="B15" s="54"/>
      <c r="C15" s="54"/>
      <c r="D15" s="38"/>
      <c r="E15" s="38"/>
      <c r="F15" s="38"/>
      <c r="H15" s="38" t="s">
        <v>10</v>
      </c>
      <c r="I15" s="54"/>
      <c r="J15" s="54"/>
      <c r="K15" s="38"/>
      <c r="L15" s="38"/>
      <c r="M15" s="38"/>
    </row>
    <row r="16" spans="1:14" ht="23.25" x14ac:dyDescent="0.25">
      <c r="A16" s="39" t="s">
        <v>0</v>
      </c>
      <c r="B16" s="39" t="s">
        <v>55</v>
      </c>
      <c r="C16" s="39" t="s">
        <v>56</v>
      </c>
      <c r="D16" s="55" t="s">
        <v>8</v>
      </c>
      <c r="E16" s="39" t="s">
        <v>2</v>
      </c>
      <c r="F16" s="39" t="s">
        <v>1</v>
      </c>
      <c r="H16" s="39" t="s">
        <v>0</v>
      </c>
      <c r="I16" s="39" t="s">
        <v>55</v>
      </c>
      <c r="J16" s="39" t="s">
        <v>56</v>
      </c>
      <c r="K16" s="55" t="s">
        <v>8</v>
      </c>
      <c r="L16" s="39" t="s">
        <v>2</v>
      </c>
      <c r="M16" s="39" t="s">
        <v>1</v>
      </c>
    </row>
    <row r="17" spans="1:13" x14ac:dyDescent="0.25">
      <c r="A17" s="63">
        <v>1</v>
      </c>
      <c r="B17" s="90" t="s">
        <v>166</v>
      </c>
      <c r="C17" s="63" t="s">
        <v>44</v>
      </c>
      <c r="D17" s="108"/>
      <c r="E17" s="44" t="str">
        <f t="shared" ref="E17:E32" si="2">IF(D17&gt;0,VLOOKUP(D17,Jumpers,3),"")</f>
        <v/>
      </c>
      <c r="F17" s="44" t="str">
        <f t="shared" ref="F17:F32" si="3">IF(D17&gt;0,VLOOKUP(D17,Jumpers,2),"")</f>
        <v/>
      </c>
      <c r="H17" s="63">
        <v>1</v>
      </c>
      <c r="I17" s="90" t="s">
        <v>166</v>
      </c>
      <c r="J17" s="63" t="s">
        <v>45</v>
      </c>
      <c r="K17" s="35"/>
      <c r="L17" s="44" t="str">
        <f t="shared" ref="L17:L32" si="4">IF(K17&gt;0,VLOOKUP(K17,Jumpers,3),"")</f>
        <v/>
      </c>
      <c r="M17" s="44" t="str">
        <f t="shared" ref="M17:M32" si="5">IF(K17&gt;0,VLOOKUP(K17,Jumpers,2),"")</f>
        <v/>
      </c>
    </row>
    <row r="18" spans="1:13" x14ac:dyDescent="0.25">
      <c r="A18" s="63">
        <v>2</v>
      </c>
      <c r="B18" s="90" t="s">
        <v>166</v>
      </c>
      <c r="C18" s="63" t="s">
        <v>44</v>
      </c>
      <c r="D18" s="35"/>
      <c r="E18" s="44" t="str">
        <f t="shared" si="2"/>
        <v/>
      </c>
      <c r="F18" s="44" t="str">
        <f t="shared" si="3"/>
        <v/>
      </c>
      <c r="H18" s="63">
        <v>2</v>
      </c>
      <c r="I18" s="90" t="s">
        <v>166</v>
      </c>
      <c r="J18" s="63" t="s">
        <v>45</v>
      </c>
      <c r="K18" s="35"/>
      <c r="L18" s="44" t="str">
        <f t="shared" si="4"/>
        <v/>
      </c>
      <c r="M18" s="44" t="str">
        <f t="shared" si="5"/>
        <v/>
      </c>
    </row>
    <row r="19" spans="1:13" x14ac:dyDescent="0.25">
      <c r="A19" s="63">
        <v>3</v>
      </c>
      <c r="B19" s="90" t="s">
        <v>166</v>
      </c>
      <c r="C19" s="63" t="s">
        <v>44</v>
      </c>
      <c r="D19" s="35"/>
      <c r="E19" s="44" t="str">
        <f t="shared" si="2"/>
        <v/>
      </c>
      <c r="F19" s="44" t="str">
        <f t="shared" si="3"/>
        <v/>
      </c>
      <c r="H19" s="63">
        <v>3</v>
      </c>
      <c r="I19" s="90" t="s">
        <v>166</v>
      </c>
      <c r="J19" s="63" t="s">
        <v>45</v>
      </c>
      <c r="K19" s="35"/>
      <c r="L19" s="44" t="str">
        <f t="shared" si="4"/>
        <v/>
      </c>
      <c r="M19" s="44" t="str">
        <f t="shared" si="5"/>
        <v/>
      </c>
    </row>
    <row r="20" spans="1:13" x14ac:dyDescent="0.25">
      <c r="A20" s="63">
        <v>4</v>
      </c>
      <c r="B20" s="90" t="s">
        <v>166</v>
      </c>
      <c r="C20" s="63" t="s">
        <v>44</v>
      </c>
      <c r="D20" s="35"/>
      <c r="E20" s="44" t="str">
        <f t="shared" si="2"/>
        <v/>
      </c>
      <c r="F20" s="44" t="str">
        <f t="shared" si="3"/>
        <v/>
      </c>
      <c r="H20" s="63">
        <v>4</v>
      </c>
      <c r="I20" s="90" t="s">
        <v>166</v>
      </c>
      <c r="J20" s="63" t="s">
        <v>45</v>
      </c>
      <c r="K20" s="35"/>
      <c r="L20" s="44" t="str">
        <f t="shared" si="4"/>
        <v/>
      </c>
      <c r="M20" s="44" t="str">
        <f t="shared" si="5"/>
        <v/>
      </c>
    </row>
    <row r="21" spans="1:13" x14ac:dyDescent="0.25">
      <c r="A21" s="63">
        <v>5</v>
      </c>
      <c r="B21" s="90" t="s">
        <v>166</v>
      </c>
      <c r="C21" s="63" t="s">
        <v>44</v>
      </c>
      <c r="D21" s="108"/>
      <c r="E21" s="44" t="str">
        <f t="shared" si="2"/>
        <v/>
      </c>
      <c r="F21" s="44" t="str">
        <f t="shared" si="3"/>
        <v/>
      </c>
      <c r="H21" s="63">
        <v>5</v>
      </c>
      <c r="I21" s="90" t="s">
        <v>166</v>
      </c>
      <c r="J21" s="63" t="s">
        <v>45</v>
      </c>
      <c r="K21" s="35"/>
      <c r="L21" s="44" t="str">
        <f t="shared" si="4"/>
        <v/>
      </c>
      <c r="M21" s="44" t="str">
        <f t="shared" si="5"/>
        <v/>
      </c>
    </row>
    <row r="22" spans="1:13" x14ac:dyDescent="0.25">
      <c r="A22" s="63">
        <v>6</v>
      </c>
      <c r="B22" s="90" t="s">
        <v>166</v>
      </c>
      <c r="C22" s="63" t="s">
        <v>44</v>
      </c>
      <c r="D22" s="35"/>
      <c r="E22" s="44" t="str">
        <f t="shared" si="2"/>
        <v/>
      </c>
      <c r="F22" s="44" t="str">
        <f t="shared" si="3"/>
        <v/>
      </c>
      <c r="H22" s="63">
        <v>6</v>
      </c>
      <c r="I22" s="90" t="s">
        <v>166</v>
      </c>
      <c r="J22" s="63" t="s">
        <v>45</v>
      </c>
      <c r="K22" s="35"/>
      <c r="L22" s="44" t="str">
        <f t="shared" si="4"/>
        <v/>
      </c>
      <c r="M22" s="44" t="str">
        <f t="shared" si="5"/>
        <v/>
      </c>
    </row>
    <row r="23" spans="1:13" x14ac:dyDescent="0.25">
      <c r="A23" s="63">
        <v>7</v>
      </c>
      <c r="B23" s="90" t="s">
        <v>166</v>
      </c>
      <c r="C23" s="63" t="s">
        <v>44</v>
      </c>
      <c r="D23" s="35"/>
      <c r="E23" s="44" t="str">
        <f t="shared" si="2"/>
        <v/>
      </c>
      <c r="F23" s="44" t="str">
        <f t="shared" si="3"/>
        <v/>
      </c>
      <c r="H23" s="63">
        <v>7</v>
      </c>
      <c r="I23" s="90" t="s">
        <v>166</v>
      </c>
      <c r="J23" s="63" t="s">
        <v>45</v>
      </c>
      <c r="K23" s="35"/>
      <c r="L23" s="44" t="str">
        <f t="shared" si="4"/>
        <v/>
      </c>
      <c r="M23" s="44" t="str">
        <f t="shared" si="5"/>
        <v/>
      </c>
    </row>
    <row r="24" spans="1:13" x14ac:dyDescent="0.25">
      <c r="A24" s="63">
        <v>8</v>
      </c>
      <c r="B24" s="90" t="s">
        <v>166</v>
      </c>
      <c r="C24" s="63" t="s">
        <v>44</v>
      </c>
      <c r="D24" s="35"/>
      <c r="E24" s="44" t="str">
        <f t="shared" si="2"/>
        <v/>
      </c>
      <c r="F24" s="44" t="str">
        <f t="shared" si="3"/>
        <v/>
      </c>
      <c r="H24" s="63">
        <v>8</v>
      </c>
      <c r="I24" s="90" t="s">
        <v>166</v>
      </c>
      <c r="J24" s="63" t="s">
        <v>45</v>
      </c>
      <c r="K24" s="35"/>
      <c r="L24" s="44" t="str">
        <f t="shared" si="4"/>
        <v/>
      </c>
      <c r="M24" s="44" t="str">
        <f t="shared" si="5"/>
        <v/>
      </c>
    </row>
    <row r="25" spans="1:13" x14ac:dyDescent="0.25">
      <c r="A25" s="63">
        <v>9</v>
      </c>
      <c r="B25" s="90" t="s">
        <v>166</v>
      </c>
      <c r="C25" s="63" t="s">
        <v>44</v>
      </c>
      <c r="D25" s="35"/>
      <c r="E25" s="44" t="str">
        <f t="shared" si="2"/>
        <v/>
      </c>
      <c r="F25" s="44" t="str">
        <f t="shared" si="3"/>
        <v/>
      </c>
      <c r="H25" s="63">
        <v>9</v>
      </c>
      <c r="I25" s="90" t="s">
        <v>166</v>
      </c>
      <c r="J25" s="63" t="s">
        <v>45</v>
      </c>
      <c r="K25" s="35"/>
      <c r="L25" s="44" t="str">
        <f t="shared" si="4"/>
        <v/>
      </c>
      <c r="M25" s="44" t="str">
        <f t="shared" si="5"/>
        <v/>
      </c>
    </row>
    <row r="26" spans="1:13" x14ac:dyDescent="0.25">
      <c r="A26" s="63">
        <v>10</v>
      </c>
      <c r="B26" s="90" t="s">
        <v>166</v>
      </c>
      <c r="C26" s="63" t="s">
        <v>44</v>
      </c>
      <c r="D26" s="35"/>
      <c r="E26" s="44" t="str">
        <f t="shared" si="2"/>
        <v/>
      </c>
      <c r="F26" s="44" t="str">
        <f t="shared" si="3"/>
        <v/>
      </c>
      <c r="H26" s="63">
        <v>10</v>
      </c>
      <c r="I26" s="90" t="s">
        <v>166</v>
      </c>
      <c r="J26" s="63" t="s">
        <v>45</v>
      </c>
      <c r="K26" s="35"/>
      <c r="L26" s="44" t="str">
        <f t="shared" si="4"/>
        <v/>
      </c>
      <c r="M26" s="44" t="str">
        <f t="shared" si="5"/>
        <v/>
      </c>
    </row>
    <row r="27" spans="1:13" x14ac:dyDescent="0.25">
      <c r="A27" s="63">
        <v>11</v>
      </c>
      <c r="B27" s="90" t="s">
        <v>166</v>
      </c>
      <c r="C27" s="63" t="s">
        <v>44</v>
      </c>
      <c r="D27" s="35"/>
      <c r="E27" s="44" t="str">
        <f t="shared" si="2"/>
        <v/>
      </c>
      <c r="F27" s="44" t="str">
        <f t="shared" si="3"/>
        <v/>
      </c>
      <c r="H27" s="63">
        <v>11</v>
      </c>
      <c r="I27" s="90" t="s">
        <v>166</v>
      </c>
      <c r="J27" s="63" t="s">
        <v>45</v>
      </c>
      <c r="K27" s="35"/>
      <c r="L27" s="44" t="str">
        <f t="shared" si="4"/>
        <v/>
      </c>
      <c r="M27" s="44" t="str">
        <f t="shared" si="5"/>
        <v/>
      </c>
    </row>
    <row r="28" spans="1:13" x14ac:dyDescent="0.25">
      <c r="A28" s="63">
        <v>12</v>
      </c>
      <c r="B28" s="90" t="s">
        <v>166</v>
      </c>
      <c r="C28" s="63" t="s">
        <v>44</v>
      </c>
      <c r="D28" s="35"/>
      <c r="E28" s="44" t="str">
        <f t="shared" si="2"/>
        <v/>
      </c>
      <c r="F28" s="44" t="str">
        <f t="shared" si="3"/>
        <v/>
      </c>
      <c r="H28" s="63">
        <v>12</v>
      </c>
      <c r="I28" s="90" t="s">
        <v>166</v>
      </c>
      <c r="J28" s="63" t="s">
        <v>45</v>
      </c>
      <c r="K28" s="35"/>
      <c r="L28" s="44" t="str">
        <f t="shared" si="4"/>
        <v/>
      </c>
      <c r="M28" s="44" t="str">
        <f t="shared" si="5"/>
        <v/>
      </c>
    </row>
    <row r="29" spans="1:13" x14ac:dyDescent="0.25">
      <c r="A29" s="63">
        <v>13</v>
      </c>
      <c r="B29" s="90" t="s">
        <v>166</v>
      </c>
      <c r="C29" s="63" t="s">
        <v>44</v>
      </c>
      <c r="D29" s="35"/>
      <c r="E29" s="44" t="str">
        <f t="shared" si="2"/>
        <v/>
      </c>
      <c r="F29" s="44" t="str">
        <f t="shared" si="3"/>
        <v/>
      </c>
      <c r="H29" s="63">
        <v>13</v>
      </c>
      <c r="I29" s="90" t="s">
        <v>166</v>
      </c>
      <c r="J29" s="63" t="s">
        <v>45</v>
      </c>
      <c r="K29" s="35"/>
      <c r="L29" s="44" t="str">
        <f t="shared" si="4"/>
        <v/>
      </c>
      <c r="M29" s="44" t="str">
        <f t="shared" si="5"/>
        <v/>
      </c>
    </row>
    <row r="30" spans="1:13" x14ac:dyDescent="0.25">
      <c r="A30" s="63">
        <v>14</v>
      </c>
      <c r="B30" s="90" t="s">
        <v>166</v>
      </c>
      <c r="C30" s="63" t="s">
        <v>44</v>
      </c>
      <c r="D30" s="35"/>
      <c r="E30" s="44" t="str">
        <f t="shared" si="2"/>
        <v/>
      </c>
      <c r="F30" s="44" t="str">
        <f t="shared" si="3"/>
        <v/>
      </c>
      <c r="H30" s="63">
        <v>14</v>
      </c>
      <c r="I30" s="90" t="s">
        <v>166</v>
      </c>
      <c r="J30" s="63" t="s">
        <v>45</v>
      </c>
      <c r="K30" s="35"/>
      <c r="L30" s="44" t="str">
        <f t="shared" si="4"/>
        <v/>
      </c>
      <c r="M30" s="44" t="str">
        <f t="shared" si="5"/>
        <v/>
      </c>
    </row>
    <row r="31" spans="1:13" x14ac:dyDescent="0.25">
      <c r="A31" s="63">
        <v>15</v>
      </c>
      <c r="B31" s="90" t="s">
        <v>166</v>
      </c>
      <c r="C31" s="63" t="s">
        <v>44</v>
      </c>
      <c r="D31" s="35"/>
      <c r="E31" s="44" t="str">
        <f t="shared" si="2"/>
        <v/>
      </c>
      <c r="F31" s="44" t="str">
        <f t="shared" si="3"/>
        <v/>
      </c>
      <c r="H31" s="63">
        <v>15</v>
      </c>
      <c r="I31" s="90" t="s">
        <v>166</v>
      </c>
      <c r="J31" s="63" t="s">
        <v>45</v>
      </c>
      <c r="K31" s="35"/>
      <c r="L31" s="44" t="str">
        <f t="shared" si="4"/>
        <v/>
      </c>
      <c r="M31" s="44" t="str">
        <f t="shared" si="5"/>
        <v/>
      </c>
    </row>
    <row r="32" spans="1:13" x14ac:dyDescent="0.25">
      <c r="A32" s="63">
        <v>16</v>
      </c>
      <c r="B32" s="90" t="s">
        <v>166</v>
      </c>
      <c r="C32" s="63" t="s">
        <v>44</v>
      </c>
      <c r="D32" s="35"/>
      <c r="E32" s="44" t="str">
        <f t="shared" si="2"/>
        <v/>
      </c>
      <c r="F32" s="44" t="str">
        <f t="shared" si="3"/>
        <v/>
      </c>
      <c r="H32" s="63">
        <v>16</v>
      </c>
      <c r="I32" s="90" t="s">
        <v>166</v>
      </c>
      <c r="J32" s="63" t="s">
        <v>45</v>
      </c>
      <c r="K32" s="35"/>
      <c r="L32" s="44" t="str">
        <f t="shared" si="4"/>
        <v/>
      </c>
      <c r="M32" s="44" t="str">
        <f t="shared" si="5"/>
        <v/>
      </c>
    </row>
    <row r="33" spans="1:13" x14ac:dyDescent="0.25">
      <c r="A33" s="63">
        <v>17</v>
      </c>
      <c r="B33" s="90" t="s">
        <v>166</v>
      </c>
      <c r="C33" s="63" t="s">
        <v>44</v>
      </c>
      <c r="D33" s="35"/>
      <c r="E33" s="44" t="str">
        <f>IF(D33&gt;0,VLOOKUP(D33,Jumpers,3),"")</f>
        <v/>
      </c>
      <c r="F33" s="44" t="str">
        <f>IF(D33&gt;0,VLOOKUP(D33,Jumpers,2),"")</f>
        <v/>
      </c>
      <c r="H33" s="63">
        <v>17</v>
      </c>
      <c r="I33" s="90" t="s">
        <v>166</v>
      </c>
      <c r="J33" s="63" t="s">
        <v>45</v>
      </c>
      <c r="K33" s="35"/>
      <c r="L33" s="44" t="str">
        <f>IF(K33&gt;0,VLOOKUP(K33,Jumpers,3),"")</f>
        <v/>
      </c>
      <c r="M33" s="44" t="str">
        <f>IF(K33&gt;0,VLOOKUP(K33,Jumpers,2),"")</f>
        <v/>
      </c>
    </row>
    <row r="34" spans="1:13" x14ac:dyDescent="0.25">
      <c r="A34" s="63">
        <v>18</v>
      </c>
      <c r="B34" s="90" t="s">
        <v>166</v>
      </c>
      <c r="C34" s="63" t="s">
        <v>44</v>
      </c>
      <c r="D34" s="35"/>
      <c r="E34" s="44" t="str">
        <f>IF(D34&gt;0,VLOOKUP(D34,Jumpers,3),"")</f>
        <v/>
      </c>
      <c r="F34" s="44" t="str">
        <f>IF(D34&gt;0,VLOOKUP(D34,Jumpers,2),"")</f>
        <v/>
      </c>
      <c r="H34" s="63">
        <v>18</v>
      </c>
      <c r="I34" s="90" t="s">
        <v>166</v>
      </c>
      <c r="J34" s="63" t="s">
        <v>45</v>
      </c>
      <c r="K34" s="35"/>
      <c r="L34" s="44" t="str">
        <f>IF(K34&gt;0,VLOOKUP(K34,Jumpers,3),"")</f>
        <v/>
      </c>
      <c r="M34" s="44" t="str">
        <f>IF(K34&gt;0,VLOOKUP(K34,Jumpers,2),"")</f>
        <v/>
      </c>
    </row>
    <row r="35" spans="1:13" x14ac:dyDescent="0.25">
      <c r="A35" s="63">
        <v>19</v>
      </c>
      <c r="B35" s="90" t="s">
        <v>166</v>
      </c>
      <c r="C35" s="63" t="s">
        <v>44</v>
      </c>
      <c r="D35" s="35"/>
      <c r="E35" s="44" t="str">
        <f>IF(D35&gt;0,VLOOKUP(D35,Jumpers,3),"")</f>
        <v/>
      </c>
      <c r="F35" s="44" t="str">
        <f>IF(D35&gt;0,VLOOKUP(D35,Jumpers,2),"")</f>
        <v/>
      </c>
      <c r="H35" s="63">
        <v>19</v>
      </c>
      <c r="I35" s="90" t="s">
        <v>166</v>
      </c>
      <c r="J35" s="63" t="s">
        <v>45</v>
      </c>
      <c r="K35" s="35"/>
      <c r="L35" s="44" t="str">
        <f>IF(K35&gt;0,VLOOKUP(K35,Jumpers,3),"")</f>
        <v/>
      </c>
      <c r="M35" s="44" t="str">
        <f>IF(K35&gt;0,VLOOKUP(K35,Jumpers,2),"")</f>
        <v/>
      </c>
    </row>
    <row r="36" spans="1:13" x14ac:dyDescent="0.25">
      <c r="A36" s="63">
        <v>20</v>
      </c>
      <c r="B36" s="90" t="s">
        <v>166</v>
      </c>
      <c r="C36" s="63" t="s">
        <v>44</v>
      </c>
      <c r="D36" s="35"/>
      <c r="E36" s="44" t="str">
        <f>IF(D36&gt;0,VLOOKUP(D36,Jumpers,3),"")</f>
        <v/>
      </c>
      <c r="F36" s="44" t="str">
        <f>IF(D36&gt;0,VLOOKUP(D36,Jumpers,2),"")</f>
        <v/>
      </c>
      <c r="H36" s="63">
        <v>20</v>
      </c>
      <c r="I36" s="90" t="s">
        <v>166</v>
      </c>
      <c r="J36" s="63" t="s">
        <v>45</v>
      </c>
      <c r="K36" s="35"/>
      <c r="L36" s="44" t="str">
        <f>IF(K36&gt;0,VLOOKUP(K36,Jumpers,3),"")</f>
        <v/>
      </c>
      <c r="M36" s="44" t="str">
        <f>IF(K36&gt;0,VLOOKUP(K36,Jumpers,2),"")</f>
        <v/>
      </c>
    </row>
    <row r="37" spans="1:13" x14ac:dyDescent="0.25">
      <c r="A37" s="38" t="s">
        <v>11</v>
      </c>
      <c r="B37" s="54"/>
      <c r="C37" s="54"/>
      <c r="D37" s="38"/>
      <c r="E37" s="38"/>
      <c r="F37" s="38"/>
      <c r="H37" s="38" t="s">
        <v>217</v>
      </c>
      <c r="I37" s="54"/>
      <c r="J37" s="54"/>
      <c r="K37" s="38"/>
      <c r="L37" s="38"/>
      <c r="M37" s="38"/>
    </row>
    <row r="38" spans="1:13" ht="23.25" x14ac:dyDescent="0.25">
      <c r="A38" s="39" t="s">
        <v>0</v>
      </c>
      <c r="B38" s="39" t="s">
        <v>55</v>
      </c>
      <c r="C38" s="39" t="s">
        <v>56</v>
      </c>
      <c r="D38" s="55" t="s">
        <v>8</v>
      </c>
      <c r="E38" s="39" t="s">
        <v>2</v>
      </c>
      <c r="F38" s="39" t="s">
        <v>1</v>
      </c>
      <c r="H38" s="39" t="s">
        <v>0</v>
      </c>
      <c r="I38" s="39" t="s">
        <v>55</v>
      </c>
      <c r="J38" s="39" t="s">
        <v>56</v>
      </c>
      <c r="K38" s="55" t="s">
        <v>8</v>
      </c>
      <c r="L38" s="39" t="s">
        <v>2</v>
      </c>
      <c r="M38" s="39" t="s">
        <v>1</v>
      </c>
    </row>
    <row r="39" spans="1:13" x14ac:dyDescent="0.25">
      <c r="A39" s="63">
        <v>1</v>
      </c>
      <c r="B39" s="90" t="s">
        <v>166</v>
      </c>
      <c r="C39" s="63" t="s">
        <v>47</v>
      </c>
      <c r="D39" s="35"/>
      <c r="E39" s="44" t="str">
        <f t="shared" ref="E39:E58" si="6">IF(D39&gt;0,VLOOKUP(D39,Jumpers,3),"")</f>
        <v/>
      </c>
      <c r="F39" s="44" t="str">
        <f t="shared" ref="F39:F58" si="7">IF(D39&gt;0,VLOOKUP(D39,Jumpers,2),"")</f>
        <v/>
      </c>
      <c r="H39" s="63">
        <v>1</v>
      </c>
      <c r="I39" s="90" t="s">
        <v>166</v>
      </c>
      <c r="J39" s="90" t="s">
        <v>214</v>
      </c>
      <c r="K39" s="35"/>
      <c r="L39" s="44" t="str">
        <f t="shared" ref="L39:L58" si="8">IF(K39&gt;0,VLOOKUP(K39,Jumpers,3),"")</f>
        <v/>
      </c>
      <c r="M39" s="44" t="str">
        <f t="shared" ref="M39:M58" si="9">IF(K39&gt;0,VLOOKUP(K39,Jumpers,2),"")</f>
        <v/>
      </c>
    </row>
    <row r="40" spans="1:13" x14ac:dyDescent="0.25">
      <c r="A40" s="63">
        <v>2</v>
      </c>
      <c r="B40" s="90" t="s">
        <v>166</v>
      </c>
      <c r="C40" s="63" t="s">
        <v>47</v>
      </c>
      <c r="D40" s="35"/>
      <c r="E40" s="44" t="str">
        <f t="shared" si="6"/>
        <v/>
      </c>
      <c r="F40" s="44" t="str">
        <f t="shared" si="7"/>
        <v/>
      </c>
      <c r="H40" s="63">
        <v>2</v>
      </c>
      <c r="I40" s="90" t="s">
        <v>166</v>
      </c>
      <c r="J40" s="90" t="s">
        <v>214</v>
      </c>
      <c r="K40" s="35"/>
      <c r="L40" s="44" t="str">
        <f t="shared" si="8"/>
        <v/>
      </c>
      <c r="M40" s="44" t="str">
        <f t="shared" si="9"/>
        <v/>
      </c>
    </row>
    <row r="41" spans="1:13" x14ac:dyDescent="0.25">
      <c r="A41" s="63">
        <v>3</v>
      </c>
      <c r="B41" s="90" t="s">
        <v>166</v>
      </c>
      <c r="C41" s="63" t="s">
        <v>47</v>
      </c>
      <c r="D41" s="35"/>
      <c r="E41" s="44" t="str">
        <f t="shared" si="6"/>
        <v/>
      </c>
      <c r="F41" s="44" t="str">
        <f t="shared" si="7"/>
        <v/>
      </c>
      <c r="H41" s="63">
        <v>3</v>
      </c>
      <c r="I41" s="90" t="s">
        <v>166</v>
      </c>
      <c r="J41" s="90" t="s">
        <v>214</v>
      </c>
      <c r="K41" s="35"/>
      <c r="L41" s="44" t="str">
        <f t="shared" si="8"/>
        <v/>
      </c>
      <c r="M41" s="44" t="str">
        <f t="shared" si="9"/>
        <v/>
      </c>
    </row>
    <row r="42" spans="1:13" x14ac:dyDescent="0.25">
      <c r="A42" s="63">
        <v>4</v>
      </c>
      <c r="B42" s="90" t="s">
        <v>166</v>
      </c>
      <c r="C42" s="63" t="s">
        <v>47</v>
      </c>
      <c r="D42" s="35"/>
      <c r="E42" s="44" t="str">
        <f t="shared" si="6"/>
        <v/>
      </c>
      <c r="F42" s="44" t="str">
        <f t="shared" si="7"/>
        <v/>
      </c>
      <c r="H42" s="63">
        <v>4</v>
      </c>
      <c r="I42" s="90" t="s">
        <v>166</v>
      </c>
      <c r="J42" s="90" t="s">
        <v>214</v>
      </c>
      <c r="K42" s="35"/>
      <c r="L42" s="44" t="str">
        <f t="shared" si="8"/>
        <v/>
      </c>
      <c r="M42" s="44" t="str">
        <f t="shared" si="9"/>
        <v/>
      </c>
    </row>
    <row r="43" spans="1:13" x14ac:dyDescent="0.25">
      <c r="A43" s="63">
        <v>5</v>
      </c>
      <c r="B43" s="90" t="s">
        <v>166</v>
      </c>
      <c r="C43" s="63" t="s">
        <v>47</v>
      </c>
      <c r="D43" s="35"/>
      <c r="E43" s="44" t="str">
        <f t="shared" si="6"/>
        <v/>
      </c>
      <c r="F43" s="44" t="str">
        <f t="shared" si="7"/>
        <v/>
      </c>
      <c r="H43" s="63">
        <v>5</v>
      </c>
      <c r="I43" s="90" t="s">
        <v>166</v>
      </c>
      <c r="J43" s="90" t="s">
        <v>214</v>
      </c>
      <c r="K43" s="35"/>
      <c r="L43" s="44" t="str">
        <f t="shared" si="8"/>
        <v/>
      </c>
      <c r="M43" s="44" t="str">
        <f t="shared" si="9"/>
        <v/>
      </c>
    </row>
    <row r="44" spans="1:13" x14ac:dyDescent="0.25">
      <c r="A44" s="63">
        <v>6</v>
      </c>
      <c r="B44" s="90" t="s">
        <v>166</v>
      </c>
      <c r="C44" s="63" t="s">
        <v>47</v>
      </c>
      <c r="D44" s="35"/>
      <c r="E44" s="44" t="str">
        <f t="shared" si="6"/>
        <v/>
      </c>
      <c r="F44" s="44" t="str">
        <f t="shared" si="7"/>
        <v/>
      </c>
      <c r="H44" s="63">
        <v>6</v>
      </c>
      <c r="I44" s="90" t="s">
        <v>166</v>
      </c>
      <c r="J44" s="90" t="s">
        <v>214</v>
      </c>
      <c r="K44" s="35"/>
      <c r="L44" s="44" t="str">
        <f t="shared" si="8"/>
        <v/>
      </c>
      <c r="M44" s="44" t="str">
        <f t="shared" si="9"/>
        <v/>
      </c>
    </row>
    <row r="45" spans="1:13" x14ac:dyDescent="0.25">
      <c r="A45" s="63">
        <v>7</v>
      </c>
      <c r="B45" s="90" t="s">
        <v>166</v>
      </c>
      <c r="C45" s="63" t="s">
        <v>47</v>
      </c>
      <c r="D45" s="35"/>
      <c r="E45" s="44" t="str">
        <f t="shared" si="6"/>
        <v/>
      </c>
      <c r="F45" s="44" t="str">
        <f t="shared" si="7"/>
        <v/>
      </c>
      <c r="H45" s="63">
        <v>7</v>
      </c>
      <c r="I45" s="90" t="s">
        <v>166</v>
      </c>
      <c r="J45" s="90" t="s">
        <v>214</v>
      </c>
      <c r="K45" s="35"/>
      <c r="L45" s="44" t="str">
        <f t="shared" si="8"/>
        <v/>
      </c>
      <c r="M45" s="44" t="str">
        <f t="shared" si="9"/>
        <v/>
      </c>
    </row>
    <row r="46" spans="1:13" x14ac:dyDescent="0.25">
      <c r="A46" s="63">
        <v>8</v>
      </c>
      <c r="B46" s="90" t="s">
        <v>166</v>
      </c>
      <c r="C46" s="63" t="s">
        <v>47</v>
      </c>
      <c r="D46" s="35"/>
      <c r="E46" s="44" t="str">
        <f t="shared" si="6"/>
        <v/>
      </c>
      <c r="F46" s="44" t="str">
        <f t="shared" si="7"/>
        <v/>
      </c>
      <c r="H46" s="63">
        <v>8</v>
      </c>
      <c r="I46" s="90" t="s">
        <v>166</v>
      </c>
      <c r="J46" s="90" t="s">
        <v>214</v>
      </c>
      <c r="K46" s="35"/>
      <c r="L46" s="44" t="str">
        <f t="shared" si="8"/>
        <v/>
      </c>
      <c r="M46" s="44" t="str">
        <f t="shared" si="9"/>
        <v/>
      </c>
    </row>
    <row r="47" spans="1:13" x14ac:dyDescent="0.25">
      <c r="A47" s="63">
        <v>9</v>
      </c>
      <c r="B47" s="90" t="s">
        <v>166</v>
      </c>
      <c r="C47" s="63" t="s">
        <v>47</v>
      </c>
      <c r="D47" s="35"/>
      <c r="E47" s="44" t="str">
        <f t="shared" si="6"/>
        <v/>
      </c>
      <c r="F47" s="44" t="str">
        <f t="shared" si="7"/>
        <v/>
      </c>
      <c r="H47" s="63">
        <v>9</v>
      </c>
      <c r="I47" s="90" t="s">
        <v>166</v>
      </c>
      <c r="J47" s="90" t="s">
        <v>214</v>
      </c>
      <c r="K47" s="35"/>
      <c r="L47" s="44" t="str">
        <f t="shared" si="8"/>
        <v/>
      </c>
      <c r="M47" s="44" t="str">
        <f t="shared" si="9"/>
        <v/>
      </c>
    </row>
    <row r="48" spans="1:13" x14ac:dyDescent="0.25">
      <c r="A48" s="63">
        <v>10</v>
      </c>
      <c r="B48" s="90" t="s">
        <v>166</v>
      </c>
      <c r="C48" s="63" t="s">
        <v>47</v>
      </c>
      <c r="D48" s="35"/>
      <c r="E48" s="44" t="str">
        <f t="shared" si="6"/>
        <v/>
      </c>
      <c r="F48" s="44" t="str">
        <f t="shared" si="7"/>
        <v/>
      </c>
      <c r="H48" s="63">
        <v>10</v>
      </c>
      <c r="I48" s="90" t="s">
        <v>166</v>
      </c>
      <c r="J48" s="90" t="s">
        <v>214</v>
      </c>
      <c r="K48" s="35"/>
      <c r="L48" s="44" t="str">
        <f t="shared" si="8"/>
        <v/>
      </c>
      <c r="M48" s="44" t="str">
        <f t="shared" si="9"/>
        <v/>
      </c>
    </row>
    <row r="49" spans="1:13" x14ac:dyDescent="0.25">
      <c r="A49" s="63">
        <v>11</v>
      </c>
      <c r="B49" s="90" t="s">
        <v>166</v>
      </c>
      <c r="C49" s="63" t="s">
        <v>47</v>
      </c>
      <c r="D49" s="35"/>
      <c r="E49" s="44" t="str">
        <f t="shared" si="6"/>
        <v/>
      </c>
      <c r="F49" s="44" t="str">
        <f t="shared" si="7"/>
        <v/>
      </c>
      <c r="H49" s="63">
        <v>11</v>
      </c>
      <c r="I49" s="90" t="s">
        <v>166</v>
      </c>
      <c r="J49" s="90" t="s">
        <v>214</v>
      </c>
      <c r="K49" s="35"/>
      <c r="L49" s="44" t="str">
        <f t="shared" si="8"/>
        <v/>
      </c>
      <c r="M49" s="44" t="str">
        <f t="shared" si="9"/>
        <v/>
      </c>
    </row>
    <row r="50" spans="1:13" x14ac:dyDescent="0.25">
      <c r="A50" s="63">
        <v>12</v>
      </c>
      <c r="B50" s="90" t="s">
        <v>166</v>
      </c>
      <c r="C50" s="63" t="s">
        <v>47</v>
      </c>
      <c r="D50" s="35"/>
      <c r="E50" s="44" t="str">
        <f t="shared" si="6"/>
        <v/>
      </c>
      <c r="F50" s="44" t="str">
        <f t="shared" si="7"/>
        <v/>
      </c>
      <c r="H50" s="63">
        <v>12</v>
      </c>
      <c r="I50" s="90" t="s">
        <v>166</v>
      </c>
      <c r="J50" s="90" t="s">
        <v>214</v>
      </c>
      <c r="K50" s="35"/>
      <c r="L50" s="44" t="str">
        <f t="shared" si="8"/>
        <v/>
      </c>
      <c r="M50" s="44" t="str">
        <f t="shared" si="9"/>
        <v/>
      </c>
    </row>
    <row r="51" spans="1:13" x14ac:dyDescent="0.25">
      <c r="A51" s="63">
        <v>13</v>
      </c>
      <c r="B51" s="90" t="s">
        <v>166</v>
      </c>
      <c r="C51" s="63" t="s">
        <v>47</v>
      </c>
      <c r="D51" s="35"/>
      <c r="E51" s="44" t="str">
        <f t="shared" si="6"/>
        <v/>
      </c>
      <c r="F51" s="44" t="str">
        <f t="shared" si="7"/>
        <v/>
      </c>
      <c r="H51" s="63">
        <v>13</v>
      </c>
      <c r="I51" s="90" t="s">
        <v>166</v>
      </c>
      <c r="J51" s="90" t="s">
        <v>214</v>
      </c>
      <c r="K51" s="35"/>
      <c r="L51" s="44" t="str">
        <f t="shared" si="8"/>
        <v/>
      </c>
      <c r="M51" s="44" t="str">
        <f t="shared" si="9"/>
        <v/>
      </c>
    </row>
    <row r="52" spans="1:13" x14ac:dyDescent="0.25">
      <c r="A52" s="63">
        <v>14</v>
      </c>
      <c r="B52" s="90" t="s">
        <v>166</v>
      </c>
      <c r="C52" s="63" t="s">
        <v>47</v>
      </c>
      <c r="D52" s="35"/>
      <c r="E52" s="44" t="str">
        <f t="shared" si="6"/>
        <v/>
      </c>
      <c r="F52" s="44" t="str">
        <f t="shared" si="7"/>
        <v/>
      </c>
      <c r="H52" s="63">
        <v>14</v>
      </c>
      <c r="I52" s="90" t="s">
        <v>166</v>
      </c>
      <c r="J52" s="90" t="s">
        <v>214</v>
      </c>
      <c r="K52" s="35"/>
      <c r="L52" s="44" t="str">
        <f t="shared" si="8"/>
        <v/>
      </c>
      <c r="M52" s="44" t="str">
        <f t="shared" si="9"/>
        <v/>
      </c>
    </row>
    <row r="53" spans="1:13" x14ac:dyDescent="0.25">
      <c r="A53" s="63">
        <v>15</v>
      </c>
      <c r="B53" s="90" t="s">
        <v>166</v>
      </c>
      <c r="C53" s="63" t="s">
        <v>47</v>
      </c>
      <c r="D53" s="35"/>
      <c r="E53" s="44" t="str">
        <f t="shared" si="6"/>
        <v/>
      </c>
      <c r="F53" s="44" t="str">
        <f t="shared" si="7"/>
        <v/>
      </c>
      <c r="H53" s="63">
        <v>15</v>
      </c>
      <c r="I53" s="90" t="s">
        <v>166</v>
      </c>
      <c r="J53" s="90" t="s">
        <v>214</v>
      </c>
      <c r="K53" s="35"/>
      <c r="L53" s="44" t="str">
        <f t="shared" si="8"/>
        <v/>
      </c>
      <c r="M53" s="44" t="str">
        <f t="shared" si="9"/>
        <v/>
      </c>
    </row>
    <row r="54" spans="1:13" x14ac:dyDescent="0.25">
      <c r="A54" s="63">
        <v>16</v>
      </c>
      <c r="B54" s="90" t="s">
        <v>166</v>
      </c>
      <c r="C54" s="63" t="s">
        <v>47</v>
      </c>
      <c r="D54" s="35"/>
      <c r="E54" s="44" t="str">
        <f t="shared" si="6"/>
        <v/>
      </c>
      <c r="F54" s="44" t="str">
        <f t="shared" si="7"/>
        <v/>
      </c>
      <c r="H54" s="63">
        <v>16</v>
      </c>
      <c r="I54" s="90" t="s">
        <v>166</v>
      </c>
      <c r="J54" s="90" t="s">
        <v>214</v>
      </c>
      <c r="K54" s="35"/>
      <c r="L54" s="44" t="str">
        <f t="shared" si="8"/>
        <v/>
      </c>
      <c r="M54" s="44" t="str">
        <f t="shared" si="9"/>
        <v/>
      </c>
    </row>
    <row r="55" spans="1:13" x14ac:dyDescent="0.25">
      <c r="A55" s="63">
        <v>17</v>
      </c>
      <c r="B55" s="90" t="s">
        <v>166</v>
      </c>
      <c r="C55" s="63" t="s">
        <v>47</v>
      </c>
      <c r="D55" s="35"/>
      <c r="E55" s="44" t="str">
        <f t="shared" si="6"/>
        <v/>
      </c>
      <c r="F55" s="44" t="str">
        <f t="shared" si="7"/>
        <v/>
      </c>
      <c r="H55" s="63">
        <v>17</v>
      </c>
      <c r="I55" s="90" t="s">
        <v>166</v>
      </c>
      <c r="J55" s="90" t="s">
        <v>214</v>
      </c>
      <c r="K55" s="35"/>
      <c r="L55" s="44" t="str">
        <f t="shared" si="8"/>
        <v/>
      </c>
      <c r="M55" s="44" t="str">
        <f t="shared" si="9"/>
        <v/>
      </c>
    </row>
    <row r="56" spans="1:13" x14ac:dyDescent="0.25">
      <c r="A56" s="63">
        <v>18</v>
      </c>
      <c r="B56" s="90" t="s">
        <v>166</v>
      </c>
      <c r="C56" s="63" t="s">
        <v>47</v>
      </c>
      <c r="D56" s="35"/>
      <c r="E56" s="44" t="str">
        <f t="shared" si="6"/>
        <v/>
      </c>
      <c r="F56" s="44" t="str">
        <f t="shared" si="7"/>
        <v/>
      </c>
      <c r="H56" s="63">
        <v>18</v>
      </c>
      <c r="I56" s="90" t="s">
        <v>166</v>
      </c>
      <c r="J56" s="90" t="s">
        <v>214</v>
      </c>
      <c r="K56" s="35"/>
      <c r="L56" s="44" t="str">
        <f t="shared" si="8"/>
        <v/>
      </c>
      <c r="M56" s="44" t="str">
        <f t="shared" si="9"/>
        <v/>
      </c>
    </row>
    <row r="57" spans="1:13" x14ac:dyDescent="0.25">
      <c r="A57" s="63">
        <v>19</v>
      </c>
      <c r="B57" s="90" t="s">
        <v>166</v>
      </c>
      <c r="C57" s="63" t="s">
        <v>47</v>
      </c>
      <c r="D57" s="35"/>
      <c r="E57" s="44" t="str">
        <f t="shared" si="6"/>
        <v/>
      </c>
      <c r="F57" s="44" t="str">
        <f t="shared" si="7"/>
        <v/>
      </c>
      <c r="H57" s="63">
        <v>19</v>
      </c>
      <c r="I57" s="90" t="s">
        <v>166</v>
      </c>
      <c r="J57" s="90" t="s">
        <v>214</v>
      </c>
      <c r="K57" s="35"/>
      <c r="L57" s="44" t="str">
        <f>IF(K57&gt;0,VLOOKUP(K57,Jumpers,3),"")</f>
        <v/>
      </c>
      <c r="M57" s="44" t="str">
        <f>IF(K57&gt;0,VLOOKUP(K57,Jumpers,2),"")</f>
        <v/>
      </c>
    </row>
    <row r="58" spans="1:13" x14ac:dyDescent="0.25">
      <c r="A58" s="63">
        <v>20</v>
      </c>
      <c r="B58" s="90" t="s">
        <v>166</v>
      </c>
      <c r="C58" s="63" t="s">
        <v>47</v>
      </c>
      <c r="D58" s="35"/>
      <c r="E58" s="44" t="str">
        <f t="shared" si="6"/>
        <v/>
      </c>
      <c r="F58" s="44" t="str">
        <f t="shared" si="7"/>
        <v/>
      </c>
      <c r="H58" s="63">
        <v>20</v>
      </c>
      <c r="I58" s="90" t="s">
        <v>166</v>
      </c>
      <c r="J58" s="90" t="s">
        <v>214</v>
      </c>
      <c r="K58" s="35"/>
      <c r="L58" s="44" t="str">
        <f t="shared" si="8"/>
        <v/>
      </c>
      <c r="M58" s="44" t="str">
        <f t="shared" si="9"/>
        <v/>
      </c>
    </row>
    <row r="59" spans="1:13" x14ac:dyDescent="0.25">
      <c r="A59" s="38" t="s">
        <v>219</v>
      </c>
      <c r="B59" s="54"/>
      <c r="C59" s="54"/>
      <c r="D59" s="38"/>
      <c r="E59" s="38"/>
      <c r="F59" s="38"/>
      <c r="H59" s="38" t="s">
        <v>218</v>
      </c>
      <c r="I59" s="54"/>
      <c r="J59" s="54"/>
      <c r="K59" s="38"/>
      <c r="L59" s="38"/>
      <c r="M59" s="38"/>
    </row>
    <row r="60" spans="1:13" ht="23.25" x14ac:dyDescent="0.25">
      <c r="A60" s="39" t="s">
        <v>0</v>
      </c>
      <c r="B60" s="39" t="s">
        <v>55</v>
      </c>
      <c r="C60" s="39" t="s">
        <v>56</v>
      </c>
      <c r="D60" s="55" t="s">
        <v>8</v>
      </c>
      <c r="E60" s="39" t="s">
        <v>2</v>
      </c>
      <c r="F60" s="39" t="s">
        <v>1</v>
      </c>
      <c r="H60" s="39" t="s">
        <v>0</v>
      </c>
      <c r="I60" s="39" t="s">
        <v>55</v>
      </c>
      <c r="J60" s="39" t="s">
        <v>56</v>
      </c>
      <c r="K60" s="55" t="s">
        <v>8</v>
      </c>
      <c r="L60" s="39" t="s">
        <v>2</v>
      </c>
      <c r="M60" s="39" t="s">
        <v>1</v>
      </c>
    </row>
    <row r="61" spans="1:13" x14ac:dyDescent="0.25">
      <c r="A61" s="52">
        <v>1</v>
      </c>
      <c r="B61" s="90" t="s">
        <v>166</v>
      </c>
      <c r="C61" s="90" t="s">
        <v>215</v>
      </c>
      <c r="D61" s="35"/>
      <c r="E61" s="44" t="str">
        <f>IF(D61&gt;0,VLOOKUP(D61,Jumpers,3),"")</f>
        <v/>
      </c>
      <c r="F61" s="44" t="str">
        <f>IF(D61&gt;0,VLOOKUP(D61,Jumpers,2),"")</f>
        <v/>
      </c>
      <c r="H61" s="52">
        <v>1</v>
      </c>
      <c r="I61" s="90" t="s">
        <v>166</v>
      </c>
      <c r="J61" s="90" t="s">
        <v>216</v>
      </c>
      <c r="K61" s="35"/>
      <c r="L61" s="44" t="str">
        <f t="shared" ref="L61:L68" si="10">IF(K61&gt;0,VLOOKUP(K61,Jumpers,3),"")</f>
        <v/>
      </c>
      <c r="M61" s="44" t="str">
        <f t="shared" ref="M61:M68" si="11">IF(K61&gt;0,VLOOKUP(K61,Jumpers,2),"")</f>
        <v/>
      </c>
    </row>
    <row r="62" spans="1:13" x14ac:dyDescent="0.25">
      <c r="A62" s="52">
        <v>2</v>
      </c>
      <c r="B62" s="90" t="s">
        <v>166</v>
      </c>
      <c r="C62" s="90" t="s">
        <v>215</v>
      </c>
      <c r="D62" s="35"/>
      <c r="E62" s="44" t="str">
        <f t="shared" ref="E62:E68" si="12">IF(D62&gt;0,VLOOKUP(D62,Jumpers,3),"")</f>
        <v/>
      </c>
      <c r="F62" s="44" t="str">
        <f t="shared" ref="F62:F68" si="13">IF(D62&gt;0,VLOOKUP(D62,Jumpers,2),"")</f>
        <v/>
      </c>
      <c r="H62" s="52">
        <v>2</v>
      </c>
      <c r="I62" s="90" t="s">
        <v>166</v>
      </c>
      <c r="J62" s="90" t="s">
        <v>216</v>
      </c>
      <c r="K62" s="35"/>
      <c r="L62" s="44" t="str">
        <f t="shared" si="10"/>
        <v/>
      </c>
      <c r="M62" s="44" t="str">
        <f t="shared" si="11"/>
        <v/>
      </c>
    </row>
    <row r="63" spans="1:13" x14ac:dyDescent="0.25">
      <c r="A63" s="52">
        <v>3</v>
      </c>
      <c r="B63" s="90" t="s">
        <v>166</v>
      </c>
      <c r="C63" s="90" t="s">
        <v>215</v>
      </c>
      <c r="D63" s="35"/>
      <c r="E63" s="44" t="str">
        <f t="shared" si="12"/>
        <v/>
      </c>
      <c r="F63" s="44" t="str">
        <f t="shared" si="13"/>
        <v/>
      </c>
      <c r="H63" s="52">
        <v>3</v>
      </c>
      <c r="I63" s="90" t="s">
        <v>166</v>
      </c>
      <c r="J63" s="90" t="s">
        <v>216</v>
      </c>
      <c r="K63" s="35"/>
      <c r="L63" s="44" t="str">
        <f t="shared" si="10"/>
        <v/>
      </c>
      <c r="M63" s="44" t="str">
        <f t="shared" si="11"/>
        <v/>
      </c>
    </row>
    <row r="64" spans="1:13" x14ac:dyDescent="0.25">
      <c r="A64" s="52">
        <v>4</v>
      </c>
      <c r="B64" s="90" t="s">
        <v>166</v>
      </c>
      <c r="C64" s="90" t="s">
        <v>215</v>
      </c>
      <c r="D64" s="35"/>
      <c r="E64" s="44" t="str">
        <f t="shared" si="12"/>
        <v/>
      </c>
      <c r="F64" s="44" t="str">
        <f t="shared" si="13"/>
        <v/>
      </c>
      <c r="H64" s="52">
        <v>4</v>
      </c>
      <c r="I64" s="90" t="s">
        <v>166</v>
      </c>
      <c r="J64" s="90" t="s">
        <v>216</v>
      </c>
      <c r="K64" s="35"/>
      <c r="L64" s="44" t="str">
        <f t="shared" si="10"/>
        <v/>
      </c>
      <c r="M64" s="44" t="str">
        <f t="shared" si="11"/>
        <v/>
      </c>
    </row>
    <row r="65" spans="1:13" x14ac:dyDescent="0.25">
      <c r="A65" s="52">
        <v>5</v>
      </c>
      <c r="B65" s="90" t="s">
        <v>166</v>
      </c>
      <c r="C65" s="90" t="s">
        <v>215</v>
      </c>
      <c r="D65" s="35"/>
      <c r="E65" s="44" t="str">
        <f t="shared" si="12"/>
        <v/>
      </c>
      <c r="F65" s="44" t="str">
        <f t="shared" si="13"/>
        <v/>
      </c>
      <c r="H65" s="52">
        <v>5</v>
      </c>
      <c r="I65" s="90" t="s">
        <v>166</v>
      </c>
      <c r="J65" s="90" t="s">
        <v>216</v>
      </c>
      <c r="K65" s="35"/>
      <c r="L65" s="44" t="str">
        <f t="shared" si="10"/>
        <v/>
      </c>
      <c r="M65" s="44" t="str">
        <f t="shared" si="11"/>
        <v/>
      </c>
    </row>
    <row r="66" spans="1:13" x14ac:dyDescent="0.25">
      <c r="A66" s="52">
        <v>6</v>
      </c>
      <c r="B66" s="90" t="s">
        <v>166</v>
      </c>
      <c r="C66" s="90" t="s">
        <v>215</v>
      </c>
      <c r="D66" s="35"/>
      <c r="E66" s="44" t="str">
        <f t="shared" si="12"/>
        <v/>
      </c>
      <c r="F66" s="44" t="str">
        <f t="shared" si="13"/>
        <v/>
      </c>
      <c r="H66" s="52">
        <v>6</v>
      </c>
      <c r="I66" s="90" t="s">
        <v>166</v>
      </c>
      <c r="J66" s="90" t="s">
        <v>216</v>
      </c>
      <c r="K66" s="35"/>
      <c r="L66" s="44" t="str">
        <f t="shared" si="10"/>
        <v/>
      </c>
      <c r="M66" s="44" t="str">
        <f t="shared" si="11"/>
        <v/>
      </c>
    </row>
    <row r="67" spans="1:13" x14ac:dyDescent="0.25">
      <c r="A67" s="52">
        <v>7</v>
      </c>
      <c r="B67" s="90" t="s">
        <v>166</v>
      </c>
      <c r="C67" s="90" t="s">
        <v>215</v>
      </c>
      <c r="D67" s="35"/>
      <c r="E67" s="44" t="str">
        <f t="shared" si="12"/>
        <v/>
      </c>
      <c r="F67" s="44" t="str">
        <f t="shared" si="13"/>
        <v/>
      </c>
      <c r="H67" s="52">
        <v>7</v>
      </c>
      <c r="I67" s="90" t="s">
        <v>166</v>
      </c>
      <c r="J67" s="90" t="s">
        <v>216</v>
      </c>
      <c r="K67" s="35"/>
      <c r="L67" s="44" t="str">
        <f t="shared" si="10"/>
        <v/>
      </c>
      <c r="M67" s="44" t="str">
        <f t="shared" si="11"/>
        <v/>
      </c>
    </row>
    <row r="68" spans="1:13" x14ac:dyDescent="0.25">
      <c r="A68" s="52">
        <v>8</v>
      </c>
      <c r="B68" s="90" t="s">
        <v>166</v>
      </c>
      <c r="C68" s="90" t="s">
        <v>215</v>
      </c>
      <c r="D68" s="35"/>
      <c r="E68" s="44" t="str">
        <f t="shared" si="12"/>
        <v/>
      </c>
      <c r="F68" s="44" t="str">
        <f t="shared" si="13"/>
        <v/>
      </c>
      <c r="H68" s="52">
        <v>8</v>
      </c>
      <c r="I68" s="90" t="s">
        <v>166</v>
      </c>
      <c r="J68" s="90" t="s">
        <v>216</v>
      </c>
      <c r="K68" s="35"/>
      <c r="L68" s="44" t="str">
        <f t="shared" si="10"/>
        <v/>
      </c>
      <c r="M68" s="44" t="str">
        <f t="shared" si="11"/>
        <v/>
      </c>
    </row>
    <row r="69" spans="1:13" x14ac:dyDescent="0.25">
      <c r="A69" s="38" t="s">
        <v>12</v>
      </c>
      <c r="B69" s="54"/>
      <c r="C69" s="54"/>
      <c r="D69" s="38"/>
      <c r="E69" s="38"/>
      <c r="F69" s="38"/>
      <c r="H69" s="38" t="s">
        <v>58</v>
      </c>
      <c r="I69" s="54"/>
      <c r="J69" s="54"/>
      <c r="K69" s="38"/>
      <c r="L69" s="38"/>
      <c r="M69" s="38"/>
    </row>
    <row r="70" spans="1:13" ht="23.25" x14ac:dyDescent="0.25">
      <c r="A70" s="39" t="s">
        <v>0</v>
      </c>
      <c r="B70" s="39" t="s">
        <v>55</v>
      </c>
      <c r="C70" s="39" t="s">
        <v>56</v>
      </c>
      <c r="D70" s="55" t="s">
        <v>8</v>
      </c>
      <c r="E70" s="39" t="s">
        <v>2</v>
      </c>
      <c r="F70" s="39" t="s">
        <v>1</v>
      </c>
      <c r="H70" s="39" t="s">
        <v>0</v>
      </c>
      <c r="I70" s="39" t="s">
        <v>55</v>
      </c>
      <c r="J70" s="39" t="s">
        <v>56</v>
      </c>
      <c r="K70" s="55" t="s">
        <v>8</v>
      </c>
      <c r="L70" s="39" t="s">
        <v>2</v>
      </c>
      <c r="M70" s="39" t="s">
        <v>1</v>
      </c>
    </row>
    <row r="71" spans="1:13" x14ac:dyDescent="0.25">
      <c r="A71" s="52">
        <v>1</v>
      </c>
      <c r="B71" s="90" t="s">
        <v>166</v>
      </c>
      <c r="C71" s="63" t="s">
        <v>50</v>
      </c>
      <c r="D71" s="35"/>
      <c r="E71" s="44" t="str">
        <f>IF(D71&gt;0,VLOOKUP(D71,Jumpers,3),"")</f>
        <v/>
      </c>
      <c r="F71" s="44" t="str">
        <f>IF(D71&gt;0,VLOOKUP(D71,Jumpers,2),"")</f>
        <v/>
      </c>
      <c r="H71" s="52">
        <v>1</v>
      </c>
      <c r="I71" s="90" t="s">
        <v>166</v>
      </c>
      <c r="J71" s="63" t="s">
        <v>51</v>
      </c>
      <c r="K71" s="35"/>
      <c r="L71" s="44" t="str">
        <f>IF(K71&gt;0,VLOOKUP(K71,Jumpers,3),"")</f>
        <v/>
      </c>
      <c r="M71" s="44" t="str">
        <f>IF(K71&gt;0,VLOOKUP(K71,Jumpers,2),"")</f>
        <v/>
      </c>
    </row>
    <row r="72" spans="1:13" x14ac:dyDescent="0.25">
      <c r="A72" s="52">
        <v>2</v>
      </c>
      <c r="B72" s="90" t="s">
        <v>166</v>
      </c>
      <c r="C72" s="63" t="s">
        <v>50</v>
      </c>
      <c r="D72" s="35"/>
      <c r="E72" s="44" t="str">
        <f>IF(D72&gt;0,VLOOKUP(D72,Jumpers,3),"")</f>
        <v/>
      </c>
      <c r="F72" s="44" t="str">
        <f>IF(D72&gt;0,VLOOKUP(D72,Jumpers,2),"")</f>
        <v/>
      </c>
      <c r="H72" s="52">
        <v>2</v>
      </c>
      <c r="I72" s="90" t="s">
        <v>166</v>
      </c>
      <c r="J72" s="63" t="s">
        <v>51</v>
      </c>
      <c r="K72" s="35"/>
      <c r="L72" s="44" t="str">
        <f>IF(K72&gt;0,VLOOKUP(K72,Jumpers,3),"")</f>
        <v/>
      </c>
      <c r="M72" s="44" t="str">
        <f>IF(K72&gt;0,VLOOKUP(K72,Jumpers,2),"")</f>
        <v/>
      </c>
    </row>
    <row r="73" spans="1:13" x14ac:dyDescent="0.25">
      <c r="A73" s="52">
        <v>3</v>
      </c>
      <c r="B73" s="90" t="s">
        <v>166</v>
      </c>
      <c r="C73" s="63" t="s">
        <v>50</v>
      </c>
      <c r="D73" s="35"/>
      <c r="E73" s="44" t="str">
        <f>IF(D73&gt;0,VLOOKUP(D73,Jumpers,3),"")</f>
        <v/>
      </c>
      <c r="F73" s="44" t="str">
        <f>IF(D73&gt;0,VLOOKUP(D73,Jumpers,2),"")</f>
        <v/>
      </c>
      <c r="H73" s="52">
        <v>3</v>
      </c>
      <c r="I73" s="90" t="s">
        <v>166</v>
      </c>
      <c r="J73" s="63" t="s">
        <v>51</v>
      </c>
      <c r="K73" s="35"/>
      <c r="L73" s="44" t="str">
        <f>IF(K73&gt;0,VLOOKUP(K73,Jumpers,3),"")</f>
        <v/>
      </c>
      <c r="M73" s="44" t="str">
        <f>IF(K73&gt;0,VLOOKUP(K73,Jumpers,2),"")</f>
        <v/>
      </c>
    </row>
    <row r="74" spans="1:13" x14ac:dyDescent="0.25">
      <c r="A74" s="52">
        <v>4</v>
      </c>
      <c r="B74" s="90" t="s">
        <v>166</v>
      </c>
      <c r="C74" s="63" t="s">
        <v>50</v>
      </c>
      <c r="D74" s="35"/>
      <c r="E74" s="44" t="str">
        <f>IF(D74&gt;0,VLOOKUP(D74,Jumpers,3),"")</f>
        <v/>
      </c>
      <c r="F74" s="44" t="str">
        <f>IF(D74&gt;0,VLOOKUP(D74,Jumpers,2),"")</f>
        <v/>
      </c>
      <c r="H74" s="52">
        <v>4</v>
      </c>
      <c r="I74" s="90" t="s">
        <v>166</v>
      </c>
      <c r="J74" s="63" t="s">
        <v>51</v>
      </c>
      <c r="K74" s="35"/>
      <c r="L74" s="44" t="str">
        <f>IF(K74&gt;0,VLOOKUP(K74,Jumpers,3),"")</f>
        <v/>
      </c>
      <c r="M74" s="44" t="str">
        <f>IF(K74&gt;0,VLOOKUP(K74,Jumpers,2),"")</f>
        <v/>
      </c>
    </row>
    <row r="75" spans="1:13" x14ac:dyDescent="0.25">
      <c r="A75" s="52">
        <v>5</v>
      </c>
      <c r="B75" s="90" t="s">
        <v>166</v>
      </c>
      <c r="C75" s="63" t="s">
        <v>50</v>
      </c>
      <c r="D75" s="35"/>
      <c r="E75" s="44" t="str">
        <f>IF(D75&gt;0,VLOOKUP(D75,Jumpers,3),"")</f>
        <v/>
      </c>
      <c r="F75" s="44" t="str">
        <f>IF(D75&gt;0,VLOOKUP(D75,Jumpers,2),"")</f>
        <v/>
      </c>
      <c r="H75" s="52">
        <v>5</v>
      </c>
      <c r="I75" s="90" t="s">
        <v>166</v>
      </c>
      <c r="J75" s="63" t="s">
        <v>51</v>
      </c>
      <c r="K75" s="35"/>
      <c r="L75" s="44" t="str">
        <f>IF(K75&gt;0,VLOOKUP(K75,Jumpers,3),"")</f>
        <v/>
      </c>
      <c r="M75" s="44" t="str">
        <f>IF(K75&gt;0,VLOOKUP(K75,Jumpers,2),"")</f>
        <v/>
      </c>
    </row>
    <row r="77" spans="1:13" x14ac:dyDescent="0.25">
      <c r="A77" s="38" t="s">
        <v>13</v>
      </c>
      <c r="B77" s="54"/>
      <c r="C77" s="54"/>
      <c r="D77" s="38"/>
      <c r="E77" s="38"/>
      <c r="F77" s="38"/>
    </row>
    <row r="78" spans="1:13" ht="23.25" x14ac:dyDescent="0.25">
      <c r="A78" s="39" t="s">
        <v>0</v>
      </c>
      <c r="B78" s="39" t="s">
        <v>55</v>
      </c>
      <c r="C78" s="39" t="s">
        <v>56</v>
      </c>
      <c r="D78" s="55" t="s">
        <v>8</v>
      </c>
      <c r="E78" s="39" t="s">
        <v>2</v>
      </c>
      <c r="F78" s="39" t="s">
        <v>1</v>
      </c>
    </row>
    <row r="79" spans="1:13" x14ac:dyDescent="0.25">
      <c r="A79" s="52">
        <v>1</v>
      </c>
      <c r="B79" s="90" t="s">
        <v>166</v>
      </c>
      <c r="C79" s="63" t="s">
        <v>52</v>
      </c>
      <c r="D79" s="35"/>
      <c r="E79" s="44" t="str">
        <f>IF(D79&gt;0,VLOOKUP(D79,Jumpers,3),"")</f>
        <v/>
      </c>
      <c r="F79" s="44" t="str">
        <f>IF(D79&gt;0,VLOOKUP(D79,Jumpers,2),"")</f>
        <v/>
      </c>
    </row>
    <row r="80" spans="1:13" x14ac:dyDescent="0.25">
      <c r="A80" s="52">
        <v>2</v>
      </c>
      <c r="B80" s="90" t="s">
        <v>166</v>
      </c>
      <c r="C80" s="63" t="s">
        <v>52</v>
      </c>
      <c r="D80" s="35"/>
      <c r="E80" s="44" t="str">
        <f>IF(D80&gt;0,VLOOKUP(D80,Jumpers,3),"")</f>
        <v/>
      </c>
      <c r="F80" s="44" t="str">
        <f>IF(D80&gt;0,VLOOKUP(D80,Jumpers,2),"")</f>
        <v/>
      </c>
    </row>
    <row r="81" spans="1:6" x14ac:dyDescent="0.25">
      <c r="A81" s="52">
        <v>3</v>
      </c>
      <c r="B81" s="90" t="s">
        <v>166</v>
      </c>
      <c r="C81" s="63" t="s">
        <v>52</v>
      </c>
      <c r="D81" s="35"/>
      <c r="E81" s="44" t="str">
        <f>IF(D81&gt;0,VLOOKUP(D81,Jumpers,3),"")</f>
        <v/>
      </c>
      <c r="F81" s="44" t="str">
        <f>IF(D81&gt;0,VLOOKUP(D81,Jumpers,2),"")</f>
        <v/>
      </c>
    </row>
    <row r="82" spans="1:6" x14ac:dyDescent="0.25">
      <c r="A82" s="52">
        <v>4</v>
      </c>
      <c r="B82" s="90" t="s">
        <v>166</v>
      </c>
      <c r="C82" s="63" t="s">
        <v>52</v>
      </c>
      <c r="D82" s="35"/>
      <c r="E82" s="44" t="str">
        <f>IF(D82&gt;0,VLOOKUP(D82,Jumpers,3),"")</f>
        <v/>
      </c>
      <c r="F82" s="44" t="str">
        <f>IF(D82&gt;0,VLOOKUP(D82,Jumpers,2),"")</f>
        <v/>
      </c>
    </row>
    <row r="83" spans="1:6" x14ac:dyDescent="0.25">
      <c r="A83" s="52">
        <v>5</v>
      </c>
      <c r="B83" s="90" t="s">
        <v>166</v>
      </c>
      <c r="C83" s="63" t="s">
        <v>52</v>
      </c>
      <c r="D83" s="35"/>
      <c r="E83" s="44" t="str">
        <f>IF(D83&gt;0,VLOOKUP(D83,Jumpers,3),"")</f>
        <v/>
      </c>
      <c r="F83" s="44" t="str">
        <f>IF(D83&gt;0,VLOOKUP(D83,Jumpers,2),"")</f>
        <v/>
      </c>
    </row>
  </sheetData>
  <sheetProtection password="CE88" sheet="1" objects="1" scenarios="1" selectLockedCells="1"/>
  <mergeCells count="1">
    <mergeCell ref="I4:N7"/>
  </mergeCells>
  <phoneticPr fontId="26" type="noConversion"/>
  <conditionalFormatting sqref="K17:K36">
    <cfRule type="expression" dxfId="565" priority="10" stopIfTrue="1">
      <formula>OR(CODE(K17)&lt;48,CODE(K17)&gt;57)</formula>
    </cfRule>
    <cfRule type="expression" dxfId="564" priority="31" stopIfTrue="1">
      <formula>VLOOKUP(K17,Jumpers,5)&lt;&gt;LEFT($A$1,1)</formula>
    </cfRule>
    <cfRule type="expression" dxfId="563" priority="32" stopIfTrue="1">
      <formula>OR(VLOOKUP(K17,Jumpers,7)&lt;11,VLOOKUP(K17,Jumpers,7)&gt;12)</formula>
    </cfRule>
  </conditionalFormatting>
  <conditionalFormatting sqref="D39:D58">
    <cfRule type="expression" dxfId="562" priority="9" stopIfTrue="1">
      <formula>OR(CODE(D39)&lt;48,CODE(D39)&gt;57)</formula>
    </cfRule>
    <cfRule type="expression" dxfId="561" priority="29" stopIfTrue="1">
      <formula>VLOOKUP(D39,Jumpers,5)&lt;&gt;LEFT($A$1,1)</formula>
    </cfRule>
    <cfRule type="expression" dxfId="560" priority="30" stopIfTrue="1">
      <formula>OR(VLOOKUP(D39,Jumpers,7)&lt;13,VLOOKUP(D39,Jumpers,7)&gt;14)</formula>
    </cfRule>
  </conditionalFormatting>
  <conditionalFormatting sqref="K39:K58">
    <cfRule type="expression" dxfId="559" priority="8" stopIfTrue="1">
      <formula>OR(CODE(K39)&lt;48,CODE(K39)&gt;57)</formula>
    </cfRule>
    <cfRule type="expression" dxfId="558" priority="27" stopIfTrue="1">
      <formula>VLOOKUP(K39,Jumpers,5)&lt;&gt;LEFT($A$1,1)</formula>
    </cfRule>
    <cfRule type="expression" dxfId="557" priority="28" stopIfTrue="1">
      <formula>OR(VLOOKUP(K39,Jumpers,7)&lt;15,VLOOKUP(K39,Jumpers,7)&gt;17)</formula>
    </cfRule>
  </conditionalFormatting>
  <conditionalFormatting sqref="D61:D68">
    <cfRule type="expression" dxfId="556" priority="7" stopIfTrue="1">
      <formula>OR(CODE(D61)&lt;48,CODE(D61)&gt;57)</formula>
    </cfRule>
    <cfRule type="expression" dxfId="555" priority="25" stopIfTrue="1">
      <formula>VLOOKUP(D61,Jumpers,5)&lt;&gt;LEFT($A$1,1)</formula>
    </cfRule>
    <cfRule type="expression" dxfId="554" priority="26" stopIfTrue="1">
      <formula>VLOOKUP(D61,Jumpers,8)&lt;&gt;C61</formula>
    </cfRule>
  </conditionalFormatting>
  <conditionalFormatting sqref="K61:K68">
    <cfRule type="expression" dxfId="553" priority="23" stopIfTrue="1">
      <formula>VLOOKUP(K61,Jumpers,5)&lt;&gt;LEFT($A$1,1)</formula>
    </cfRule>
    <cfRule type="expression" dxfId="552" priority="24" stopIfTrue="1">
      <formula>VLOOKUP(K61,Jumpers,8)&lt;&gt;J61</formula>
    </cfRule>
  </conditionalFormatting>
  <conditionalFormatting sqref="D71:D75">
    <cfRule type="expression" dxfId="551" priority="6" stopIfTrue="1">
      <formula>OR(CODE(D71)&lt;48,CODE(D71)&gt;57)</formula>
    </cfRule>
    <cfRule type="expression" dxfId="550" priority="21" stopIfTrue="1">
      <formula>VLOOKUP(D71,Jumpers,5)&lt;&gt;LEFT($A$1,1)</formula>
    </cfRule>
    <cfRule type="expression" dxfId="549" priority="22" stopIfTrue="1">
      <formula>VLOOKUP(D71,Jumpers,8)&lt;&gt;C71</formula>
    </cfRule>
  </conditionalFormatting>
  <conditionalFormatting sqref="K71:K75">
    <cfRule type="expression" dxfId="548" priority="4">
      <formula>OR(CODE(K71)&lt;48,CODE(K71)&gt;57)</formula>
    </cfRule>
    <cfRule type="expression" dxfId="547" priority="19" stopIfTrue="1">
      <formula>VLOOKUP(K71,Jumpers,5)&lt;&gt;LEFT($A$1,1)</formula>
    </cfRule>
    <cfRule type="expression" dxfId="546" priority="20" stopIfTrue="1">
      <formula>VLOOKUP(K71,Jumpers,8)&lt;&gt;J71</formula>
    </cfRule>
  </conditionalFormatting>
  <conditionalFormatting sqref="D5:D14">
    <cfRule type="expression" dxfId="545" priority="11" stopIfTrue="1">
      <formula>OR(CODE(D5)&lt;48,CODE(D5)&gt;57)</formula>
    </cfRule>
    <cfRule type="expression" dxfId="544" priority="33" stopIfTrue="1">
      <formula>VLOOKUP(D5,Jumpers,5)&lt;&gt;LEFT($A$1,1)</formula>
    </cfRule>
    <cfRule type="expression" dxfId="543" priority="34" stopIfTrue="1">
      <formula>VLOOKUP(D5,Jumpers,8)&lt;&gt;"8-Under"</formula>
    </cfRule>
  </conditionalFormatting>
  <conditionalFormatting sqref="D17:D36">
    <cfRule type="expression" dxfId="542" priority="12" stopIfTrue="1">
      <formula>OR(CODE(D17)&lt;48,CODE(D17)&gt;57)</formula>
    </cfRule>
    <cfRule type="expression" dxfId="541" priority="13" stopIfTrue="1">
      <formula>VLOOKUP(D17,Jumpers,5)&lt;&gt;LEFT($A$1,1)</formula>
    </cfRule>
    <cfRule type="expression" dxfId="540" priority="14" stopIfTrue="1">
      <formula>VLOOKUP(D17,Jumpers,7)&gt;10</formula>
    </cfRule>
  </conditionalFormatting>
  <conditionalFormatting sqref="D79:D83">
    <cfRule type="expression" dxfId="539" priority="1">
      <formula>OR(CODE(D79)&lt;48,CODE(D79)&gt;57)</formula>
    </cfRule>
    <cfRule type="expression" dxfId="538" priority="2" stopIfTrue="1">
      <formula>VLOOKUP(D79,Jumpers,5)&lt;&gt;LEFT($A$1,1)</formula>
    </cfRule>
    <cfRule type="expression" dxfId="537" priority="3" stopIfTrue="1">
      <formula>VLOOKUP(D79,Jumpers,8)&lt;&gt;C79</formula>
    </cfRule>
  </conditionalFormatting>
  <pageMargins left="0.25" right="0.25" top="0.75" bottom="0.75" header="0.3" footer="0.3"/>
  <pageSetup scale="87" fitToHeight="2" orientation="portrait" r:id="rId1"/>
  <headerFooter>
    <oddHeader>&amp;LUSAJR Regional Tournament&amp;R&amp;A</oddHeader>
    <oddFooter>&amp;RPage &amp;P of &amp;N</oddFooter>
  </headerFooter>
  <extLst>
    <ext xmlns:mx="http://schemas.microsoft.com/office/mac/excel/2008/main" uri="{64002731-A6B0-56B0-2670-7721B7C09600}">
      <mx:PLV Mode="0" OnePage="0" WScale="83"/>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85"/>
  <sheetViews>
    <sheetView workbookViewId="0">
      <selection activeCell="D5" sqref="D5"/>
    </sheetView>
  </sheetViews>
  <sheetFormatPr defaultColWidth="8.85546875" defaultRowHeight="15" x14ac:dyDescent="0.25"/>
  <cols>
    <col min="1" max="1" width="2.7109375" style="37" customWidth="1"/>
    <col min="2" max="2" width="4.7109375" style="60" bestFit="1" customWidth="1"/>
    <col min="3" max="3" width="7.140625" style="60" bestFit="1" customWidth="1"/>
    <col min="4" max="4" width="8.28515625" style="37" bestFit="1" customWidth="1"/>
    <col min="5" max="6" width="15.7109375" style="37" customWidth="1"/>
    <col min="7" max="7" width="1.7109375" style="37" customWidth="1"/>
    <col min="8" max="8" width="3" style="37" bestFit="1" customWidth="1"/>
    <col min="9" max="9" width="4.7109375" style="60" bestFit="1" customWidth="1"/>
    <col min="10" max="10" width="6.28515625" style="60" bestFit="1" customWidth="1"/>
    <col min="11" max="11" width="8.28515625" style="37" bestFit="1" customWidth="1"/>
    <col min="12" max="13" width="15.7109375" style="37" customWidth="1"/>
    <col min="14" max="14" width="1.7109375" style="37" customWidth="1"/>
    <col min="15" max="15" width="2.7109375" style="37" customWidth="1"/>
    <col min="16" max="16" width="4.7109375" style="37" bestFit="1" customWidth="1"/>
    <col min="17" max="17" width="4.85546875" style="37" bestFit="1" customWidth="1"/>
    <col min="18" max="18" width="8.85546875" style="37"/>
    <col min="19" max="20" width="12.7109375" style="37" customWidth="1"/>
    <col min="21" max="21" width="1.7109375" style="37" customWidth="1"/>
    <col min="22" max="22" width="2.7109375" style="37" customWidth="1"/>
    <col min="23" max="23" width="4.7109375" style="37" bestFit="1" customWidth="1"/>
    <col min="24" max="24" width="4.85546875" style="37" bestFit="1" customWidth="1"/>
    <col min="25" max="25" width="8.85546875" style="37"/>
    <col min="26" max="27" width="12.7109375" style="37" customWidth="1"/>
    <col min="28" max="16384" width="8.85546875" style="37"/>
  </cols>
  <sheetData>
    <row r="1" spans="1:14" ht="18.75" x14ac:dyDescent="0.25">
      <c r="A1" s="58" t="s">
        <v>14</v>
      </c>
      <c r="B1" s="59"/>
      <c r="C1" s="59"/>
      <c r="M1" s="43" t="str">
        <f>CONCATENATE("Team: ",'Team Info'!$B$3)</f>
        <v xml:space="preserve">Team: </v>
      </c>
    </row>
    <row r="2" spans="1:14" x14ac:dyDescent="0.25">
      <c r="A2" s="77" t="s">
        <v>133</v>
      </c>
      <c r="B2" s="61"/>
      <c r="C2" s="61"/>
    </row>
    <row r="3" spans="1:14" ht="15" customHeight="1" x14ac:dyDescent="0.25">
      <c r="A3" s="104" t="s">
        <v>170</v>
      </c>
      <c r="B3" s="54"/>
      <c r="C3" s="54"/>
      <c r="D3" s="38"/>
      <c r="E3" s="38"/>
      <c r="F3" s="38"/>
    </row>
    <row r="4" spans="1:14" ht="23.25" customHeight="1" x14ac:dyDescent="0.25">
      <c r="A4" s="39" t="s">
        <v>0</v>
      </c>
      <c r="B4" s="39" t="s">
        <v>55</v>
      </c>
      <c r="C4" s="39" t="s">
        <v>56</v>
      </c>
      <c r="D4" s="55" t="s">
        <v>8</v>
      </c>
      <c r="E4" s="39" t="s">
        <v>2</v>
      </c>
      <c r="F4" s="39" t="s">
        <v>1</v>
      </c>
      <c r="I4" s="169" t="s">
        <v>178</v>
      </c>
      <c r="J4" s="169"/>
      <c r="K4" s="169"/>
      <c r="L4" s="169"/>
      <c r="M4" s="169"/>
      <c r="N4" s="169"/>
    </row>
    <row r="5" spans="1:14" x14ac:dyDescent="0.25">
      <c r="A5" s="63">
        <v>1</v>
      </c>
      <c r="B5" s="90" t="s">
        <v>57</v>
      </c>
      <c r="C5" s="90" t="s">
        <v>177</v>
      </c>
      <c r="D5" s="108"/>
      <c r="E5" s="44" t="str">
        <f t="shared" ref="E5:E14" si="0">IF(D5&gt;0,VLOOKUP(D5,Jumpers,3),"")</f>
        <v/>
      </c>
      <c r="F5" s="44" t="str">
        <f t="shared" ref="F5:F14" si="1">IF(D5&gt;0,VLOOKUP(D5,Jumpers,2),"")</f>
        <v/>
      </c>
      <c r="I5" s="169"/>
      <c r="J5" s="169"/>
      <c r="K5" s="169"/>
      <c r="L5" s="169"/>
      <c r="M5" s="169"/>
      <c r="N5" s="169"/>
    </row>
    <row r="6" spans="1:14" x14ac:dyDescent="0.25">
      <c r="A6" s="63">
        <v>2</v>
      </c>
      <c r="B6" s="90" t="s">
        <v>57</v>
      </c>
      <c r="C6" s="90" t="s">
        <v>177</v>
      </c>
      <c r="D6" s="35"/>
      <c r="E6" s="44" t="str">
        <f t="shared" si="0"/>
        <v/>
      </c>
      <c r="F6" s="44" t="str">
        <f t="shared" si="1"/>
        <v/>
      </c>
      <c r="I6" s="169"/>
      <c r="J6" s="169"/>
      <c r="K6" s="169"/>
      <c r="L6" s="169"/>
      <c r="M6" s="169"/>
      <c r="N6" s="169"/>
    </row>
    <row r="7" spans="1:14" x14ac:dyDescent="0.25">
      <c r="A7" s="63">
        <v>3</v>
      </c>
      <c r="B7" s="90" t="s">
        <v>57</v>
      </c>
      <c r="C7" s="90" t="s">
        <v>177</v>
      </c>
      <c r="D7" s="35"/>
      <c r="E7" s="44" t="str">
        <f t="shared" si="0"/>
        <v/>
      </c>
      <c r="F7" s="44" t="str">
        <f t="shared" si="1"/>
        <v/>
      </c>
      <c r="I7" s="169"/>
      <c r="J7" s="169"/>
      <c r="K7" s="169"/>
      <c r="L7" s="169"/>
      <c r="M7" s="169"/>
      <c r="N7" s="169"/>
    </row>
    <row r="8" spans="1:14" x14ac:dyDescent="0.25">
      <c r="A8" s="63">
        <v>4</v>
      </c>
      <c r="B8" s="90" t="s">
        <v>57</v>
      </c>
      <c r="C8" s="90" t="s">
        <v>177</v>
      </c>
      <c r="D8" s="35"/>
      <c r="E8" s="44" t="str">
        <f t="shared" si="0"/>
        <v/>
      </c>
      <c r="F8" s="44" t="str">
        <f t="shared" si="1"/>
        <v/>
      </c>
    </row>
    <row r="9" spans="1:14" x14ac:dyDescent="0.25">
      <c r="A9" s="63">
        <v>5</v>
      </c>
      <c r="B9" s="90" t="s">
        <v>57</v>
      </c>
      <c r="C9" s="90" t="s">
        <v>177</v>
      </c>
      <c r="D9" s="35"/>
      <c r="E9" s="44" t="str">
        <f t="shared" si="0"/>
        <v/>
      </c>
      <c r="F9" s="44" t="str">
        <f t="shared" si="1"/>
        <v/>
      </c>
    </row>
    <row r="10" spans="1:14" x14ac:dyDescent="0.25">
      <c r="A10" s="63">
        <v>6</v>
      </c>
      <c r="B10" s="90" t="s">
        <v>57</v>
      </c>
      <c r="C10" s="90" t="s">
        <v>177</v>
      </c>
      <c r="D10" s="35"/>
      <c r="E10" s="44" t="str">
        <f t="shared" si="0"/>
        <v/>
      </c>
      <c r="F10" s="44" t="str">
        <f t="shared" si="1"/>
        <v/>
      </c>
    </row>
    <row r="11" spans="1:14" x14ac:dyDescent="0.25">
      <c r="A11" s="63">
        <v>7</v>
      </c>
      <c r="B11" s="90" t="s">
        <v>57</v>
      </c>
      <c r="C11" s="90" t="s">
        <v>177</v>
      </c>
      <c r="D11" s="35"/>
      <c r="E11" s="44" t="str">
        <f t="shared" si="0"/>
        <v/>
      </c>
      <c r="F11" s="44" t="str">
        <f t="shared" si="1"/>
        <v/>
      </c>
    </row>
    <row r="12" spans="1:14" x14ac:dyDescent="0.25">
      <c r="A12" s="63">
        <v>8</v>
      </c>
      <c r="B12" s="90" t="s">
        <v>57</v>
      </c>
      <c r="C12" s="90" t="s">
        <v>177</v>
      </c>
      <c r="D12" s="35"/>
      <c r="E12" s="44" t="str">
        <f t="shared" si="0"/>
        <v/>
      </c>
      <c r="F12" s="44" t="str">
        <f t="shared" si="1"/>
        <v/>
      </c>
    </row>
    <row r="13" spans="1:14" x14ac:dyDescent="0.25">
      <c r="A13" s="63">
        <v>9</v>
      </c>
      <c r="B13" s="90" t="s">
        <v>57</v>
      </c>
      <c r="C13" s="90" t="s">
        <v>177</v>
      </c>
      <c r="D13" s="35"/>
      <c r="E13" s="44" t="str">
        <f t="shared" si="0"/>
        <v/>
      </c>
      <c r="F13" s="44" t="str">
        <f t="shared" si="1"/>
        <v/>
      </c>
    </row>
    <row r="14" spans="1:14" x14ac:dyDescent="0.25">
      <c r="A14" s="63">
        <v>10</v>
      </c>
      <c r="B14" s="90" t="s">
        <v>57</v>
      </c>
      <c r="C14" s="90" t="s">
        <v>177</v>
      </c>
      <c r="D14" s="35"/>
      <c r="E14" s="44" t="str">
        <f t="shared" si="0"/>
        <v/>
      </c>
      <c r="F14" s="44" t="str">
        <f t="shared" si="1"/>
        <v/>
      </c>
    </row>
    <row r="15" spans="1:14" x14ac:dyDescent="0.25">
      <c r="A15" s="38" t="s">
        <v>9</v>
      </c>
      <c r="B15" s="54"/>
      <c r="C15" s="54"/>
      <c r="D15" s="38"/>
      <c r="E15" s="38"/>
      <c r="F15" s="38"/>
      <c r="H15" s="38" t="s">
        <v>10</v>
      </c>
      <c r="I15" s="54"/>
      <c r="J15" s="54"/>
      <c r="K15" s="38"/>
      <c r="L15" s="38"/>
      <c r="M15" s="38"/>
    </row>
    <row r="16" spans="1:14" ht="23.25" x14ac:dyDescent="0.25">
      <c r="A16" s="39" t="s">
        <v>0</v>
      </c>
      <c r="B16" s="39" t="s">
        <v>55</v>
      </c>
      <c r="C16" s="39" t="s">
        <v>56</v>
      </c>
      <c r="D16" s="55" t="s">
        <v>8</v>
      </c>
      <c r="E16" s="39" t="s">
        <v>2</v>
      </c>
      <c r="F16" s="39" t="s">
        <v>1</v>
      </c>
      <c r="H16" s="39" t="s">
        <v>0</v>
      </c>
      <c r="I16" s="39" t="s">
        <v>55</v>
      </c>
      <c r="J16" s="39" t="s">
        <v>56</v>
      </c>
      <c r="K16" s="55" t="s">
        <v>8</v>
      </c>
      <c r="L16" s="39" t="s">
        <v>2</v>
      </c>
      <c r="M16" s="39" t="s">
        <v>1</v>
      </c>
    </row>
    <row r="17" spans="1:13" x14ac:dyDescent="0.25">
      <c r="A17" s="63">
        <v>1</v>
      </c>
      <c r="B17" s="90" t="s">
        <v>57</v>
      </c>
      <c r="C17" s="63" t="s">
        <v>44</v>
      </c>
      <c r="D17" s="108"/>
      <c r="E17" s="44" t="str">
        <f t="shared" ref="E17:E24" si="2">IF(D17&gt;0,VLOOKUP(D17,Jumpers,3),"")</f>
        <v/>
      </c>
      <c r="F17" s="44" t="str">
        <f t="shared" ref="F17:F24" si="3">IF(D17&gt;0,VLOOKUP(D17,Jumpers,2),"")</f>
        <v/>
      </c>
      <c r="H17" s="63">
        <v>1</v>
      </c>
      <c r="I17" s="90" t="s">
        <v>57</v>
      </c>
      <c r="J17" s="63" t="s">
        <v>45</v>
      </c>
      <c r="K17" s="35"/>
      <c r="L17" s="44" t="str">
        <f t="shared" ref="L17:L24" si="4">IF(K17&gt;0,VLOOKUP(K17,Jumpers,3),"")</f>
        <v/>
      </c>
      <c r="M17" s="44" t="str">
        <f t="shared" ref="M17:M24" si="5">IF(K17&gt;0,VLOOKUP(K17,Jumpers,2),"")</f>
        <v/>
      </c>
    </row>
    <row r="18" spans="1:13" x14ac:dyDescent="0.25">
      <c r="A18" s="63">
        <v>2</v>
      </c>
      <c r="B18" s="90" t="s">
        <v>57</v>
      </c>
      <c r="C18" s="63" t="s">
        <v>44</v>
      </c>
      <c r="D18" s="35"/>
      <c r="E18" s="44" t="str">
        <f t="shared" si="2"/>
        <v/>
      </c>
      <c r="F18" s="44" t="str">
        <f t="shared" si="3"/>
        <v/>
      </c>
      <c r="H18" s="63">
        <v>2</v>
      </c>
      <c r="I18" s="90" t="s">
        <v>57</v>
      </c>
      <c r="J18" s="63" t="s">
        <v>45</v>
      </c>
      <c r="K18" s="35"/>
      <c r="L18" s="44" t="str">
        <f t="shared" si="4"/>
        <v/>
      </c>
      <c r="M18" s="44" t="str">
        <f t="shared" si="5"/>
        <v/>
      </c>
    </row>
    <row r="19" spans="1:13" x14ac:dyDescent="0.25">
      <c r="A19" s="63">
        <v>3</v>
      </c>
      <c r="B19" s="90" t="s">
        <v>57</v>
      </c>
      <c r="C19" s="63" t="s">
        <v>44</v>
      </c>
      <c r="D19" s="35"/>
      <c r="E19" s="44" t="str">
        <f t="shared" si="2"/>
        <v/>
      </c>
      <c r="F19" s="44" t="str">
        <f t="shared" si="3"/>
        <v/>
      </c>
      <c r="H19" s="63">
        <v>3</v>
      </c>
      <c r="I19" s="90" t="s">
        <v>57</v>
      </c>
      <c r="J19" s="63" t="s">
        <v>45</v>
      </c>
      <c r="K19" s="35"/>
      <c r="L19" s="44" t="str">
        <f t="shared" si="4"/>
        <v/>
      </c>
      <c r="M19" s="44" t="str">
        <f t="shared" si="5"/>
        <v/>
      </c>
    </row>
    <row r="20" spans="1:13" x14ac:dyDescent="0.25">
      <c r="A20" s="63">
        <v>4</v>
      </c>
      <c r="B20" s="90" t="s">
        <v>57</v>
      </c>
      <c r="C20" s="63" t="s">
        <v>44</v>
      </c>
      <c r="D20" s="35"/>
      <c r="E20" s="44" t="str">
        <f t="shared" si="2"/>
        <v/>
      </c>
      <c r="F20" s="44" t="str">
        <f t="shared" si="3"/>
        <v/>
      </c>
      <c r="H20" s="63">
        <v>4</v>
      </c>
      <c r="I20" s="90" t="s">
        <v>57</v>
      </c>
      <c r="J20" s="63" t="s">
        <v>45</v>
      </c>
      <c r="K20" s="35"/>
      <c r="L20" s="44" t="str">
        <f t="shared" si="4"/>
        <v/>
      </c>
      <c r="M20" s="44" t="str">
        <f t="shared" si="5"/>
        <v/>
      </c>
    </row>
    <row r="21" spans="1:13" x14ac:dyDescent="0.25">
      <c r="A21" s="63">
        <v>5</v>
      </c>
      <c r="B21" s="90" t="s">
        <v>57</v>
      </c>
      <c r="C21" s="63" t="s">
        <v>44</v>
      </c>
      <c r="D21" s="35"/>
      <c r="E21" s="44" t="str">
        <f t="shared" si="2"/>
        <v/>
      </c>
      <c r="F21" s="44" t="str">
        <f t="shared" si="3"/>
        <v/>
      </c>
      <c r="H21" s="63">
        <v>5</v>
      </c>
      <c r="I21" s="90" t="s">
        <v>57</v>
      </c>
      <c r="J21" s="63" t="s">
        <v>45</v>
      </c>
      <c r="K21" s="35"/>
      <c r="L21" s="44" t="str">
        <f t="shared" si="4"/>
        <v/>
      </c>
      <c r="M21" s="44" t="str">
        <f t="shared" si="5"/>
        <v/>
      </c>
    </row>
    <row r="22" spans="1:13" x14ac:dyDescent="0.25">
      <c r="A22" s="63">
        <v>6</v>
      </c>
      <c r="B22" s="90" t="s">
        <v>57</v>
      </c>
      <c r="C22" s="63" t="s">
        <v>44</v>
      </c>
      <c r="D22" s="35"/>
      <c r="E22" s="44" t="str">
        <f t="shared" si="2"/>
        <v/>
      </c>
      <c r="F22" s="44" t="str">
        <f t="shared" si="3"/>
        <v/>
      </c>
      <c r="H22" s="63">
        <v>6</v>
      </c>
      <c r="I22" s="90" t="s">
        <v>57</v>
      </c>
      <c r="J22" s="63" t="s">
        <v>45</v>
      </c>
      <c r="K22" s="35"/>
      <c r="L22" s="44" t="str">
        <f t="shared" si="4"/>
        <v/>
      </c>
      <c r="M22" s="44" t="str">
        <f t="shared" si="5"/>
        <v/>
      </c>
    </row>
    <row r="23" spans="1:13" x14ac:dyDescent="0.25">
      <c r="A23" s="63">
        <v>7</v>
      </c>
      <c r="B23" s="90" t="s">
        <v>57</v>
      </c>
      <c r="C23" s="63" t="s">
        <v>44</v>
      </c>
      <c r="D23" s="35"/>
      <c r="E23" s="44" t="str">
        <f t="shared" si="2"/>
        <v/>
      </c>
      <c r="F23" s="44" t="str">
        <f t="shared" si="3"/>
        <v/>
      </c>
      <c r="H23" s="63">
        <v>7</v>
      </c>
      <c r="I23" s="90" t="s">
        <v>57</v>
      </c>
      <c r="J23" s="63" t="s">
        <v>45</v>
      </c>
      <c r="K23" s="35"/>
      <c r="L23" s="44" t="str">
        <f t="shared" si="4"/>
        <v/>
      </c>
      <c r="M23" s="44" t="str">
        <f t="shared" si="5"/>
        <v/>
      </c>
    </row>
    <row r="24" spans="1:13" x14ac:dyDescent="0.25">
      <c r="A24" s="63">
        <v>8</v>
      </c>
      <c r="B24" s="90" t="s">
        <v>57</v>
      </c>
      <c r="C24" s="63" t="s">
        <v>44</v>
      </c>
      <c r="D24" s="35"/>
      <c r="E24" s="44" t="str">
        <f t="shared" si="2"/>
        <v/>
      </c>
      <c r="F24" s="44" t="str">
        <f t="shared" si="3"/>
        <v/>
      </c>
      <c r="H24" s="63">
        <v>8</v>
      </c>
      <c r="I24" s="90" t="s">
        <v>57</v>
      </c>
      <c r="J24" s="63" t="s">
        <v>45</v>
      </c>
      <c r="K24" s="35"/>
      <c r="L24" s="44" t="str">
        <f t="shared" si="4"/>
        <v/>
      </c>
      <c r="M24" s="44" t="str">
        <f t="shared" si="5"/>
        <v/>
      </c>
    </row>
    <row r="25" spans="1:13" x14ac:dyDescent="0.25">
      <c r="A25" s="63">
        <v>9</v>
      </c>
      <c r="B25" s="90" t="s">
        <v>57</v>
      </c>
      <c r="C25" s="63" t="s">
        <v>44</v>
      </c>
      <c r="D25" s="35"/>
      <c r="E25" s="44" t="str">
        <f t="shared" ref="E25:E32" si="6">IF(D25&gt;0,VLOOKUP(D25,Jumpers,3),"")</f>
        <v/>
      </c>
      <c r="F25" s="44" t="str">
        <f t="shared" ref="F25:F32" si="7">IF(D25&gt;0,VLOOKUP(D25,Jumpers,2),"")</f>
        <v/>
      </c>
      <c r="H25" s="63">
        <v>9</v>
      </c>
      <c r="I25" s="90" t="s">
        <v>57</v>
      </c>
      <c r="J25" s="63" t="s">
        <v>45</v>
      </c>
      <c r="K25" s="35"/>
      <c r="L25" s="44" t="str">
        <f t="shared" ref="L25:L32" si="8">IF(K25&gt;0,VLOOKUP(K25,Jumpers,3),"")</f>
        <v/>
      </c>
      <c r="M25" s="44" t="str">
        <f t="shared" ref="M25:M32" si="9">IF(K25&gt;0,VLOOKUP(K25,Jumpers,2),"")</f>
        <v/>
      </c>
    </row>
    <row r="26" spans="1:13" x14ac:dyDescent="0.25">
      <c r="A26" s="63">
        <v>10</v>
      </c>
      <c r="B26" s="90" t="s">
        <v>57</v>
      </c>
      <c r="C26" s="63" t="s">
        <v>44</v>
      </c>
      <c r="D26" s="35"/>
      <c r="E26" s="44" t="str">
        <f t="shared" si="6"/>
        <v/>
      </c>
      <c r="F26" s="44" t="str">
        <f t="shared" si="7"/>
        <v/>
      </c>
      <c r="H26" s="63">
        <v>10</v>
      </c>
      <c r="I26" s="90" t="s">
        <v>57</v>
      </c>
      <c r="J26" s="63" t="s">
        <v>45</v>
      </c>
      <c r="K26" s="35"/>
      <c r="L26" s="44" t="str">
        <f t="shared" si="8"/>
        <v/>
      </c>
      <c r="M26" s="44" t="str">
        <f t="shared" si="9"/>
        <v/>
      </c>
    </row>
    <row r="27" spans="1:13" x14ac:dyDescent="0.25">
      <c r="A27" s="63">
        <v>11</v>
      </c>
      <c r="B27" s="90" t="s">
        <v>57</v>
      </c>
      <c r="C27" s="63" t="s">
        <v>44</v>
      </c>
      <c r="D27" s="35"/>
      <c r="E27" s="44" t="str">
        <f t="shared" si="6"/>
        <v/>
      </c>
      <c r="F27" s="44" t="str">
        <f t="shared" si="7"/>
        <v/>
      </c>
      <c r="H27" s="63">
        <v>11</v>
      </c>
      <c r="I27" s="90" t="s">
        <v>57</v>
      </c>
      <c r="J27" s="63" t="s">
        <v>45</v>
      </c>
      <c r="K27" s="35"/>
      <c r="L27" s="44" t="str">
        <f t="shared" si="8"/>
        <v/>
      </c>
      <c r="M27" s="44" t="str">
        <f t="shared" si="9"/>
        <v/>
      </c>
    </row>
    <row r="28" spans="1:13" x14ac:dyDescent="0.25">
      <c r="A28" s="63">
        <v>12</v>
      </c>
      <c r="B28" s="90" t="s">
        <v>57</v>
      </c>
      <c r="C28" s="63" t="s">
        <v>44</v>
      </c>
      <c r="D28" s="35"/>
      <c r="E28" s="44" t="str">
        <f t="shared" si="6"/>
        <v/>
      </c>
      <c r="F28" s="44" t="str">
        <f t="shared" si="7"/>
        <v/>
      </c>
      <c r="H28" s="63">
        <v>12</v>
      </c>
      <c r="I28" s="90" t="s">
        <v>57</v>
      </c>
      <c r="J28" s="63" t="s">
        <v>45</v>
      </c>
      <c r="K28" s="35"/>
      <c r="L28" s="44" t="str">
        <f t="shared" si="8"/>
        <v/>
      </c>
      <c r="M28" s="44" t="str">
        <f t="shared" si="9"/>
        <v/>
      </c>
    </row>
    <row r="29" spans="1:13" x14ac:dyDescent="0.25">
      <c r="A29" s="63">
        <v>13</v>
      </c>
      <c r="B29" s="90" t="s">
        <v>57</v>
      </c>
      <c r="C29" s="63" t="s">
        <v>44</v>
      </c>
      <c r="D29" s="35"/>
      <c r="E29" s="44" t="str">
        <f t="shared" si="6"/>
        <v/>
      </c>
      <c r="F29" s="44" t="str">
        <f t="shared" si="7"/>
        <v/>
      </c>
      <c r="H29" s="63">
        <v>13</v>
      </c>
      <c r="I29" s="90" t="s">
        <v>57</v>
      </c>
      <c r="J29" s="63" t="s">
        <v>45</v>
      </c>
      <c r="K29" s="35"/>
      <c r="L29" s="44" t="str">
        <f t="shared" si="8"/>
        <v/>
      </c>
      <c r="M29" s="44" t="str">
        <f t="shared" si="9"/>
        <v/>
      </c>
    </row>
    <row r="30" spans="1:13" x14ac:dyDescent="0.25">
      <c r="A30" s="63">
        <v>14</v>
      </c>
      <c r="B30" s="90" t="s">
        <v>57</v>
      </c>
      <c r="C30" s="63" t="s">
        <v>44</v>
      </c>
      <c r="D30" s="35"/>
      <c r="E30" s="44" t="str">
        <f t="shared" si="6"/>
        <v/>
      </c>
      <c r="F30" s="44" t="str">
        <f t="shared" si="7"/>
        <v/>
      </c>
      <c r="H30" s="63">
        <v>14</v>
      </c>
      <c r="I30" s="90" t="s">
        <v>57</v>
      </c>
      <c r="J30" s="63" t="s">
        <v>45</v>
      </c>
      <c r="K30" s="35"/>
      <c r="L30" s="44" t="str">
        <f t="shared" si="8"/>
        <v/>
      </c>
      <c r="M30" s="44" t="str">
        <f t="shared" si="9"/>
        <v/>
      </c>
    </row>
    <row r="31" spans="1:13" x14ac:dyDescent="0.25">
      <c r="A31" s="63">
        <v>15</v>
      </c>
      <c r="B31" s="90" t="s">
        <v>57</v>
      </c>
      <c r="C31" s="63" t="s">
        <v>44</v>
      </c>
      <c r="D31" s="35"/>
      <c r="E31" s="44" t="str">
        <f t="shared" si="6"/>
        <v/>
      </c>
      <c r="F31" s="44" t="str">
        <f t="shared" si="7"/>
        <v/>
      </c>
      <c r="H31" s="63">
        <v>15</v>
      </c>
      <c r="I31" s="90" t="s">
        <v>57</v>
      </c>
      <c r="J31" s="63" t="s">
        <v>45</v>
      </c>
      <c r="K31" s="35"/>
      <c r="L31" s="44" t="str">
        <f t="shared" si="8"/>
        <v/>
      </c>
      <c r="M31" s="44" t="str">
        <f t="shared" si="9"/>
        <v/>
      </c>
    </row>
    <row r="32" spans="1:13" x14ac:dyDescent="0.25">
      <c r="A32" s="63">
        <v>16</v>
      </c>
      <c r="B32" s="90" t="s">
        <v>57</v>
      </c>
      <c r="C32" s="63" t="s">
        <v>44</v>
      </c>
      <c r="D32" s="35"/>
      <c r="E32" s="44" t="str">
        <f t="shared" si="6"/>
        <v/>
      </c>
      <c r="F32" s="44" t="str">
        <f t="shared" si="7"/>
        <v/>
      </c>
      <c r="H32" s="63">
        <v>16</v>
      </c>
      <c r="I32" s="90" t="s">
        <v>57</v>
      </c>
      <c r="J32" s="63" t="s">
        <v>45</v>
      </c>
      <c r="K32" s="35"/>
      <c r="L32" s="44" t="str">
        <f t="shared" si="8"/>
        <v/>
      </c>
      <c r="M32" s="44" t="str">
        <f t="shared" si="9"/>
        <v/>
      </c>
    </row>
    <row r="33" spans="1:13" x14ac:dyDescent="0.25">
      <c r="A33" s="63">
        <v>17</v>
      </c>
      <c r="B33" s="90" t="s">
        <v>57</v>
      </c>
      <c r="C33" s="63" t="s">
        <v>44</v>
      </c>
      <c r="D33" s="35"/>
      <c r="E33" s="44" t="str">
        <f>IF(D33&gt;0,VLOOKUP(D33,Jumpers,3),"")</f>
        <v/>
      </c>
      <c r="F33" s="44" t="str">
        <f>IF(D33&gt;0,VLOOKUP(D33,Jumpers,2),"")</f>
        <v/>
      </c>
      <c r="H33" s="63">
        <v>17</v>
      </c>
      <c r="I33" s="90" t="s">
        <v>57</v>
      </c>
      <c r="J33" s="63" t="s">
        <v>45</v>
      </c>
      <c r="K33" s="35"/>
      <c r="L33" s="44" t="str">
        <f>IF(K33&gt;0,VLOOKUP(K33,Jumpers,3),"")</f>
        <v/>
      </c>
      <c r="M33" s="44" t="str">
        <f>IF(K33&gt;0,VLOOKUP(K33,Jumpers,2),"")</f>
        <v/>
      </c>
    </row>
    <row r="34" spans="1:13" x14ac:dyDescent="0.25">
      <c r="A34" s="63">
        <v>18</v>
      </c>
      <c r="B34" s="90" t="s">
        <v>57</v>
      </c>
      <c r="C34" s="63" t="s">
        <v>44</v>
      </c>
      <c r="D34" s="35"/>
      <c r="E34" s="44" t="str">
        <f>IF(D34&gt;0,VLOOKUP(D34,Jumpers,3),"")</f>
        <v/>
      </c>
      <c r="F34" s="44" t="str">
        <f>IF(D34&gt;0,VLOOKUP(D34,Jumpers,2),"")</f>
        <v/>
      </c>
      <c r="H34" s="63">
        <v>18</v>
      </c>
      <c r="I34" s="90" t="s">
        <v>57</v>
      </c>
      <c r="J34" s="63" t="s">
        <v>45</v>
      </c>
      <c r="K34" s="35"/>
      <c r="L34" s="44" t="str">
        <f>IF(K34&gt;0,VLOOKUP(K34,Jumpers,3),"")</f>
        <v/>
      </c>
      <c r="M34" s="44" t="str">
        <f>IF(K34&gt;0,VLOOKUP(K34,Jumpers,2),"")</f>
        <v/>
      </c>
    </row>
    <row r="35" spans="1:13" x14ac:dyDescent="0.25">
      <c r="A35" s="63">
        <v>19</v>
      </c>
      <c r="B35" s="90" t="s">
        <v>57</v>
      </c>
      <c r="C35" s="63" t="s">
        <v>44</v>
      </c>
      <c r="D35" s="35"/>
      <c r="E35" s="44" t="str">
        <f>IF(D35&gt;0,VLOOKUP(D35,Jumpers,3),"")</f>
        <v/>
      </c>
      <c r="F35" s="44" t="str">
        <f>IF(D35&gt;0,VLOOKUP(D35,Jumpers,2),"")</f>
        <v/>
      </c>
      <c r="H35" s="63">
        <v>19</v>
      </c>
      <c r="I35" s="90" t="s">
        <v>57</v>
      </c>
      <c r="J35" s="63" t="s">
        <v>45</v>
      </c>
      <c r="K35" s="35"/>
      <c r="L35" s="44" t="str">
        <f>IF(K35&gt;0,VLOOKUP(K35,Jumpers,3),"")</f>
        <v/>
      </c>
      <c r="M35" s="44" t="str">
        <f>IF(K35&gt;0,VLOOKUP(K35,Jumpers,2),"")</f>
        <v/>
      </c>
    </row>
    <row r="36" spans="1:13" x14ac:dyDescent="0.25">
      <c r="A36" s="63">
        <v>20</v>
      </c>
      <c r="B36" s="90" t="s">
        <v>57</v>
      </c>
      <c r="C36" s="63" t="s">
        <v>44</v>
      </c>
      <c r="D36" s="35"/>
      <c r="E36" s="44" t="str">
        <f>IF(D36&gt;0,VLOOKUP(D36,Jumpers,3),"")</f>
        <v/>
      </c>
      <c r="F36" s="44" t="str">
        <f>IF(D36&gt;0,VLOOKUP(D36,Jumpers,2),"")</f>
        <v/>
      </c>
      <c r="H36" s="63">
        <v>20</v>
      </c>
      <c r="I36" s="90" t="s">
        <v>57</v>
      </c>
      <c r="J36" s="63" t="s">
        <v>45</v>
      </c>
      <c r="K36" s="35"/>
      <c r="L36" s="44" t="str">
        <f>IF(K36&gt;0,VLOOKUP(K36,Jumpers,3),"")</f>
        <v/>
      </c>
      <c r="M36" s="44" t="str">
        <f>IF(K36&gt;0,VLOOKUP(K36,Jumpers,2),"")</f>
        <v/>
      </c>
    </row>
    <row r="37" spans="1:13" x14ac:dyDescent="0.25">
      <c r="A37" s="38" t="s">
        <v>11</v>
      </c>
      <c r="B37" s="54"/>
      <c r="C37" s="54"/>
      <c r="D37" s="38"/>
      <c r="E37" s="38"/>
      <c r="F37" s="38"/>
      <c r="H37" s="38" t="s">
        <v>217</v>
      </c>
      <c r="I37" s="54"/>
      <c r="J37" s="54"/>
      <c r="K37" s="38"/>
      <c r="L37" s="38"/>
      <c r="M37" s="38"/>
    </row>
    <row r="38" spans="1:13" ht="23.25" x14ac:dyDescent="0.25">
      <c r="A38" s="39" t="s">
        <v>0</v>
      </c>
      <c r="B38" s="39" t="s">
        <v>55</v>
      </c>
      <c r="C38" s="39" t="s">
        <v>56</v>
      </c>
      <c r="D38" s="55" t="s">
        <v>8</v>
      </c>
      <c r="E38" s="39" t="s">
        <v>2</v>
      </c>
      <c r="F38" s="39" t="s">
        <v>1</v>
      </c>
      <c r="H38" s="39" t="s">
        <v>0</v>
      </c>
      <c r="I38" s="39" t="s">
        <v>55</v>
      </c>
      <c r="J38" s="39" t="s">
        <v>56</v>
      </c>
      <c r="K38" s="55" t="s">
        <v>8</v>
      </c>
      <c r="L38" s="39" t="s">
        <v>2</v>
      </c>
      <c r="M38" s="39" t="s">
        <v>1</v>
      </c>
    </row>
    <row r="39" spans="1:13" x14ac:dyDescent="0.25">
      <c r="A39" s="63">
        <v>1</v>
      </c>
      <c r="B39" s="90" t="s">
        <v>57</v>
      </c>
      <c r="C39" s="63" t="s">
        <v>47</v>
      </c>
      <c r="D39" s="35"/>
      <c r="E39" s="44" t="str">
        <f t="shared" ref="E39:E46" si="10">IF(D39&gt;0,VLOOKUP(D39,Jumpers,3),"")</f>
        <v/>
      </c>
      <c r="F39" s="44" t="str">
        <f t="shared" ref="F39:F46" si="11">IF(D39&gt;0,VLOOKUP(D39,Jumpers,2),"")</f>
        <v/>
      </c>
      <c r="H39" s="63">
        <v>1</v>
      </c>
      <c r="I39" s="90" t="s">
        <v>57</v>
      </c>
      <c r="J39" s="90" t="s">
        <v>214</v>
      </c>
      <c r="K39" s="35"/>
      <c r="L39" s="44" t="str">
        <f t="shared" ref="L39:L46" si="12">IF(K39&gt;0,VLOOKUP(K39,Jumpers,3),"")</f>
        <v/>
      </c>
      <c r="M39" s="44" t="str">
        <f t="shared" ref="M39:M46" si="13">IF(K39&gt;0,VLOOKUP(K39,Jumpers,2),"")</f>
        <v/>
      </c>
    </row>
    <row r="40" spans="1:13" x14ac:dyDescent="0.25">
      <c r="A40" s="63">
        <v>2</v>
      </c>
      <c r="B40" s="90" t="s">
        <v>57</v>
      </c>
      <c r="C40" s="63" t="s">
        <v>47</v>
      </c>
      <c r="D40" s="35"/>
      <c r="E40" s="44" t="str">
        <f t="shared" si="10"/>
        <v/>
      </c>
      <c r="F40" s="44" t="str">
        <f t="shared" si="11"/>
        <v/>
      </c>
      <c r="H40" s="63">
        <v>2</v>
      </c>
      <c r="I40" s="90" t="s">
        <v>57</v>
      </c>
      <c r="J40" s="90" t="s">
        <v>214</v>
      </c>
      <c r="K40" s="35"/>
      <c r="L40" s="44" t="str">
        <f t="shared" si="12"/>
        <v/>
      </c>
      <c r="M40" s="44" t="str">
        <f t="shared" si="13"/>
        <v/>
      </c>
    </row>
    <row r="41" spans="1:13" x14ac:dyDescent="0.25">
      <c r="A41" s="63">
        <v>3</v>
      </c>
      <c r="B41" s="90" t="s">
        <v>57</v>
      </c>
      <c r="C41" s="63" t="s">
        <v>47</v>
      </c>
      <c r="D41" s="35"/>
      <c r="E41" s="44" t="str">
        <f t="shared" si="10"/>
        <v/>
      </c>
      <c r="F41" s="44" t="str">
        <f t="shared" si="11"/>
        <v/>
      </c>
      <c r="H41" s="63">
        <v>3</v>
      </c>
      <c r="I41" s="90" t="s">
        <v>57</v>
      </c>
      <c r="J41" s="90" t="s">
        <v>214</v>
      </c>
      <c r="K41" s="35"/>
      <c r="L41" s="44" t="str">
        <f t="shared" si="12"/>
        <v/>
      </c>
      <c r="M41" s="44" t="str">
        <f t="shared" si="13"/>
        <v/>
      </c>
    </row>
    <row r="42" spans="1:13" x14ac:dyDescent="0.25">
      <c r="A42" s="63">
        <v>4</v>
      </c>
      <c r="B42" s="90" t="s">
        <v>57</v>
      </c>
      <c r="C42" s="63" t="s">
        <v>47</v>
      </c>
      <c r="D42" s="35"/>
      <c r="E42" s="44" t="str">
        <f t="shared" si="10"/>
        <v/>
      </c>
      <c r="F42" s="44" t="str">
        <f t="shared" si="11"/>
        <v/>
      </c>
      <c r="H42" s="63">
        <v>4</v>
      </c>
      <c r="I42" s="90" t="s">
        <v>57</v>
      </c>
      <c r="J42" s="90" t="s">
        <v>214</v>
      </c>
      <c r="K42" s="35"/>
      <c r="L42" s="44" t="str">
        <f t="shared" si="12"/>
        <v/>
      </c>
      <c r="M42" s="44" t="str">
        <f t="shared" si="13"/>
        <v/>
      </c>
    </row>
    <row r="43" spans="1:13" x14ac:dyDescent="0.25">
      <c r="A43" s="63">
        <v>5</v>
      </c>
      <c r="B43" s="90" t="s">
        <v>57</v>
      </c>
      <c r="C43" s="63" t="s">
        <v>47</v>
      </c>
      <c r="D43" s="35"/>
      <c r="E43" s="44" t="str">
        <f t="shared" si="10"/>
        <v/>
      </c>
      <c r="F43" s="44" t="str">
        <f t="shared" si="11"/>
        <v/>
      </c>
      <c r="H43" s="63">
        <v>5</v>
      </c>
      <c r="I43" s="90" t="s">
        <v>57</v>
      </c>
      <c r="J43" s="90" t="s">
        <v>214</v>
      </c>
      <c r="K43" s="35"/>
      <c r="L43" s="44" t="str">
        <f t="shared" si="12"/>
        <v/>
      </c>
      <c r="M43" s="44" t="str">
        <f t="shared" si="13"/>
        <v/>
      </c>
    </row>
    <row r="44" spans="1:13" x14ac:dyDescent="0.25">
      <c r="A44" s="63">
        <v>6</v>
      </c>
      <c r="B44" s="90" t="s">
        <v>57</v>
      </c>
      <c r="C44" s="63" t="s">
        <v>47</v>
      </c>
      <c r="D44" s="35"/>
      <c r="E44" s="44" t="str">
        <f t="shared" si="10"/>
        <v/>
      </c>
      <c r="F44" s="44" t="str">
        <f t="shared" si="11"/>
        <v/>
      </c>
      <c r="H44" s="63">
        <v>6</v>
      </c>
      <c r="I44" s="90" t="s">
        <v>57</v>
      </c>
      <c r="J44" s="90" t="s">
        <v>214</v>
      </c>
      <c r="K44" s="35"/>
      <c r="L44" s="44" t="str">
        <f t="shared" si="12"/>
        <v/>
      </c>
      <c r="M44" s="44" t="str">
        <f t="shared" si="13"/>
        <v/>
      </c>
    </row>
    <row r="45" spans="1:13" x14ac:dyDescent="0.25">
      <c r="A45" s="63">
        <v>7</v>
      </c>
      <c r="B45" s="90" t="s">
        <v>57</v>
      </c>
      <c r="C45" s="63" t="s">
        <v>47</v>
      </c>
      <c r="D45" s="35"/>
      <c r="E45" s="44" t="str">
        <f t="shared" si="10"/>
        <v/>
      </c>
      <c r="F45" s="44" t="str">
        <f t="shared" si="11"/>
        <v/>
      </c>
      <c r="H45" s="63">
        <v>7</v>
      </c>
      <c r="I45" s="90" t="s">
        <v>57</v>
      </c>
      <c r="J45" s="90" t="s">
        <v>214</v>
      </c>
      <c r="K45" s="35"/>
      <c r="L45" s="44" t="str">
        <f t="shared" si="12"/>
        <v/>
      </c>
      <c r="M45" s="44" t="str">
        <f t="shared" si="13"/>
        <v/>
      </c>
    </row>
    <row r="46" spans="1:13" x14ac:dyDescent="0.25">
      <c r="A46" s="63">
        <v>8</v>
      </c>
      <c r="B46" s="90" t="s">
        <v>57</v>
      </c>
      <c r="C46" s="63" t="s">
        <v>47</v>
      </c>
      <c r="D46" s="35"/>
      <c r="E46" s="44" t="str">
        <f t="shared" si="10"/>
        <v/>
      </c>
      <c r="F46" s="44" t="str">
        <f t="shared" si="11"/>
        <v/>
      </c>
      <c r="H46" s="63">
        <v>8</v>
      </c>
      <c r="I46" s="90" t="s">
        <v>57</v>
      </c>
      <c r="J46" s="90" t="s">
        <v>214</v>
      </c>
      <c r="K46" s="35"/>
      <c r="L46" s="44" t="str">
        <f t="shared" si="12"/>
        <v/>
      </c>
      <c r="M46" s="44" t="str">
        <f t="shared" si="13"/>
        <v/>
      </c>
    </row>
    <row r="47" spans="1:13" x14ac:dyDescent="0.25">
      <c r="A47" s="63">
        <v>9</v>
      </c>
      <c r="B47" s="90" t="s">
        <v>57</v>
      </c>
      <c r="C47" s="63" t="s">
        <v>47</v>
      </c>
      <c r="D47" s="35"/>
      <c r="E47" s="44" t="str">
        <f t="shared" ref="E47:E58" si="14">IF(D47&gt;0,VLOOKUP(D47,Jumpers,3),"")</f>
        <v/>
      </c>
      <c r="F47" s="44" t="str">
        <f t="shared" ref="F47:F58" si="15">IF(D47&gt;0,VLOOKUP(D47,Jumpers,2),"")</f>
        <v/>
      </c>
      <c r="H47" s="63">
        <v>9</v>
      </c>
      <c r="I47" s="90" t="s">
        <v>57</v>
      </c>
      <c r="J47" s="90" t="s">
        <v>214</v>
      </c>
      <c r="K47" s="35"/>
      <c r="L47" s="44" t="str">
        <f t="shared" ref="L47:L58" si="16">IF(K47&gt;0,VLOOKUP(K47,Jumpers,3),"")</f>
        <v/>
      </c>
      <c r="M47" s="44" t="str">
        <f t="shared" ref="M47:M58" si="17">IF(K47&gt;0,VLOOKUP(K47,Jumpers,2),"")</f>
        <v/>
      </c>
    </row>
    <row r="48" spans="1:13" x14ac:dyDescent="0.25">
      <c r="A48" s="63">
        <v>10</v>
      </c>
      <c r="B48" s="90" t="s">
        <v>57</v>
      </c>
      <c r="C48" s="63" t="s">
        <v>47</v>
      </c>
      <c r="D48" s="35"/>
      <c r="E48" s="44" t="str">
        <f t="shared" si="14"/>
        <v/>
      </c>
      <c r="F48" s="44" t="str">
        <f t="shared" si="15"/>
        <v/>
      </c>
      <c r="H48" s="63">
        <v>10</v>
      </c>
      <c r="I48" s="90" t="s">
        <v>57</v>
      </c>
      <c r="J48" s="90" t="s">
        <v>214</v>
      </c>
      <c r="K48" s="35"/>
      <c r="L48" s="44" t="str">
        <f t="shared" si="16"/>
        <v/>
      </c>
      <c r="M48" s="44" t="str">
        <f t="shared" si="17"/>
        <v/>
      </c>
    </row>
    <row r="49" spans="1:13" x14ac:dyDescent="0.25">
      <c r="A49" s="63">
        <v>11</v>
      </c>
      <c r="B49" s="90" t="s">
        <v>57</v>
      </c>
      <c r="C49" s="63" t="s">
        <v>47</v>
      </c>
      <c r="D49" s="35"/>
      <c r="E49" s="44" t="str">
        <f t="shared" si="14"/>
        <v/>
      </c>
      <c r="F49" s="44" t="str">
        <f t="shared" si="15"/>
        <v/>
      </c>
      <c r="H49" s="63">
        <v>11</v>
      </c>
      <c r="I49" s="90" t="s">
        <v>57</v>
      </c>
      <c r="J49" s="90" t="s">
        <v>214</v>
      </c>
      <c r="K49" s="35"/>
      <c r="L49" s="44" t="str">
        <f t="shared" si="16"/>
        <v/>
      </c>
      <c r="M49" s="44" t="str">
        <f t="shared" si="17"/>
        <v/>
      </c>
    </row>
    <row r="50" spans="1:13" x14ac:dyDescent="0.25">
      <c r="A50" s="63">
        <v>12</v>
      </c>
      <c r="B50" s="90" t="s">
        <v>57</v>
      </c>
      <c r="C50" s="63" t="s">
        <v>47</v>
      </c>
      <c r="D50" s="35"/>
      <c r="E50" s="44" t="str">
        <f t="shared" si="14"/>
        <v/>
      </c>
      <c r="F50" s="44" t="str">
        <f t="shared" si="15"/>
        <v/>
      </c>
      <c r="H50" s="63">
        <v>12</v>
      </c>
      <c r="I50" s="90" t="s">
        <v>57</v>
      </c>
      <c r="J50" s="90" t="s">
        <v>214</v>
      </c>
      <c r="K50" s="35"/>
      <c r="L50" s="44" t="str">
        <f t="shared" si="16"/>
        <v/>
      </c>
      <c r="M50" s="44" t="str">
        <f t="shared" si="17"/>
        <v/>
      </c>
    </row>
    <row r="51" spans="1:13" x14ac:dyDescent="0.25">
      <c r="A51" s="63">
        <v>13</v>
      </c>
      <c r="B51" s="90" t="s">
        <v>57</v>
      </c>
      <c r="C51" s="63" t="s">
        <v>47</v>
      </c>
      <c r="D51" s="35"/>
      <c r="E51" s="44" t="str">
        <f t="shared" si="14"/>
        <v/>
      </c>
      <c r="F51" s="44" t="str">
        <f t="shared" si="15"/>
        <v/>
      </c>
      <c r="H51" s="63">
        <v>13</v>
      </c>
      <c r="I51" s="90" t="s">
        <v>57</v>
      </c>
      <c r="J51" s="90" t="s">
        <v>214</v>
      </c>
      <c r="K51" s="35"/>
      <c r="L51" s="44" t="str">
        <f t="shared" si="16"/>
        <v/>
      </c>
      <c r="M51" s="44" t="str">
        <f t="shared" si="17"/>
        <v/>
      </c>
    </row>
    <row r="52" spans="1:13" x14ac:dyDescent="0.25">
      <c r="A52" s="63">
        <v>14</v>
      </c>
      <c r="B52" s="90" t="s">
        <v>57</v>
      </c>
      <c r="C52" s="63" t="s">
        <v>47</v>
      </c>
      <c r="D52" s="35"/>
      <c r="E52" s="44" t="str">
        <f t="shared" si="14"/>
        <v/>
      </c>
      <c r="F52" s="44" t="str">
        <f t="shared" si="15"/>
        <v/>
      </c>
      <c r="H52" s="63">
        <v>14</v>
      </c>
      <c r="I52" s="90" t="s">
        <v>57</v>
      </c>
      <c r="J52" s="90" t="s">
        <v>214</v>
      </c>
      <c r="K52" s="35"/>
      <c r="L52" s="44" t="str">
        <f t="shared" si="16"/>
        <v/>
      </c>
      <c r="M52" s="44" t="str">
        <f t="shared" si="17"/>
        <v/>
      </c>
    </row>
    <row r="53" spans="1:13" x14ac:dyDescent="0.25">
      <c r="A53" s="63">
        <v>15</v>
      </c>
      <c r="B53" s="90" t="s">
        <v>57</v>
      </c>
      <c r="C53" s="63" t="s">
        <v>47</v>
      </c>
      <c r="D53" s="35"/>
      <c r="E53" s="44" t="str">
        <f t="shared" si="14"/>
        <v/>
      </c>
      <c r="F53" s="44" t="str">
        <f t="shared" si="15"/>
        <v/>
      </c>
      <c r="H53" s="63">
        <v>15</v>
      </c>
      <c r="I53" s="90" t="s">
        <v>57</v>
      </c>
      <c r="J53" s="90" t="s">
        <v>214</v>
      </c>
      <c r="K53" s="35"/>
      <c r="L53" s="44" t="str">
        <f t="shared" si="16"/>
        <v/>
      </c>
      <c r="M53" s="44" t="str">
        <f t="shared" si="17"/>
        <v/>
      </c>
    </row>
    <row r="54" spans="1:13" x14ac:dyDescent="0.25">
      <c r="A54" s="63">
        <v>16</v>
      </c>
      <c r="B54" s="90" t="s">
        <v>57</v>
      </c>
      <c r="C54" s="63" t="s">
        <v>47</v>
      </c>
      <c r="D54" s="35"/>
      <c r="E54" s="44" t="str">
        <f t="shared" si="14"/>
        <v/>
      </c>
      <c r="F54" s="44" t="str">
        <f t="shared" si="15"/>
        <v/>
      </c>
      <c r="H54" s="63">
        <v>16</v>
      </c>
      <c r="I54" s="90" t="s">
        <v>57</v>
      </c>
      <c r="J54" s="90" t="s">
        <v>214</v>
      </c>
      <c r="K54" s="35"/>
      <c r="L54" s="44" t="str">
        <f t="shared" si="16"/>
        <v/>
      </c>
      <c r="M54" s="44" t="str">
        <f t="shared" si="17"/>
        <v/>
      </c>
    </row>
    <row r="55" spans="1:13" x14ac:dyDescent="0.25">
      <c r="A55" s="63">
        <v>17</v>
      </c>
      <c r="B55" s="90" t="s">
        <v>57</v>
      </c>
      <c r="C55" s="63" t="s">
        <v>47</v>
      </c>
      <c r="D55" s="35"/>
      <c r="E55" s="44" t="str">
        <f t="shared" si="14"/>
        <v/>
      </c>
      <c r="F55" s="44" t="str">
        <f t="shared" si="15"/>
        <v/>
      </c>
      <c r="H55" s="63">
        <v>17</v>
      </c>
      <c r="I55" s="90" t="s">
        <v>57</v>
      </c>
      <c r="J55" s="90" t="s">
        <v>214</v>
      </c>
      <c r="K55" s="35"/>
      <c r="L55" s="44" t="str">
        <f t="shared" si="16"/>
        <v/>
      </c>
      <c r="M55" s="44" t="str">
        <f t="shared" si="17"/>
        <v/>
      </c>
    </row>
    <row r="56" spans="1:13" x14ac:dyDescent="0.25">
      <c r="A56" s="63">
        <v>18</v>
      </c>
      <c r="B56" s="90" t="s">
        <v>57</v>
      </c>
      <c r="C56" s="63" t="s">
        <v>47</v>
      </c>
      <c r="D56" s="35"/>
      <c r="E56" s="44" t="str">
        <f t="shared" si="14"/>
        <v/>
      </c>
      <c r="F56" s="44" t="str">
        <f t="shared" si="15"/>
        <v/>
      </c>
      <c r="H56" s="63">
        <v>18</v>
      </c>
      <c r="I56" s="90" t="s">
        <v>57</v>
      </c>
      <c r="J56" s="90" t="s">
        <v>214</v>
      </c>
      <c r="K56" s="35"/>
      <c r="L56" s="44" t="str">
        <f t="shared" si="16"/>
        <v/>
      </c>
      <c r="M56" s="44" t="str">
        <f t="shared" si="17"/>
        <v/>
      </c>
    </row>
    <row r="57" spans="1:13" x14ac:dyDescent="0.25">
      <c r="A57" s="63">
        <v>19</v>
      </c>
      <c r="B57" s="90" t="s">
        <v>57</v>
      </c>
      <c r="C57" s="63" t="s">
        <v>47</v>
      </c>
      <c r="D57" s="35"/>
      <c r="E57" s="44" t="str">
        <f t="shared" si="14"/>
        <v/>
      </c>
      <c r="F57" s="44" t="str">
        <f t="shared" si="15"/>
        <v/>
      </c>
      <c r="H57" s="63">
        <v>19</v>
      </c>
      <c r="I57" s="90" t="s">
        <v>57</v>
      </c>
      <c r="J57" s="90" t="s">
        <v>214</v>
      </c>
      <c r="K57" s="35"/>
      <c r="L57" s="44" t="str">
        <f>IF(K57&gt;0,VLOOKUP(K57,Jumpers,3),"")</f>
        <v/>
      </c>
      <c r="M57" s="44" t="str">
        <f>IF(K57&gt;0,VLOOKUP(K57,Jumpers,2),"")</f>
        <v/>
      </c>
    </row>
    <row r="58" spans="1:13" x14ac:dyDescent="0.25">
      <c r="A58" s="63">
        <v>20</v>
      </c>
      <c r="B58" s="90" t="s">
        <v>57</v>
      </c>
      <c r="C58" s="63" t="s">
        <v>47</v>
      </c>
      <c r="D58" s="35"/>
      <c r="E58" s="44" t="str">
        <f t="shared" si="14"/>
        <v/>
      </c>
      <c r="F58" s="44" t="str">
        <f t="shared" si="15"/>
        <v/>
      </c>
      <c r="H58" s="63">
        <v>20</v>
      </c>
      <c r="I58" s="90" t="s">
        <v>57</v>
      </c>
      <c r="J58" s="90" t="s">
        <v>214</v>
      </c>
      <c r="K58" s="35"/>
      <c r="L58" s="44" t="str">
        <f t="shared" si="16"/>
        <v/>
      </c>
      <c r="M58" s="44" t="str">
        <f t="shared" si="17"/>
        <v/>
      </c>
    </row>
    <row r="59" spans="1:13" x14ac:dyDescent="0.25">
      <c r="A59" s="38" t="s">
        <v>219</v>
      </c>
      <c r="B59" s="54"/>
      <c r="C59" s="54"/>
      <c r="D59" s="38"/>
      <c r="E59" s="38"/>
      <c r="F59" s="38"/>
      <c r="H59" s="38" t="s">
        <v>218</v>
      </c>
      <c r="I59" s="54"/>
      <c r="J59" s="54"/>
      <c r="K59" s="38"/>
      <c r="L59" s="38"/>
      <c r="M59" s="38"/>
    </row>
    <row r="60" spans="1:13" ht="23.25" x14ac:dyDescent="0.25">
      <c r="A60" s="39" t="s">
        <v>0</v>
      </c>
      <c r="B60" s="39" t="s">
        <v>55</v>
      </c>
      <c r="C60" s="39" t="s">
        <v>56</v>
      </c>
      <c r="D60" s="55" t="s">
        <v>8</v>
      </c>
      <c r="E60" s="39" t="s">
        <v>2</v>
      </c>
      <c r="F60" s="39" t="s">
        <v>1</v>
      </c>
      <c r="H60" s="39" t="s">
        <v>0</v>
      </c>
      <c r="I60" s="39" t="s">
        <v>55</v>
      </c>
      <c r="J60" s="39" t="s">
        <v>56</v>
      </c>
      <c r="K60" s="55" t="s">
        <v>8</v>
      </c>
      <c r="L60" s="39" t="s">
        <v>2</v>
      </c>
      <c r="M60" s="39" t="s">
        <v>1</v>
      </c>
    </row>
    <row r="61" spans="1:13" x14ac:dyDescent="0.25">
      <c r="A61" s="52">
        <v>1</v>
      </c>
      <c r="B61" s="90" t="s">
        <v>57</v>
      </c>
      <c r="C61" s="90" t="s">
        <v>215</v>
      </c>
      <c r="D61" s="35"/>
      <c r="E61" s="44" t="str">
        <f>IF(D61&gt;0,VLOOKUP(D61,Jumpers,3),"")</f>
        <v/>
      </c>
      <c r="F61" s="44" t="str">
        <f>IF(D61&gt;0,VLOOKUP(D61,Jumpers,2),"")</f>
        <v/>
      </c>
      <c r="H61" s="52">
        <v>1</v>
      </c>
      <c r="I61" s="90" t="s">
        <v>57</v>
      </c>
      <c r="J61" s="90" t="s">
        <v>216</v>
      </c>
      <c r="K61" s="35"/>
      <c r="L61" s="44" t="str">
        <f t="shared" ref="L61:L70" si="18">IF(K61&gt;0,VLOOKUP(K61,Jumpers,3),"")</f>
        <v/>
      </c>
      <c r="M61" s="44" t="str">
        <f t="shared" ref="M61:M70" si="19">IF(K61&gt;0,VLOOKUP(K61,Jumpers,2),"")</f>
        <v/>
      </c>
    </row>
    <row r="62" spans="1:13" x14ac:dyDescent="0.25">
      <c r="A62" s="52">
        <v>2</v>
      </c>
      <c r="B62" s="90" t="s">
        <v>57</v>
      </c>
      <c r="C62" s="90" t="s">
        <v>215</v>
      </c>
      <c r="D62" s="35"/>
      <c r="E62" s="44" t="str">
        <f t="shared" ref="E62:E70" si="20">IF(D62&gt;0,VLOOKUP(D62,Jumpers,3),"")</f>
        <v/>
      </c>
      <c r="F62" s="44" t="str">
        <f t="shared" ref="F62:F70" si="21">IF(D62&gt;0,VLOOKUP(D62,Jumpers,2),"")</f>
        <v/>
      </c>
      <c r="H62" s="52">
        <v>2</v>
      </c>
      <c r="I62" s="90" t="s">
        <v>57</v>
      </c>
      <c r="J62" s="90" t="s">
        <v>216</v>
      </c>
      <c r="K62" s="35"/>
      <c r="L62" s="44" t="str">
        <f t="shared" si="18"/>
        <v/>
      </c>
      <c r="M62" s="44" t="str">
        <f t="shared" si="19"/>
        <v/>
      </c>
    </row>
    <row r="63" spans="1:13" x14ac:dyDescent="0.25">
      <c r="A63" s="52">
        <v>3</v>
      </c>
      <c r="B63" s="90" t="s">
        <v>57</v>
      </c>
      <c r="C63" s="90" t="s">
        <v>215</v>
      </c>
      <c r="D63" s="35"/>
      <c r="E63" s="44" t="str">
        <f t="shared" si="20"/>
        <v/>
      </c>
      <c r="F63" s="44" t="str">
        <f t="shared" si="21"/>
        <v/>
      </c>
      <c r="H63" s="52">
        <v>3</v>
      </c>
      <c r="I63" s="90" t="s">
        <v>57</v>
      </c>
      <c r="J63" s="90" t="s">
        <v>216</v>
      </c>
      <c r="K63" s="35"/>
      <c r="L63" s="44" t="str">
        <f t="shared" si="18"/>
        <v/>
      </c>
      <c r="M63" s="44" t="str">
        <f t="shared" si="19"/>
        <v/>
      </c>
    </row>
    <row r="64" spans="1:13" x14ac:dyDescent="0.25">
      <c r="A64" s="52">
        <v>4</v>
      </c>
      <c r="B64" s="90" t="s">
        <v>57</v>
      </c>
      <c r="C64" s="90" t="s">
        <v>215</v>
      </c>
      <c r="D64" s="35"/>
      <c r="E64" s="44" t="str">
        <f t="shared" si="20"/>
        <v/>
      </c>
      <c r="F64" s="44" t="str">
        <f t="shared" si="21"/>
        <v/>
      </c>
      <c r="H64" s="52">
        <v>4</v>
      </c>
      <c r="I64" s="90" t="s">
        <v>57</v>
      </c>
      <c r="J64" s="90" t="s">
        <v>216</v>
      </c>
      <c r="K64" s="35"/>
      <c r="L64" s="44" t="str">
        <f t="shared" si="18"/>
        <v/>
      </c>
      <c r="M64" s="44" t="str">
        <f t="shared" si="19"/>
        <v/>
      </c>
    </row>
    <row r="65" spans="1:13" x14ac:dyDescent="0.25">
      <c r="A65" s="52">
        <v>5</v>
      </c>
      <c r="B65" s="90" t="s">
        <v>57</v>
      </c>
      <c r="C65" s="90" t="s">
        <v>215</v>
      </c>
      <c r="D65" s="35"/>
      <c r="E65" s="44" t="str">
        <f t="shared" si="20"/>
        <v/>
      </c>
      <c r="F65" s="44" t="str">
        <f t="shared" si="21"/>
        <v/>
      </c>
      <c r="H65" s="52">
        <v>5</v>
      </c>
      <c r="I65" s="90" t="s">
        <v>57</v>
      </c>
      <c r="J65" s="90" t="s">
        <v>216</v>
      </c>
      <c r="K65" s="35"/>
      <c r="L65" s="44" t="str">
        <f t="shared" si="18"/>
        <v/>
      </c>
      <c r="M65" s="44" t="str">
        <f t="shared" si="19"/>
        <v/>
      </c>
    </row>
    <row r="66" spans="1:13" x14ac:dyDescent="0.25">
      <c r="A66" s="52">
        <v>6</v>
      </c>
      <c r="B66" s="90" t="s">
        <v>57</v>
      </c>
      <c r="C66" s="90" t="s">
        <v>215</v>
      </c>
      <c r="D66" s="35"/>
      <c r="E66" s="44" t="str">
        <f t="shared" si="20"/>
        <v/>
      </c>
      <c r="F66" s="44" t="str">
        <f t="shared" si="21"/>
        <v/>
      </c>
      <c r="H66" s="52">
        <v>6</v>
      </c>
      <c r="I66" s="90" t="s">
        <v>57</v>
      </c>
      <c r="J66" s="90" t="s">
        <v>216</v>
      </c>
      <c r="K66" s="35"/>
      <c r="L66" s="44" t="str">
        <f t="shared" si="18"/>
        <v/>
      </c>
      <c r="M66" s="44" t="str">
        <f t="shared" si="19"/>
        <v/>
      </c>
    </row>
    <row r="67" spans="1:13" x14ac:dyDescent="0.25">
      <c r="A67" s="52">
        <v>7</v>
      </c>
      <c r="B67" s="90" t="s">
        <v>57</v>
      </c>
      <c r="C67" s="90" t="s">
        <v>215</v>
      </c>
      <c r="D67" s="35"/>
      <c r="E67" s="44" t="str">
        <f t="shared" si="20"/>
        <v/>
      </c>
      <c r="F67" s="44" t="str">
        <f t="shared" si="21"/>
        <v/>
      </c>
      <c r="H67" s="52">
        <v>7</v>
      </c>
      <c r="I67" s="90" t="s">
        <v>57</v>
      </c>
      <c r="J67" s="90" t="s">
        <v>216</v>
      </c>
      <c r="K67" s="35"/>
      <c r="L67" s="44" t="str">
        <f t="shared" si="18"/>
        <v/>
      </c>
      <c r="M67" s="44" t="str">
        <f t="shared" si="19"/>
        <v/>
      </c>
    </row>
    <row r="68" spans="1:13" x14ac:dyDescent="0.25">
      <c r="A68" s="151">
        <v>8</v>
      </c>
      <c r="B68" s="90" t="s">
        <v>57</v>
      </c>
      <c r="C68" s="90" t="s">
        <v>215</v>
      </c>
      <c r="D68" s="141"/>
      <c r="E68" s="152"/>
      <c r="F68" s="152"/>
      <c r="H68" s="151">
        <v>8</v>
      </c>
      <c r="I68" s="90" t="s">
        <v>57</v>
      </c>
      <c r="J68" s="90" t="s">
        <v>216</v>
      </c>
      <c r="K68" s="141"/>
      <c r="L68" s="152"/>
      <c r="M68" s="152"/>
    </row>
    <row r="69" spans="1:13" x14ac:dyDescent="0.25">
      <c r="A69" s="151">
        <v>9</v>
      </c>
      <c r="B69" s="90" t="s">
        <v>57</v>
      </c>
      <c r="C69" s="90" t="s">
        <v>215</v>
      </c>
      <c r="D69" s="141"/>
      <c r="E69" s="152"/>
      <c r="F69" s="152"/>
      <c r="H69" s="151">
        <v>9</v>
      </c>
      <c r="I69" s="90" t="s">
        <v>57</v>
      </c>
      <c r="J69" s="90" t="s">
        <v>216</v>
      </c>
      <c r="K69" s="141"/>
      <c r="L69" s="152"/>
      <c r="M69" s="152"/>
    </row>
    <row r="70" spans="1:13" x14ac:dyDescent="0.25">
      <c r="A70" s="52">
        <v>10</v>
      </c>
      <c r="B70" s="90" t="s">
        <v>57</v>
      </c>
      <c r="C70" s="90" t="s">
        <v>215</v>
      </c>
      <c r="D70" s="35"/>
      <c r="E70" s="44" t="str">
        <f t="shared" si="20"/>
        <v/>
      </c>
      <c r="F70" s="44" t="str">
        <f t="shared" si="21"/>
        <v/>
      </c>
      <c r="H70" s="52">
        <v>10</v>
      </c>
      <c r="I70" s="90" t="s">
        <v>57</v>
      </c>
      <c r="J70" s="90" t="s">
        <v>216</v>
      </c>
      <c r="K70" s="35"/>
      <c r="L70" s="44" t="str">
        <f t="shared" si="18"/>
        <v/>
      </c>
      <c r="M70" s="44" t="str">
        <f t="shared" si="19"/>
        <v/>
      </c>
    </row>
    <row r="71" spans="1:13" x14ac:dyDescent="0.25">
      <c r="A71" s="38" t="s">
        <v>12</v>
      </c>
      <c r="B71" s="54"/>
      <c r="C71" s="54"/>
      <c r="D71" s="38"/>
      <c r="E71" s="38"/>
      <c r="F71" s="38"/>
      <c r="H71" s="38" t="s">
        <v>58</v>
      </c>
      <c r="I71" s="54"/>
      <c r="J71" s="54"/>
      <c r="K71" s="38"/>
      <c r="L71" s="38"/>
      <c r="M71" s="38"/>
    </row>
    <row r="72" spans="1:13" ht="23.25" x14ac:dyDescent="0.25">
      <c r="A72" s="39" t="s">
        <v>0</v>
      </c>
      <c r="B72" s="39" t="s">
        <v>55</v>
      </c>
      <c r="C72" s="39" t="s">
        <v>56</v>
      </c>
      <c r="D72" s="55" t="s">
        <v>8</v>
      </c>
      <c r="E72" s="39" t="s">
        <v>2</v>
      </c>
      <c r="F72" s="39" t="s">
        <v>1</v>
      </c>
      <c r="H72" s="39" t="s">
        <v>0</v>
      </c>
      <c r="I72" s="39" t="s">
        <v>55</v>
      </c>
      <c r="J72" s="39" t="s">
        <v>56</v>
      </c>
      <c r="K72" s="55" t="s">
        <v>8</v>
      </c>
      <c r="L72" s="39" t="s">
        <v>2</v>
      </c>
      <c r="M72" s="39" t="s">
        <v>1</v>
      </c>
    </row>
    <row r="73" spans="1:13" x14ac:dyDescent="0.25">
      <c r="A73" s="52">
        <v>1</v>
      </c>
      <c r="B73" s="90" t="s">
        <v>57</v>
      </c>
      <c r="C73" s="63" t="s">
        <v>50</v>
      </c>
      <c r="D73" s="35"/>
      <c r="E73" s="44" t="str">
        <f>IF(D73&gt;0,VLOOKUP(D73,Jumpers,3),"")</f>
        <v/>
      </c>
      <c r="F73" s="44" t="str">
        <f>IF(D73&gt;0,VLOOKUP(D73,Jumpers,2),"")</f>
        <v/>
      </c>
      <c r="H73" s="52">
        <v>1</v>
      </c>
      <c r="I73" s="90" t="s">
        <v>57</v>
      </c>
      <c r="J73" s="63" t="s">
        <v>51</v>
      </c>
      <c r="K73" s="35"/>
      <c r="L73" s="44" t="str">
        <f>IF(K73&gt;0,VLOOKUP(K73,Jumpers,3),"")</f>
        <v/>
      </c>
      <c r="M73" s="44" t="str">
        <f>IF(K73&gt;0,VLOOKUP(K73,Jumpers,2),"")</f>
        <v/>
      </c>
    </row>
    <row r="74" spans="1:13" x14ac:dyDescent="0.25">
      <c r="A74" s="52">
        <v>2</v>
      </c>
      <c r="B74" s="90" t="s">
        <v>57</v>
      </c>
      <c r="C74" s="63" t="s">
        <v>50</v>
      </c>
      <c r="D74" s="35"/>
      <c r="E74" s="44" t="str">
        <f>IF(D74&gt;0,VLOOKUP(D74,Jumpers,3),"")</f>
        <v/>
      </c>
      <c r="F74" s="44" t="str">
        <f>IF(D74&gt;0,VLOOKUP(D74,Jumpers,2),"")</f>
        <v/>
      </c>
      <c r="H74" s="52">
        <v>2</v>
      </c>
      <c r="I74" s="90" t="s">
        <v>57</v>
      </c>
      <c r="J74" s="63" t="s">
        <v>51</v>
      </c>
      <c r="K74" s="35"/>
      <c r="L74" s="44" t="str">
        <f>IF(K74&gt;0,VLOOKUP(K74,Jumpers,3),"")</f>
        <v/>
      </c>
      <c r="M74" s="44" t="str">
        <f>IF(K74&gt;0,VLOOKUP(K74,Jumpers,2),"")</f>
        <v/>
      </c>
    </row>
    <row r="75" spans="1:13" x14ac:dyDescent="0.25">
      <c r="A75" s="52">
        <v>3</v>
      </c>
      <c r="B75" s="90" t="s">
        <v>57</v>
      </c>
      <c r="C75" s="63" t="s">
        <v>50</v>
      </c>
      <c r="D75" s="35"/>
      <c r="E75" s="44" t="str">
        <f>IF(D75&gt;0,VLOOKUP(D75,Jumpers,3),"")</f>
        <v/>
      </c>
      <c r="F75" s="44" t="str">
        <f>IF(D75&gt;0,VLOOKUP(D75,Jumpers,2),"")</f>
        <v/>
      </c>
      <c r="H75" s="52">
        <v>3</v>
      </c>
      <c r="I75" s="90" t="s">
        <v>57</v>
      </c>
      <c r="J75" s="63" t="s">
        <v>51</v>
      </c>
      <c r="K75" s="35"/>
      <c r="L75" s="44" t="str">
        <f>IF(K75&gt;0,VLOOKUP(K75,Jumpers,3),"")</f>
        <v/>
      </c>
      <c r="M75" s="44" t="str">
        <f>IF(K75&gt;0,VLOOKUP(K75,Jumpers,2),"")</f>
        <v/>
      </c>
    </row>
    <row r="76" spans="1:13" x14ac:dyDescent="0.25">
      <c r="A76" s="52">
        <v>4</v>
      </c>
      <c r="B76" s="90" t="s">
        <v>57</v>
      </c>
      <c r="C76" s="63" t="s">
        <v>50</v>
      </c>
      <c r="D76" s="35"/>
      <c r="E76" s="44" t="str">
        <f>IF(D76&gt;0,VLOOKUP(D76,Jumpers,3),"")</f>
        <v/>
      </c>
      <c r="F76" s="44" t="str">
        <f>IF(D76&gt;0,VLOOKUP(D76,Jumpers,2),"")</f>
        <v/>
      </c>
      <c r="H76" s="52">
        <v>4</v>
      </c>
      <c r="I76" s="90" t="s">
        <v>57</v>
      </c>
      <c r="J76" s="63" t="s">
        <v>51</v>
      </c>
      <c r="K76" s="35"/>
      <c r="L76" s="44" t="str">
        <f>IF(K76&gt;0,VLOOKUP(K76,Jumpers,3),"")</f>
        <v/>
      </c>
      <c r="M76" s="44" t="str">
        <f>IF(K76&gt;0,VLOOKUP(K76,Jumpers,2),"")</f>
        <v/>
      </c>
    </row>
    <row r="77" spans="1:13" x14ac:dyDescent="0.25">
      <c r="A77" s="52">
        <v>5</v>
      </c>
      <c r="B77" s="90" t="s">
        <v>57</v>
      </c>
      <c r="C77" s="63" t="s">
        <v>50</v>
      </c>
      <c r="D77" s="35"/>
      <c r="E77" s="44" t="str">
        <f>IF(D77&gt;0,VLOOKUP(D77,Jumpers,3),"")</f>
        <v/>
      </c>
      <c r="F77" s="44" t="str">
        <f>IF(D77&gt;0,VLOOKUP(D77,Jumpers,2),"")</f>
        <v/>
      </c>
      <c r="H77" s="52">
        <v>5</v>
      </c>
      <c r="I77" s="90" t="s">
        <v>57</v>
      </c>
      <c r="J77" s="63" t="s">
        <v>51</v>
      </c>
      <c r="K77" s="35"/>
      <c r="L77" s="44" t="str">
        <f>IF(K77&gt;0,VLOOKUP(K77,Jumpers,3),"")</f>
        <v/>
      </c>
      <c r="M77" s="44" t="str">
        <f>IF(K77&gt;0,VLOOKUP(K77,Jumpers,2),"")</f>
        <v/>
      </c>
    </row>
    <row r="79" spans="1:13" x14ac:dyDescent="0.25">
      <c r="A79" s="38" t="s">
        <v>13</v>
      </c>
      <c r="B79" s="54"/>
      <c r="C79" s="54"/>
      <c r="D79" s="38"/>
      <c r="E79" s="38"/>
      <c r="F79" s="38"/>
    </row>
    <row r="80" spans="1:13" ht="23.25" x14ac:dyDescent="0.25">
      <c r="A80" s="39" t="s">
        <v>0</v>
      </c>
      <c r="B80" s="39" t="s">
        <v>55</v>
      </c>
      <c r="C80" s="39" t="s">
        <v>56</v>
      </c>
      <c r="D80" s="55" t="s">
        <v>8</v>
      </c>
      <c r="E80" s="39" t="s">
        <v>2</v>
      </c>
      <c r="F80" s="39" t="s">
        <v>1</v>
      </c>
    </row>
    <row r="81" spans="1:6" x14ac:dyDescent="0.25">
      <c r="A81" s="52">
        <v>1</v>
      </c>
      <c r="B81" s="90" t="s">
        <v>57</v>
      </c>
      <c r="C81" s="63" t="s">
        <v>52</v>
      </c>
      <c r="D81" s="35"/>
      <c r="E81" s="44" t="str">
        <f>IF(D81&gt;0,VLOOKUP(D81,Jumpers,3),"")</f>
        <v/>
      </c>
      <c r="F81" s="44" t="str">
        <f>IF(D81&gt;0,VLOOKUP(D81,Jumpers,2),"")</f>
        <v/>
      </c>
    </row>
    <row r="82" spans="1:6" x14ac:dyDescent="0.25">
      <c r="A82" s="52">
        <v>2</v>
      </c>
      <c r="B82" s="90" t="s">
        <v>57</v>
      </c>
      <c r="C82" s="63" t="s">
        <v>52</v>
      </c>
      <c r="D82" s="35"/>
      <c r="E82" s="44" t="str">
        <f>IF(D82&gt;0,VLOOKUP(D82,Jumpers,3),"")</f>
        <v/>
      </c>
      <c r="F82" s="44" t="str">
        <f>IF(D82&gt;0,VLOOKUP(D82,Jumpers,2),"")</f>
        <v/>
      </c>
    </row>
    <row r="83" spans="1:6" x14ac:dyDescent="0.25">
      <c r="A83" s="52">
        <v>3</v>
      </c>
      <c r="B83" s="90" t="s">
        <v>57</v>
      </c>
      <c r="C83" s="63" t="s">
        <v>52</v>
      </c>
      <c r="D83" s="35"/>
      <c r="E83" s="44" t="str">
        <f>IF(D83&gt;0,VLOOKUP(D83,Jumpers,3),"")</f>
        <v/>
      </c>
      <c r="F83" s="44" t="str">
        <f>IF(D83&gt;0,VLOOKUP(D83,Jumpers,2),"")</f>
        <v/>
      </c>
    </row>
    <row r="84" spans="1:6" x14ac:dyDescent="0.25">
      <c r="A84" s="52">
        <v>4</v>
      </c>
      <c r="B84" s="90" t="s">
        <v>57</v>
      </c>
      <c r="C84" s="63" t="s">
        <v>52</v>
      </c>
      <c r="D84" s="35"/>
      <c r="E84" s="44" t="str">
        <f>IF(D84&gt;0,VLOOKUP(D84,Jumpers,3),"")</f>
        <v/>
      </c>
      <c r="F84" s="44" t="str">
        <f>IF(D84&gt;0,VLOOKUP(D84,Jumpers,2),"")</f>
        <v/>
      </c>
    </row>
    <row r="85" spans="1:6" x14ac:dyDescent="0.25">
      <c r="A85" s="52">
        <v>5</v>
      </c>
      <c r="B85" s="90" t="s">
        <v>57</v>
      </c>
      <c r="C85" s="63" t="s">
        <v>52</v>
      </c>
      <c r="D85" s="35"/>
      <c r="E85" s="44" t="str">
        <f>IF(D85&gt;0,VLOOKUP(D85,Jumpers,3),"")</f>
        <v/>
      </c>
      <c r="F85" s="44" t="str">
        <f>IF(D85&gt;0,VLOOKUP(D85,Jumpers,2),"")</f>
        <v/>
      </c>
    </row>
  </sheetData>
  <sheetProtection password="CE88" sheet="1" objects="1" scenarios="1" selectLockedCells="1"/>
  <mergeCells count="1">
    <mergeCell ref="I4:N7"/>
  </mergeCells>
  <phoneticPr fontId="23" type="noConversion"/>
  <conditionalFormatting sqref="K17:K36">
    <cfRule type="expression" dxfId="536" priority="9" stopIfTrue="1">
      <formula>OR(CODE(K17)&lt;48,CODE(K17)&gt;57)</formula>
    </cfRule>
    <cfRule type="expression" dxfId="535" priority="26" stopIfTrue="1">
      <formula>VLOOKUP(K17,Jumpers,5)&lt;&gt;LEFT($A$1,1)</formula>
    </cfRule>
    <cfRule type="expression" dxfId="534" priority="27" stopIfTrue="1">
      <formula>OR(VLOOKUP(K17,Jumpers,7)&lt;11,VLOOKUP(K17,Jumpers,7)&gt;12)</formula>
    </cfRule>
  </conditionalFormatting>
  <conditionalFormatting sqref="D39:D58">
    <cfRule type="expression" dxfId="533" priority="8" stopIfTrue="1">
      <formula>OR(CODE(D39)&lt;48,CODE(D39)&gt;57)</formula>
    </cfRule>
    <cfRule type="expression" dxfId="532" priority="24" stopIfTrue="1">
      <formula>VLOOKUP(D39,Jumpers,5)&lt;&gt;LEFT($A$1,1)</formula>
    </cfRule>
    <cfRule type="expression" dxfId="531" priority="25" stopIfTrue="1">
      <formula>OR(VLOOKUP(D39,Jumpers,7)&lt;13,VLOOKUP(D39,Jumpers,7)&gt;14)</formula>
    </cfRule>
  </conditionalFormatting>
  <conditionalFormatting sqref="K39:K58">
    <cfRule type="expression" dxfId="530" priority="7" stopIfTrue="1">
      <formula>OR(CODE(K39)&lt;48,CODE(K39)&gt;57)</formula>
    </cfRule>
    <cfRule type="expression" dxfId="529" priority="22" stopIfTrue="1">
      <formula>VLOOKUP(K39,Jumpers,5)&lt;&gt;LEFT($A$1,1)</formula>
    </cfRule>
    <cfRule type="expression" dxfId="528" priority="23" stopIfTrue="1">
      <formula>OR(VLOOKUP(K39,Jumpers,7)&lt;15,VLOOKUP(K39,Jumpers,7)&gt;17)</formula>
    </cfRule>
  </conditionalFormatting>
  <conditionalFormatting sqref="D61:D70">
    <cfRule type="expression" dxfId="527" priority="6" stopIfTrue="1">
      <formula>OR(CODE(D61)&lt;48,CODE(D61)&gt;57)</formula>
    </cfRule>
    <cfRule type="expression" dxfId="526" priority="20" stopIfTrue="1">
      <formula>VLOOKUP(D61,Jumpers,5)&lt;&gt;LEFT($A$1,1)</formula>
    </cfRule>
    <cfRule type="expression" dxfId="525" priority="21" stopIfTrue="1">
      <formula>VLOOKUP(D61,Jumpers,8)&lt;&gt;C61</formula>
    </cfRule>
  </conditionalFormatting>
  <conditionalFormatting sqref="K61:K70">
    <cfRule type="expression" dxfId="524" priority="18" stopIfTrue="1">
      <formula>VLOOKUP(K61,Jumpers,5)&lt;&gt;LEFT($A$1,1)</formula>
    </cfRule>
    <cfRule type="expression" dxfId="523" priority="19" stopIfTrue="1">
      <formula>VLOOKUP(K61,Jumpers,8)&lt;&gt;J61</formula>
    </cfRule>
  </conditionalFormatting>
  <conditionalFormatting sqref="K73:K77">
    <cfRule type="expression" dxfId="522" priority="5" stopIfTrue="1">
      <formula>OR(CODE(K73)&lt;48,CODE(K73)&gt;57)</formula>
    </cfRule>
    <cfRule type="expression" dxfId="521" priority="16" stopIfTrue="1">
      <formula>VLOOKUP(K73,Jumpers,5)&lt;&gt;LEFT($A$1,1)</formula>
    </cfRule>
    <cfRule type="expression" dxfId="520" priority="17" stopIfTrue="1">
      <formula>VLOOKUP(K73,Jumpers,8)&lt;&gt;J73</formula>
    </cfRule>
  </conditionalFormatting>
  <conditionalFormatting sqref="D81:D85">
    <cfRule type="expression" dxfId="519" priority="4">
      <formula>OR(CODE(D81)&lt;48,CODE(D81)&gt;57)</formula>
    </cfRule>
    <cfRule type="expression" dxfId="518" priority="14" stopIfTrue="1">
      <formula>VLOOKUP(D81,Jumpers,5)&lt;&gt;LEFT($A$1,1)</formula>
    </cfRule>
    <cfRule type="expression" dxfId="517" priority="15" stopIfTrue="1">
      <formula>VLOOKUP(D81,Jumpers,8)&lt;&gt;C81</formula>
    </cfRule>
  </conditionalFormatting>
  <conditionalFormatting sqref="D5:D14">
    <cfRule type="expression" dxfId="516" priority="10" stopIfTrue="1">
      <formula>OR(CODE(D5)&lt;48,CODE(D5)&gt;57)</formula>
    </cfRule>
    <cfRule type="expression" dxfId="515" priority="28" stopIfTrue="1">
      <formula>VLOOKUP(D5,Jumpers,5)&lt;&gt;LEFT($A$1,1)</formula>
    </cfRule>
    <cfRule type="expression" dxfId="514" priority="29" stopIfTrue="1">
      <formula>VLOOKUP(D5,Jumpers,8)&lt;&gt;"8-Under"</formula>
    </cfRule>
  </conditionalFormatting>
  <conditionalFormatting sqref="D17:D36">
    <cfRule type="expression" dxfId="513" priority="11" stopIfTrue="1">
      <formula>OR(CODE(D17)&lt;48,CODE(D17)&gt;57)</formula>
    </cfRule>
    <cfRule type="expression" dxfId="512" priority="12" stopIfTrue="1">
      <formula>VLOOKUP(D17,Jumpers,5)&lt;&gt;LEFT($A$1,1)</formula>
    </cfRule>
    <cfRule type="expression" dxfId="511" priority="13" stopIfTrue="1">
      <formula>VLOOKUP(D17,Jumpers,7)&gt;10</formula>
    </cfRule>
  </conditionalFormatting>
  <conditionalFormatting sqref="D73:D77">
    <cfRule type="expression" dxfId="510" priority="1" stopIfTrue="1">
      <formula>OR(CODE(D73)&lt;48,CODE(D73)&gt;57)</formula>
    </cfRule>
    <cfRule type="expression" dxfId="509" priority="2" stopIfTrue="1">
      <formula>VLOOKUP(D73,Jumpers,5)&lt;&gt;LEFT($A$1,1)</formula>
    </cfRule>
    <cfRule type="expression" dxfId="508" priority="3" stopIfTrue="1">
      <formula>VLOOKUP(D73,Jumpers,8)&lt;&gt;C73</formula>
    </cfRule>
  </conditionalFormatting>
  <pageMargins left="0.25" right="0.25" top="0.75" bottom="0.75" header="0.3" footer="0.3"/>
  <pageSetup scale="87" fitToHeight="2" orientation="portrait"/>
  <headerFooter>
    <oddHeader>&amp;LUSAJR Regional Tournament&amp;R&amp;A</oddHeader>
    <oddFooter>&amp;RPage &amp;P of &amp;N</oddFooter>
  </headerFooter>
  <customProperties>
    <customPr name="DVSECTIONID" r:id="rId1"/>
  </customProperties>
  <extLst>
    <ext xmlns:mx="http://schemas.microsoft.com/office/mac/excel/2008/main" uri="{64002731-A6B0-56B0-2670-7721B7C09600}">
      <mx:PLV Mode="0" OnePage="0" WScale="83"/>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workbookViewId="0">
      <selection activeCell="D5" sqref="D5"/>
    </sheetView>
  </sheetViews>
  <sheetFormatPr defaultColWidth="8.85546875" defaultRowHeight="15" x14ac:dyDescent="0.25"/>
  <cols>
    <col min="1" max="1" width="2.7109375" style="37" customWidth="1"/>
    <col min="2" max="2" width="4.7109375" style="60" bestFit="1" customWidth="1"/>
    <col min="3" max="3" width="7.140625" style="60" bestFit="1" customWidth="1"/>
    <col min="4" max="4" width="8.28515625" style="37" bestFit="1" customWidth="1"/>
    <col min="5" max="6" width="15.7109375" style="37" customWidth="1"/>
    <col min="7" max="7" width="1.7109375" style="37" customWidth="1"/>
    <col min="8" max="8" width="2.7109375" style="37" bestFit="1" customWidth="1"/>
    <col min="9" max="9" width="4.7109375" style="60" bestFit="1" customWidth="1"/>
    <col min="10" max="10" width="6.28515625" style="60" bestFit="1" customWidth="1"/>
    <col min="11" max="11" width="8.28515625" style="37" bestFit="1" customWidth="1"/>
    <col min="12" max="13" width="15.7109375" style="37" customWidth="1"/>
    <col min="14" max="14" width="1.7109375" style="37" customWidth="1"/>
    <col min="15" max="15" width="2.7109375" style="37" customWidth="1"/>
    <col min="16" max="16" width="4.7109375" style="37" bestFit="1" customWidth="1"/>
    <col min="17" max="17" width="4.85546875" style="37" bestFit="1" customWidth="1"/>
    <col min="18" max="18" width="8.85546875" style="37"/>
    <col min="19" max="20" width="12.7109375" style="37" customWidth="1"/>
    <col min="21" max="21" width="1.7109375" style="37" customWidth="1"/>
    <col min="22" max="22" width="2.7109375" style="37" customWidth="1"/>
    <col min="23" max="23" width="4.7109375" style="37" bestFit="1" customWidth="1"/>
    <col min="24" max="24" width="4.85546875" style="37" bestFit="1" customWidth="1"/>
    <col min="25" max="25" width="8.85546875" style="37"/>
    <col min="26" max="27" width="12.7109375" style="37" customWidth="1"/>
    <col min="28" max="16384" width="8.85546875" style="37"/>
  </cols>
  <sheetData>
    <row r="1" spans="1:14" ht="18.75" x14ac:dyDescent="0.25">
      <c r="A1" s="58" t="s">
        <v>155</v>
      </c>
      <c r="B1" s="59"/>
      <c r="C1" s="59"/>
      <c r="M1" s="43" t="str">
        <f>CONCATENATE("Team: ",'Team Info'!$B$3)</f>
        <v xml:space="preserve">Team: </v>
      </c>
    </row>
    <row r="2" spans="1:14" x14ac:dyDescent="0.25">
      <c r="A2" s="77" t="s">
        <v>133</v>
      </c>
      <c r="B2" s="61"/>
      <c r="C2" s="61"/>
    </row>
    <row r="3" spans="1:14" ht="15" customHeight="1" x14ac:dyDescent="0.25">
      <c r="A3" s="104" t="s">
        <v>170</v>
      </c>
      <c r="B3" s="54"/>
      <c r="C3" s="54"/>
      <c r="D3" s="38"/>
      <c r="E3" s="38"/>
      <c r="F3" s="38"/>
    </row>
    <row r="4" spans="1:14" ht="23.25" customHeight="1" x14ac:dyDescent="0.25">
      <c r="A4" s="39" t="s">
        <v>0</v>
      </c>
      <c r="B4" s="39" t="s">
        <v>55</v>
      </c>
      <c r="C4" s="39" t="s">
        <v>56</v>
      </c>
      <c r="D4" s="55" t="s">
        <v>8</v>
      </c>
      <c r="E4" s="39" t="s">
        <v>2</v>
      </c>
      <c r="F4" s="39" t="s">
        <v>1</v>
      </c>
      <c r="I4" s="169" t="s">
        <v>178</v>
      </c>
      <c r="J4" s="169"/>
      <c r="K4" s="169"/>
      <c r="L4" s="169"/>
      <c r="M4" s="169"/>
      <c r="N4" s="169"/>
    </row>
    <row r="5" spans="1:14" x14ac:dyDescent="0.25">
      <c r="A5" s="63">
        <v>1</v>
      </c>
      <c r="B5" s="90" t="s">
        <v>157</v>
      </c>
      <c r="C5" s="90" t="s">
        <v>177</v>
      </c>
      <c r="D5" s="108"/>
      <c r="E5" s="44" t="str">
        <f t="shared" ref="E5:E14" si="0">IF(D5&gt;0,VLOOKUP(D5,Jumpers,3),"")</f>
        <v/>
      </c>
      <c r="F5" s="44" t="str">
        <f t="shared" ref="F5:F14" si="1">IF(D5&gt;0,VLOOKUP(D5,Jumpers,2),"")</f>
        <v/>
      </c>
      <c r="I5" s="169"/>
      <c r="J5" s="169"/>
      <c r="K5" s="169"/>
      <c r="L5" s="169"/>
      <c r="M5" s="169"/>
      <c r="N5" s="169"/>
    </row>
    <row r="6" spans="1:14" x14ac:dyDescent="0.25">
      <c r="A6" s="63">
        <v>2</v>
      </c>
      <c r="B6" s="90" t="s">
        <v>157</v>
      </c>
      <c r="C6" s="90" t="s">
        <v>177</v>
      </c>
      <c r="D6" s="35"/>
      <c r="E6" s="44" t="str">
        <f t="shared" si="0"/>
        <v/>
      </c>
      <c r="F6" s="44" t="str">
        <f t="shared" si="1"/>
        <v/>
      </c>
      <c r="I6" s="169"/>
      <c r="J6" s="169"/>
      <c r="K6" s="169"/>
      <c r="L6" s="169"/>
      <c r="M6" s="169"/>
      <c r="N6" s="169"/>
    </row>
    <row r="7" spans="1:14" x14ac:dyDescent="0.25">
      <c r="A7" s="63">
        <v>3</v>
      </c>
      <c r="B7" s="90" t="s">
        <v>157</v>
      </c>
      <c r="C7" s="90" t="s">
        <v>177</v>
      </c>
      <c r="D7" s="35"/>
      <c r="E7" s="44" t="str">
        <f t="shared" si="0"/>
        <v/>
      </c>
      <c r="F7" s="44" t="str">
        <f t="shared" si="1"/>
        <v/>
      </c>
      <c r="I7" s="169"/>
      <c r="J7" s="169"/>
      <c r="K7" s="169"/>
      <c r="L7" s="169"/>
      <c r="M7" s="169"/>
      <c r="N7" s="169"/>
    </row>
    <row r="8" spans="1:14" x14ac:dyDescent="0.25">
      <c r="A8" s="63">
        <v>4</v>
      </c>
      <c r="B8" s="90" t="s">
        <v>157</v>
      </c>
      <c r="C8" s="90" t="s">
        <v>177</v>
      </c>
      <c r="D8" s="35"/>
      <c r="E8" s="44" t="str">
        <f t="shared" si="0"/>
        <v/>
      </c>
      <c r="F8" s="44" t="str">
        <f t="shared" si="1"/>
        <v/>
      </c>
    </row>
    <row r="9" spans="1:14" x14ac:dyDescent="0.25">
      <c r="A9" s="63">
        <v>5</v>
      </c>
      <c r="B9" s="90" t="s">
        <v>157</v>
      </c>
      <c r="C9" s="90" t="s">
        <v>177</v>
      </c>
      <c r="D9" s="35"/>
      <c r="E9" s="44" t="str">
        <f t="shared" si="0"/>
        <v/>
      </c>
      <c r="F9" s="44" t="str">
        <f t="shared" si="1"/>
        <v/>
      </c>
    </row>
    <row r="10" spans="1:14" x14ac:dyDescent="0.25">
      <c r="A10" s="63">
        <v>6</v>
      </c>
      <c r="B10" s="90" t="s">
        <v>157</v>
      </c>
      <c r="C10" s="90" t="s">
        <v>177</v>
      </c>
      <c r="D10" s="35"/>
      <c r="E10" s="44" t="str">
        <f t="shared" si="0"/>
        <v/>
      </c>
      <c r="F10" s="44" t="str">
        <f t="shared" si="1"/>
        <v/>
      </c>
    </row>
    <row r="11" spans="1:14" x14ac:dyDescent="0.25">
      <c r="A11" s="63">
        <v>7</v>
      </c>
      <c r="B11" s="90" t="s">
        <v>157</v>
      </c>
      <c r="C11" s="90" t="s">
        <v>177</v>
      </c>
      <c r="D11" s="35"/>
      <c r="E11" s="44" t="str">
        <f t="shared" si="0"/>
        <v/>
      </c>
      <c r="F11" s="44" t="str">
        <f t="shared" si="1"/>
        <v/>
      </c>
    </row>
    <row r="12" spans="1:14" x14ac:dyDescent="0.25">
      <c r="A12" s="63">
        <v>8</v>
      </c>
      <c r="B12" s="90" t="s">
        <v>157</v>
      </c>
      <c r="C12" s="90" t="s">
        <v>177</v>
      </c>
      <c r="D12" s="35"/>
      <c r="E12" s="44" t="str">
        <f t="shared" si="0"/>
        <v/>
      </c>
      <c r="F12" s="44" t="str">
        <f t="shared" si="1"/>
        <v/>
      </c>
    </row>
    <row r="13" spans="1:14" x14ac:dyDescent="0.25">
      <c r="A13" s="63">
        <v>9</v>
      </c>
      <c r="B13" s="90" t="s">
        <v>157</v>
      </c>
      <c r="C13" s="90" t="s">
        <v>177</v>
      </c>
      <c r="D13" s="35"/>
      <c r="E13" s="44" t="str">
        <f t="shared" si="0"/>
        <v/>
      </c>
      <c r="F13" s="44" t="str">
        <f t="shared" si="1"/>
        <v/>
      </c>
    </row>
    <row r="14" spans="1:14" x14ac:dyDescent="0.25">
      <c r="A14" s="63">
        <v>10</v>
      </c>
      <c r="B14" s="90" t="s">
        <v>157</v>
      </c>
      <c r="C14" s="90" t="s">
        <v>177</v>
      </c>
      <c r="D14" s="35"/>
      <c r="E14" s="44" t="str">
        <f t="shared" si="0"/>
        <v/>
      </c>
      <c r="F14" s="44" t="str">
        <f t="shared" si="1"/>
        <v/>
      </c>
    </row>
    <row r="15" spans="1:14" x14ac:dyDescent="0.25">
      <c r="A15" s="38" t="s">
        <v>9</v>
      </c>
      <c r="B15" s="54"/>
      <c r="C15" s="54"/>
      <c r="D15" s="38"/>
      <c r="E15" s="38"/>
      <c r="F15" s="38"/>
      <c r="H15" s="38" t="s">
        <v>10</v>
      </c>
      <c r="I15" s="54"/>
      <c r="J15" s="54"/>
      <c r="K15" s="38"/>
      <c r="L15" s="38"/>
      <c r="M15" s="38"/>
    </row>
    <row r="16" spans="1:14" ht="23.25" x14ac:dyDescent="0.25">
      <c r="A16" s="39" t="s">
        <v>0</v>
      </c>
      <c r="B16" s="39" t="s">
        <v>55</v>
      </c>
      <c r="C16" s="39" t="s">
        <v>56</v>
      </c>
      <c r="D16" s="55" t="s">
        <v>8</v>
      </c>
      <c r="E16" s="39" t="s">
        <v>2</v>
      </c>
      <c r="F16" s="39" t="s">
        <v>1</v>
      </c>
      <c r="H16" s="39" t="s">
        <v>0</v>
      </c>
      <c r="I16" s="39" t="s">
        <v>55</v>
      </c>
      <c r="J16" s="39" t="s">
        <v>56</v>
      </c>
      <c r="K16" s="55" t="s">
        <v>8</v>
      </c>
      <c r="L16" s="39" t="s">
        <v>2</v>
      </c>
      <c r="M16" s="39" t="s">
        <v>1</v>
      </c>
    </row>
    <row r="17" spans="1:13" x14ac:dyDescent="0.25">
      <c r="A17" s="63">
        <v>1</v>
      </c>
      <c r="B17" s="90" t="s">
        <v>157</v>
      </c>
      <c r="C17" s="63" t="s">
        <v>44</v>
      </c>
      <c r="D17" s="108"/>
      <c r="E17" s="44" t="str">
        <f t="shared" ref="E17:E32" si="2">IF(D17&gt;0,VLOOKUP(D17,Jumpers,3),"")</f>
        <v/>
      </c>
      <c r="F17" s="44" t="str">
        <f t="shared" ref="F17:F32" si="3">IF(D17&gt;0,VLOOKUP(D17,Jumpers,2),"")</f>
        <v/>
      </c>
      <c r="H17" s="63">
        <v>1</v>
      </c>
      <c r="I17" s="90" t="s">
        <v>157</v>
      </c>
      <c r="J17" s="63" t="s">
        <v>45</v>
      </c>
      <c r="K17" s="35"/>
      <c r="L17" s="44" t="str">
        <f t="shared" ref="L17:L32" si="4">IF(K17&gt;0,VLOOKUP(K17,Jumpers,3),"")</f>
        <v/>
      </c>
      <c r="M17" s="44" t="str">
        <f t="shared" ref="M17:M32" si="5">IF(K17&gt;0,VLOOKUP(K17,Jumpers,2),"")</f>
        <v/>
      </c>
    </row>
    <row r="18" spans="1:13" x14ac:dyDescent="0.25">
      <c r="A18" s="63">
        <v>2</v>
      </c>
      <c r="B18" s="90" t="s">
        <v>157</v>
      </c>
      <c r="C18" s="63" t="s">
        <v>44</v>
      </c>
      <c r="D18" s="35"/>
      <c r="E18" s="44" t="str">
        <f t="shared" si="2"/>
        <v/>
      </c>
      <c r="F18" s="44" t="str">
        <f t="shared" si="3"/>
        <v/>
      </c>
      <c r="H18" s="63">
        <v>2</v>
      </c>
      <c r="I18" s="90" t="s">
        <v>157</v>
      </c>
      <c r="J18" s="63" t="s">
        <v>45</v>
      </c>
      <c r="K18" s="35"/>
      <c r="L18" s="44" t="str">
        <f t="shared" si="4"/>
        <v/>
      </c>
      <c r="M18" s="44" t="str">
        <f t="shared" si="5"/>
        <v/>
      </c>
    </row>
    <row r="19" spans="1:13" x14ac:dyDescent="0.25">
      <c r="A19" s="63">
        <v>3</v>
      </c>
      <c r="B19" s="90" t="s">
        <v>157</v>
      </c>
      <c r="C19" s="63" t="s">
        <v>44</v>
      </c>
      <c r="D19" s="35"/>
      <c r="E19" s="44" t="str">
        <f t="shared" si="2"/>
        <v/>
      </c>
      <c r="F19" s="44" t="str">
        <f t="shared" si="3"/>
        <v/>
      </c>
      <c r="H19" s="63">
        <v>3</v>
      </c>
      <c r="I19" s="90" t="s">
        <v>157</v>
      </c>
      <c r="J19" s="63" t="s">
        <v>45</v>
      </c>
      <c r="K19" s="35"/>
      <c r="L19" s="44" t="str">
        <f t="shared" si="4"/>
        <v/>
      </c>
      <c r="M19" s="44" t="str">
        <f t="shared" si="5"/>
        <v/>
      </c>
    </row>
    <row r="20" spans="1:13" x14ac:dyDescent="0.25">
      <c r="A20" s="63">
        <v>4</v>
      </c>
      <c r="B20" s="90" t="s">
        <v>157</v>
      </c>
      <c r="C20" s="63" t="s">
        <v>44</v>
      </c>
      <c r="D20" s="35"/>
      <c r="E20" s="44" t="str">
        <f t="shared" si="2"/>
        <v/>
      </c>
      <c r="F20" s="44" t="str">
        <f t="shared" si="3"/>
        <v/>
      </c>
      <c r="H20" s="63">
        <v>4</v>
      </c>
      <c r="I20" s="90" t="s">
        <v>157</v>
      </c>
      <c r="J20" s="63" t="s">
        <v>45</v>
      </c>
      <c r="K20" s="35"/>
      <c r="L20" s="44" t="str">
        <f t="shared" si="4"/>
        <v/>
      </c>
      <c r="M20" s="44" t="str">
        <f t="shared" si="5"/>
        <v/>
      </c>
    </row>
    <row r="21" spans="1:13" x14ac:dyDescent="0.25">
      <c r="A21" s="63">
        <v>5</v>
      </c>
      <c r="B21" s="90" t="s">
        <v>157</v>
      </c>
      <c r="C21" s="63" t="s">
        <v>44</v>
      </c>
      <c r="D21" s="35"/>
      <c r="E21" s="44" t="str">
        <f t="shared" si="2"/>
        <v/>
      </c>
      <c r="F21" s="44" t="str">
        <f t="shared" si="3"/>
        <v/>
      </c>
      <c r="H21" s="63">
        <v>5</v>
      </c>
      <c r="I21" s="90" t="s">
        <v>157</v>
      </c>
      <c r="J21" s="63" t="s">
        <v>45</v>
      </c>
      <c r="K21" s="35"/>
      <c r="L21" s="44" t="str">
        <f t="shared" si="4"/>
        <v/>
      </c>
      <c r="M21" s="44" t="str">
        <f t="shared" si="5"/>
        <v/>
      </c>
    </row>
    <row r="22" spans="1:13" x14ac:dyDescent="0.25">
      <c r="A22" s="63">
        <v>6</v>
      </c>
      <c r="B22" s="90" t="s">
        <v>157</v>
      </c>
      <c r="C22" s="63" t="s">
        <v>44</v>
      </c>
      <c r="D22" s="35"/>
      <c r="E22" s="44" t="str">
        <f t="shared" si="2"/>
        <v/>
      </c>
      <c r="F22" s="44" t="str">
        <f t="shared" si="3"/>
        <v/>
      </c>
      <c r="H22" s="63">
        <v>6</v>
      </c>
      <c r="I22" s="90" t="s">
        <v>157</v>
      </c>
      <c r="J22" s="63" t="s">
        <v>45</v>
      </c>
      <c r="K22" s="35"/>
      <c r="L22" s="44" t="str">
        <f t="shared" si="4"/>
        <v/>
      </c>
      <c r="M22" s="44" t="str">
        <f t="shared" si="5"/>
        <v/>
      </c>
    </row>
    <row r="23" spans="1:13" x14ac:dyDescent="0.25">
      <c r="A23" s="63">
        <v>7</v>
      </c>
      <c r="B23" s="90" t="s">
        <v>157</v>
      </c>
      <c r="C23" s="63" t="s">
        <v>44</v>
      </c>
      <c r="D23" s="35"/>
      <c r="E23" s="44" t="str">
        <f t="shared" si="2"/>
        <v/>
      </c>
      <c r="F23" s="44" t="str">
        <f t="shared" si="3"/>
        <v/>
      </c>
      <c r="H23" s="63">
        <v>7</v>
      </c>
      <c r="I23" s="90" t="s">
        <v>157</v>
      </c>
      <c r="J23" s="63" t="s">
        <v>45</v>
      </c>
      <c r="K23" s="35"/>
      <c r="L23" s="44" t="str">
        <f t="shared" si="4"/>
        <v/>
      </c>
      <c r="M23" s="44" t="str">
        <f t="shared" si="5"/>
        <v/>
      </c>
    </row>
    <row r="24" spans="1:13" x14ac:dyDescent="0.25">
      <c r="A24" s="63">
        <v>8</v>
      </c>
      <c r="B24" s="90" t="s">
        <v>157</v>
      </c>
      <c r="C24" s="63" t="s">
        <v>44</v>
      </c>
      <c r="D24" s="35"/>
      <c r="E24" s="44" t="str">
        <f t="shared" si="2"/>
        <v/>
      </c>
      <c r="F24" s="44" t="str">
        <f t="shared" si="3"/>
        <v/>
      </c>
      <c r="H24" s="63">
        <v>8</v>
      </c>
      <c r="I24" s="90" t="s">
        <v>157</v>
      </c>
      <c r="J24" s="63" t="s">
        <v>45</v>
      </c>
      <c r="K24" s="35"/>
      <c r="L24" s="44" t="str">
        <f t="shared" si="4"/>
        <v/>
      </c>
      <c r="M24" s="44" t="str">
        <f t="shared" si="5"/>
        <v/>
      </c>
    </row>
    <row r="25" spans="1:13" x14ac:dyDescent="0.25">
      <c r="A25" s="63">
        <v>9</v>
      </c>
      <c r="B25" s="90" t="s">
        <v>157</v>
      </c>
      <c r="C25" s="63" t="s">
        <v>44</v>
      </c>
      <c r="D25" s="35"/>
      <c r="E25" s="44" t="str">
        <f t="shared" si="2"/>
        <v/>
      </c>
      <c r="F25" s="44" t="str">
        <f t="shared" si="3"/>
        <v/>
      </c>
      <c r="H25" s="63">
        <v>9</v>
      </c>
      <c r="I25" s="90" t="s">
        <v>157</v>
      </c>
      <c r="J25" s="63" t="s">
        <v>45</v>
      </c>
      <c r="K25" s="35"/>
      <c r="L25" s="44" t="str">
        <f t="shared" si="4"/>
        <v/>
      </c>
      <c r="M25" s="44" t="str">
        <f t="shared" si="5"/>
        <v/>
      </c>
    </row>
    <row r="26" spans="1:13" x14ac:dyDescent="0.25">
      <c r="A26" s="63">
        <v>10</v>
      </c>
      <c r="B26" s="90" t="s">
        <v>157</v>
      </c>
      <c r="C26" s="63" t="s">
        <v>44</v>
      </c>
      <c r="D26" s="35"/>
      <c r="E26" s="44" t="str">
        <f t="shared" si="2"/>
        <v/>
      </c>
      <c r="F26" s="44" t="str">
        <f t="shared" si="3"/>
        <v/>
      </c>
      <c r="H26" s="63">
        <v>10</v>
      </c>
      <c r="I26" s="90" t="s">
        <v>157</v>
      </c>
      <c r="J26" s="63" t="s">
        <v>45</v>
      </c>
      <c r="K26" s="35"/>
      <c r="L26" s="44" t="str">
        <f t="shared" si="4"/>
        <v/>
      </c>
      <c r="M26" s="44" t="str">
        <f t="shared" si="5"/>
        <v/>
      </c>
    </row>
    <row r="27" spans="1:13" x14ac:dyDescent="0.25">
      <c r="A27" s="63">
        <v>11</v>
      </c>
      <c r="B27" s="90" t="s">
        <v>157</v>
      </c>
      <c r="C27" s="63" t="s">
        <v>44</v>
      </c>
      <c r="D27" s="35"/>
      <c r="E27" s="44" t="str">
        <f t="shared" si="2"/>
        <v/>
      </c>
      <c r="F27" s="44" t="str">
        <f t="shared" si="3"/>
        <v/>
      </c>
      <c r="H27" s="63">
        <v>11</v>
      </c>
      <c r="I27" s="90" t="s">
        <v>157</v>
      </c>
      <c r="J27" s="63" t="s">
        <v>45</v>
      </c>
      <c r="K27" s="35"/>
      <c r="L27" s="44" t="str">
        <f t="shared" si="4"/>
        <v/>
      </c>
      <c r="M27" s="44" t="str">
        <f t="shared" si="5"/>
        <v/>
      </c>
    </row>
    <row r="28" spans="1:13" x14ac:dyDescent="0.25">
      <c r="A28" s="63">
        <v>12</v>
      </c>
      <c r="B28" s="90" t="s">
        <v>157</v>
      </c>
      <c r="C28" s="63" t="s">
        <v>44</v>
      </c>
      <c r="D28" s="35"/>
      <c r="E28" s="44" t="str">
        <f t="shared" si="2"/>
        <v/>
      </c>
      <c r="F28" s="44" t="str">
        <f t="shared" si="3"/>
        <v/>
      </c>
      <c r="H28" s="63">
        <v>12</v>
      </c>
      <c r="I28" s="90" t="s">
        <v>157</v>
      </c>
      <c r="J28" s="63" t="s">
        <v>45</v>
      </c>
      <c r="K28" s="35"/>
      <c r="L28" s="44" t="str">
        <f t="shared" si="4"/>
        <v/>
      </c>
      <c r="M28" s="44" t="str">
        <f t="shared" si="5"/>
        <v/>
      </c>
    </row>
    <row r="29" spans="1:13" x14ac:dyDescent="0.25">
      <c r="A29" s="63">
        <v>13</v>
      </c>
      <c r="B29" s="90" t="s">
        <v>157</v>
      </c>
      <c r="C29" s="63" t="s">
        <v>44</v>
      </c>
      <c r="D29" s="35"/>
      <c r="E29" s="44" t="str">
        <f t="shared" si="2"/>
        <v/>
      </c>
      <c r="F29" s="44" t="str">
        <f t="shared" si="3"/>
        <v/>
      </c>
      <c r="H29" s="63">
        <v>13</v>
      </c>
      <c r="I29" s="90" t="s">
        <v>157</v>
      </c>
      <c r="J29" s="63" t="s">
        <v>45</v>
      </c>
      <c r="K29" s="35"/>
      <c r="L29" s="44" t="str">
        <f t="shared" si="4"/>
        <v/>
      </c>
      <c r="M29" s="44" t="str">
        <f t="shared" si="5"/>
        <v/>
      </c>
    </row>
    <row r="30" spans="1:13" x14ac:dyDescent="0.25">
      <c r="A30" s="63">
        <v>14</v>
      </c>
      <c r="B30" s="90" t="s">
        <v>157</v>
      </c>
      <c r="C30" s="63" t="s">
        <v>44</v>
      </c>
      <c r="D30" s="35"/>
      <c r="E30" s="44" t="str">
        <f t="shared" si="2"/>
        <v/>
      </c>
      <c r="F30" s="44" t="str">
        <f t="shared" si="3"/>
        <v/>
      </c>
      <c r="H30" s="63">
        <v>14</v>
      </c>
      <c r="I30" s="90" t="s">
        <v>157</v>
      </c>
      <c r="J30" s="63" t="s">
        <v>45</v>
      </c>
      <c r="K30" s="35"/>
      <c r="L30" s="44" t="str">
        <f t="shared" si="4"/>
        <v/>
      </c>
      <c r="M30" s="44" t="str">
        <f t="shared" si="5"/>
        <v/>
      </c>
    </row>
    <row r="31" spans="1:13" x14ac:dyDescent="0.25">
      <c r="A31" s="63">
        <v>15</v>
      </c>
      <c r="B31" s="90" t="s">
        <v>157</v>
      </c>
      <c r="C31" s="63" t="s">
        <v>44</v>
      </c>
      <c r="D31" s="35"/>
      <c r="E31" s="44" t="str">
        <f t="shared" si="2"/>
        <v/>
      </c>
      <c r="F31" s="44" t="str">
        <f t="shared" si="3"/>
        <v/>
      </c>
      <c r="H31" s="63">
        <v>15</v>
      </c>
      <c r="I31" s="90" t="s">
        <v>157</v>
      </c>
      <c r="J31" s="63" t="s">
        <v>45</v>
      </c>
      <c r="K31" s="35"/>
      <c r="L31" s="44" t="str">
        <f t="shared" si="4"/>
        <v/>
      </c>
      <c r="M31" s="44" t="str">
        <f t="shared" si="5"/>
        <v/>
      </c>
    </row>
    <row r="32" spans="1:13" x14ac:dyDescent="0.25">
      <c r="A32" s="63">
        <v>16</v>
      </c>
      <c r="B32" s="90" t="s">
        <v>157</v>
      </c>
      <c r="C32" s="63" t="s">
        <v>44</v>
      </c>
      <c r="D32" s="35"/>
      <c r="E32" s="44" t="str">
        <f t="shared" si="2"/>
        <v/>
      </c>
      <c r="F32" s="44" t="str">
        <f t="shared" si="3"/>
        <v/>
      </c>
      <c r="H32" s="63">
        <v>16</v>
      </c>
      <c r="I32" s="90" t="s">
        <v>157</v>
      </c>
      <c r="J32" s="63" t="s">
        <v>45</v>
      </c>
      <c r="K32" s="35"/>
      <c r="L32" s="44" t="str">
        <f t="shared" si="4"/>
        <v/>
      </c>
      <c r="M32" s="44" t="str">
        <f t="shared" si="5"/>
        <v/>
      </c>
    </row>
    <row r="33" spans="1:13" x14ac:dyDescent="0.25">
      <c r="A33" s="63">
        <v>17</v>
      </c>
      <c r="B33" s="90" t="s">
        <v>157</v>
      </c>
      <c r="C33" s="63" t="s">
        <v>44</v>
      </c>
      <c r="D33" s="35"/>
      <c r="E33" s="44" t="str">
        <f>IF(D33&gt;0,VLOOKUP(D33,Jumpers,3),"")</f>
        <v/>
      </c>
      <c r="F33" s="44" t="str">
        <f>IF(D33&gt;0,VLOOKUP(D33,Jumpers,2),"")</f>
        <v/>
      </c>
      <c r="H33" s="63">
        <v>17</v>
      </c>
      <c r="I33" s="90" t="s">
        <v>157</v>
      </c>
      <c r="J33" s="63" t="s">
        <v>45</v>
      </c>
      <c r="K33" s="35"/>
      <c r="L33" s="44" t="str">
        <f>IF(K33&gt;0,VLOOKUP(K33,Jumpers,3),"")</f>
        <v/>
      </c>
      <c r="M33" s="44" t="str">
        <f>IF(K33&gt;0,VLOOKUP(K33,Jumpers,2),"")</f>
        <v/>
      </c>
    </row>
    <row r="34" spans="1:13" x14ac:dyDescent="0.25">
      <c r="A34" s="63">
        <v>18</v>
      </c>
      <c r="B34" s="90" t="s">
        <v>157</v>
      </c>
      <c r="C34" s="63" t="s">
        <v>44</v>
      </c>
      <c r="D34" s="35"/>
      <c r="E34" s="44" t="str">
        <f>IF(D34&gt;0,VLOOKUP(D34,Jumpers,3),"")</f>
        <v/>
      </c>
      <c r="F34" s="44" t="str">
        <f>IF(D34&gt;0,VLOOKUP(D34,Jumpers,2),"")</f>
        <v/>
      </c>
      <c r="H34" s="63">
        <v>18</v>
      </c>
      <c r="I34" s="90" t="s">
        <v>157</v>
      </c>
      <c r="J34" s="63" t="s">
        <v>45</v>
      </c>
      <c r="K34" s="35"/>
      <c r="L34" s="44" t="str">
        <f>IF(K34&gt;0,VLOOKUP(K34,Jumpers,3),"")</f>
        <v/>
      </c>
      <c r="M34" s="44" t="str">
        <f>IF(K34&gt;0,VLOOKUP(K34,Jumpers,2),"")</f>
        <v/>
      </c>
    </row>
    <row r="35" spans="1:13" x14ac:dyDescent="0.25">
      <c r="A35" s="63">
        <v>19</v>
      </c>
      <c r="B35" s="90" t="s">
        <v>157</v>
      </c>
      <c r="C35" s="63" t="s">
        <v>44</v>
      </c>
      <c r="D35" s="35"/>
      <c r="E35" s="44" t="str">
        <f>IF(D35&gt;0,VLOOKUP(D35,Jumpers,3),"")</f>
        <v/>
      </c>
      <c r="F35" s="44" t="str">
        <f>IF(D35&gt;0,VLOOKUP(D35,Jumpers,2),"")</f>
        <v/>
      </c>
      <c r="H35" s="63">
        <v>19</v>
      </c>
      <c r="I35" s="90" t="s">
        <v>157</v>
      </c>
      <c r="J35" s="63" t="s">
        <v>45</v>
      </c>
      <c r="K35" s="35"/>
      <c r="L35" s="44" t="str">
        <f>IF(K35&gt;0,VLOOKUP(K35,Jumpers,3),"")</f>
        <v/>
      </c>
      <c r="M35" s="44" t="str">
        <f>IF(K35&gt;0,VLOOKUP(K35,Jumpers,2),"")</f>
        <v/>
      </c>
    </row>
    <row r="36" spans="1:13" x14ac:dyDescent="0.25">
      <c r="A36" s="63">
        <v>20</v>
      </c>
      <c r="B36" s="90" t="s">
        <v>157</v>
      </c>
      <c r="C36" s="63" t="s">
        <v>44</v>
      </c>
      <c r="D36" s="35"/>
      <c r="E36" s="44" t="str">
        <f>IF(D36&gt;0,VLOOKUP(D36,Jumpers,3),"")</f>
        <v/>
      </c>
      <c r="F36" s="44" t="str">
        <f>IF(D36&gt;0,VLOOKUP(D36,Jumpers,2),"")</f>
        <v/>
      </c>
      <c r="H36" s="63">
        <v>20</v>
      </c>
      <c r="I36" s="90" t="s">
        <v>157</v>
      </c>
      <c r="J36" s="63" t="s">
        <v>45</v>
      </c>
      <c r="K36" s="35"/>
      <c r="L36" s="44" t="str">
        <f>IF(K36&gt;0,VLOOKUP(K36,Jumpers,3),"")</f>
        <v/>
      </c>
      <c r="M36" s="44" t="str">
        <f>IF(K36&gt;0,VLOOKUP(K36,Jumpers,2),"")</f>
        <v/>
      </c>
    </row>
    <row r="37" spans="1:13" x14ac:dyDescent="0.25">
      <c r="A37" s="38" t="s">
        <v>11</v>
      </c>
      <c r="B37" s="54"/>
      <c r="C37" s="54"/>
      <c r="D37" s="38"/>
      <c r="E37" s="38"/>
      <c r="F37" s="38"/>
      <c r="H37" s="38" t="s">
        <v>217</v>
      </c>
      <c r="I37" s="54"/>
      <c r="J37" s="54"/>
      <c r="K37" s="38"/>
      <c r="L37" s="38"/>
      <c r="M37" s="38"/>
    </row>
    <row r="38" spans="1:13" ht="23.25" x14ac:dyDescent="0.25">
      <c r="A38" s="39" t="s">
        <v>0</v>
      </c>
      <c r="B38" s="39" t="s">
        <v>55</v>
      </c>
      <c r="C38" s="39" t="s">
        <v>56</v>
      </c>
      <c r="D38" s="55" t="s">
        <v>8</v>
      </c>
      <c r="E38" s="39" t="s">
        <v>2</v>
      </c>
      <c r="F38" s="39" t="s">
        <v>1</v>
      </c>
      <c r="H38" s="39" t="s">
        <v>0</v>
      </c>
      <c r="I38" s="39" t="s">
        <v>55</v>
      </c>
      <c r="J38" s="39" t="s">
        <v>56</v>
      </c>
      <c r="K38" s="55" t="s">
        <v>8</v>
      </c>
      <c r="L38" s="39" t="s">
        <v>2</v>
      </c>
      <c r="M38" s="39" t="s">
        <v>1</v>
      </c>
    </row>
    <row r="39" spans="1:13" x14ac:dyDescent="0.25">
      <c r="A39" s="63">
        <v>1</v>
      </c>
      <c r="B39" s="90" t="s">
        <v>157</v>
      </c>
      <c r="C39" s="63" t="s">
        <v>47</v>
      </c>
      <c r="D39" s="35"/>
      <c r="E39" s="44" t="str">
        <f t="shared" ref="E39:E58" si="6">IF(D39&gt;0,VLOOKUP(D39,Jumpers,3),"")</f>
        <v/>
      </c>
      <c r="F39" s="44" t="str">
        <f t="shared" ref="F39:F58" si="7">IF(D39&gt;0,VLOOKUP(D39,Jumpers,2),"")</f>
        <v/>
      </c>
      <c r="H39" s="63">
        <v>1</v>
      </c>
      <c r="I39" s="90" t="s">
        <v>157</v>
      </c>
      <c r="J39" s="90" t="s">
        <v>214</v>
      </c>
      <c r="K39" s="35"/>
      <c r="L39" s="44" t="str">
        <f t="shared" ref="L39:L58" si="8">IF(K39&gt;0,VLOOKUP(K39,Jumpers,3),"")</f>
        <v/>
      </c>
      <c r="M39" s="44" t="str">
        <f t="shared" ref="M39:M58" si="9">IF(K39&gt;0,VLOOKUP(K39,Jumpers,2),"")</f>
        <v/>
      </c>
    </row>
    <row r="40" spans="1:13" x14ac:dyDescent="0.25">
      <c r="A40" s="63">
        <v>2</v>
      </c>
      <c r="B40" s="90" t="s">
        <v>157</v>
      </c>
      <c r="C40" s="63" t="s">
        <v>47</v>
      </c>
      <c r="D40" s="35"/>
      <c r="E40" s="44" t="str">
        <f t="shared" si="6"/>
        <v/>
      </c>
      <c r="F40" s="44" t="str">
        <f t="shared" si="7"/>
        <v/>
      </c>
      <c r="H40" s="63">
        <v>2</v>
      </c>
      <c r="I40" s="90" t="s">
        <v>157</v>
      </c>
      <c r="J40" s="90" t="s">
        <v>214</v>
      </c>
      <c r="K40" s="35"/>
      <c r="L40" s="44" t="str">
        <f t="shared" si="8"/>
        <v/>
      </c>
      <c r="M40" s="44" t="str">
        <f t="shared" si="9"/>
        <v/>
      </c>
    </row>
    <row r="41" spans="1:13" x14ac:dyDescent="0.25">
      <c r="A41" s="63">
        <v>3</v>
      </c>
      <c r="B41" s="90" t="s">
        <v>157</v>
      </c>
      <c r="C41" s="63" t="s">
        <v>47</v>
      </c>
      <c r="D41" s="35"/>
      <c r="E41" s="44" t="str">
        <f t="shared" si="6"/>
        <v/>
      </c>
      <c r="F41" s="44" t="str">
        <f t="shared" si="7"/>
        <v/>
      </c>
      <c r="H41" s="63">
        <v>3</v>
      </c>
      <c r="I41" s="90" t="s">
        <v>157</v>
      </c>
      <c r="J41" s="90" t="s">
        <v>214</v>
      </c>
      <c r="K41" s="35"/>
      <c r="L41" s="44" t="str">
        <f t="shared" si="8"/>
        <v/>
      </c>
      <c r="M41" s="44" t="str">
        <f t="shared" si="9"/>
        <v/>
      </c>
    </row>
    <row r="42" spans="1:13" x14ac:dyDescent="0.25">
      <c r="A42" s="63">
        <v>4</v>
      </c>
      <c r="B42" s="90" t="s">
        <v>157</v>
      </c>
      <c r="C42" s="63" t="s">
        <v>47</v>
      </c>
      <c r="D42" s="35"/>
      <c r="E42" s="44" t="str">
        <f t="shared" si="6"/>
        <v/>
      </c>
      <c r="F42" s="44" t="str">
        <f t="shared" si="7"/>
        <v/>
      </c>
      <c r="H42" s="63">
        <v>4</v>
      </c>
      <c r="I42" s="90" t="s">
        <v>157</v>
      </c>
      <c r="J42" s="90" t="s">
        <v>214</v>
      </c>
      <c r="K42" s="35"/>
      <c r="L42" s="44" t="str">
        <f t="shared" si="8"/>
        <v/>
      </c>
      <c r="M42" s="44" t="str">
        <f t="shared" si="9"/>
        <v/>
      </c>
    </row>
    <row r="43" spans="1:13" x14ac:dyDescent="0.25">
      <c r="A43" s="63">
        <v>5</v>
      </c>
      <c r="B43" s="90" t="s">
        <v>157</v>
      </c>
      <c r="C43" s="63" t="s">
        <v>47</v>
      </c>
      <c r="D43" s="35"/>
      <c r="E43" s="44" t="str">
        <f t="shared" si="6"/>
        <v/>
      </c>
      <c r="F43" s="44" t="str">
        <f t="shared" si="7"/>
        <v/>
      </c>
      <c r="H43" s="63">
        <v>5</v>
      </c>
      <c r="I43" s="90" t="s">
        <v>157</v>
      </c>
      <c r="J43" s="90" t="s">
        <v>214</v>
      </c>
      <c r="K43" s="35"/>
      <c r="L43" s="44" t="str">
        <f t="shared" si="8"/>
        <v/>
      </c>
      <c r="M43" s="44" t="str">
        <f t="shared" si="9"/>
        <v/>
      </c>
    </row>
    <row r="44" spans="1:13" x14ac:dyDescent="0.25">
      <c r="A44" s="63">
        <v>6</v>
      </c>
      <c r="B44" s="90" t="s">
        <v>157</v>
      </c>
      <c r="C44" s="63" t="s">
        <v>47</v>
      </c>
      <c r="D44" s="35"/>
      <c r="E44" s="44" t="str">
        <f t="shared" si="6"/>
        <v/>
      </c>
      <c r="F44" s="44" t="str">
        <f t="shared" si="7"/>
        <v/>
      </c>
      <c r="H44" s="63">
        <v>6</v>
      </c>
      <c r="I44" s="90" t="s">
        <v>157</v>
      </c>
      <c r="J44" s="90" t="s">
        <v>214</v>
      </c>
      <c r="K44" s="35"/>
      <c r="L44" s="44" t="str">
        <f t="shared" si="8"/>
        <v/>
      </c>
      <c r="M44" s="44" t="str">
        <f t="shared" si="9"/>
        <v/>
      </c>
    </row>
    <row r="45" spans="1:13" x14ac:dyDescent="0.25">
      <c r="A45" s="63">
        <v>7</v>
      </c>
      <c r="B45" s="90" t="s">
        <v>157</v>
      </c>
      <c r="C45" s="63" t="s">
        <v>47</v>
      </c>
      <c r="D45" s="35"/>
      <c r="E45" s="44" t="str">
        <f t="shared" si="6"/>
        <v/>
      </c>
      <c r="F45" s="44" t="str">
        <f t="shared" si="7"/>
        <v/>
      </c>
      <c r="H45" s="63">
        <v>7</v>
      </c>
      <c r="I45" s="90" t="s">
        <v>157</v>
      </c>
      <c r="J45" s="90" t="s">
        <v>214</v>
      </c>
      <c r="K45" s="35"/>
      <c r="L45" s="44" t="str">
        <f t="shared" si="8"/>
        <v/>
      </c>
      <c r="M45" s="44" t="str">
        <f t="shared" si="9"/>
        <v/>
      </c>
    </row>
    <row r="46" spans="1:13" x14ac:dyDescent="0.25">
      <c r="A46" s="63">
        <v>8</v>
      </c>
      <c r="B46" s="90" t="s">
        <v>157</v>
      </c>
      <c r="C46" s="63" t="s">
        <v>47</v>
      </c>
      <c r="D46" s="35"/>
      <c r="E46" s="44" t="str">
        <f t="shared" si="6"/>
        <v/>
      </c>
      <c r="F46" s="44" t="str">
        <f t="shared" si="7"/>
        <v/>
      </c>
      <c r="H46" s="63">
        <v>8</v>
      </c>
      <c r="I46" s="90" t="s">
        <v>157</v>
      </c>
      <c r="J46" s="90" t="s">
        <v>214</v>
      </c>
      <c r="K46" s="35"/>
      <c r="L46" s="44" t="str">
        <f t="shared" si="8"/>
        <v/>
      </c>
      <c r="M46" s="44" t="str">
        <f t="shared" si="9"/>
        <v/>
      </c>
    </row>
    <row r="47" spans="1:13" x14ac:dyDescent="0.25">
      <c r="A47" s="63">
        <v>9</v>
      </c>
      <c r="B47" s="90" t="s">
        <v>157</v>
      </c>
      <c r="C47" s="63" t="s">
        <v>47</v>
      </c>
      <c r="D47" s="35"/>
      <c r="E47" s="44" t="str">
        <f t="shared" si="6"/>
        <v/>
      </c>
      <c r="F47" s="44" t="str">
        <f t="shared" si="7"/>
        <v/>
      </c>
      <c r="H47" s="63">
        <v>9</v>
      </c>
      <c r="I47" s="90" t="s">
        <v>157</v>
      </c>
      <c r="J47" s="90" t="s">
        <v>214</v>
      </c>
      <c r="K47" s="35"/>
      <c r="L47" s="44" t="str">
        <f t="shared" si="8"/>
        <v/>
      </c>
      <c r="M47" s="44" t="str">
        <f t="shared" si="9"/>
        <v/>
      </c>
    </row>
    <row r="48" spans="1:13" x14ac:dyDescent="0.25">
      <c r="A48" s="63">
        <v>10</v>
      </c>
      <c r="B48" s="90" t="s">
        <v>157</v>
      </c>
      <c r="C48" s="63" t="s">
        <v>47</v>
      </c>
      <c r="D48" s="35"/>
      <c r="E48" s="44" t="str">
        <f t="shared" si="6"/>
        <v/>
      </c>
      <c r="F48" s="44" t="str">
        <f t="shared" si="7"/>
        <v/>
      </c>
      <c r="H48" s="63">
        <v>10</v>
      </c>
      <c r="I48" s="90" t="s">
        <v>157</v>
      </c>
      <c r="J48" s="90" t="s">
        <v>214</v>
      </c>
      <c r="K48" s="35"/>
      <c r="L48" s="44" t="str">
        <f t="shared" si="8"/>
        <v/>
      </c>
      <c r="M48" s="44" t="str">
        <f t="shared" si="9"/>
        <v/>
      </c>
    </row>
    <row r="49" spans="1:13" x14ac:dyDescent="0.25">
      <c r="A49" s="63">
        <v>11</v>
      </c>
      <c r="B49" s="90" t="s">
        <v>157</v>
      </c>
      <c r="C49" s="63" t="s">
        <v>47</v>
      </c>
      <c r="D49" s="35"/>
      <c r="E49" s="44" t="str">
        <f t="shared" si="6"/>
        <v/>
      </c>
      <c r="F49" s="44" t="str">
        <f t="shared" si="7"/>
        <v/>
      </c>
      <c r="H49" s="63">
        <v>11</v>
      </c>
      <c r="I49" s="90" t="s">
        <v>157</v>
      </c>
      <c r="J49" s="90" t="s">
        <v>214</v>
      </c>
      <c r="K49" s="35"/>
      <c r="L49" s="44" t="str">
        <f t="shared" si="8"/>
        <v/>
      </c>
      <c r="M49" s="44" t="str">
        <f t="shared" si="9"/>
        <v/>
      </c>
    </row>
    <row r="50" spans="1:13" x14ac:dyDescent="0.25">
      <c r="A50" s="63">
        <v>12</v>
      </c>
      <c r="B50" s="90" t="s">
        <v>157</v>
      </c>
      <c r="C50" s="63" t="s">
        <v>47</v>
      </c>
      <c r="D50" s="35"/>
      <c r="E50" s="44" t="str">
        <f t="shared" si="6"/>
        <v/>
      </c>
      <c r="F50" s="44" t="str">
        <f t="shared" si="7"/>
        <v/>
      </c>
      <c r="H50" s="63">
        <v>12</v>
      </c>
      <c r="I50" s="90" t="s">
        <v>157</v>
      </c>
      <c r="J50" s="90" t="s">
        <v>214</v>
      </c>
      <c r="K50" s="35"/>
      <c r="L50" s="44" t="str">
        <f t="shared" si="8"/>
        <v/>
      </c>
      <c r="M50" s="44" t="str">
        <f t="shared" si="9"/>
        <v/>
      </c>
    </row>
    <row r="51" spans="1:13" x14ac:dyDescent="0.25">
      <c r="A51" s="63">
        <v>13</v>
      </c>
      <c r="B51" s="90" t="s">
        <v>157</v>
      </c>
      <c r="C51" s="63" t="s">
        <v>47</v>
      </c>
      <c r="D51" s="35"/>
      <c r="E51" s="44" t="str">
        <f t="shared" si="6"/>
        <v/>
      </c>
      <c r="F51" s="44" t="str">
        <f t="shared" si="7"/>
        <v/>
      </c>
      <c r="H51" s="63">
        <v>13</v>
      </c>
      <c r="I51" s="90" t="s">
        <v>157</v>
      </c>
      <c r="J51" s="90" t="s">
        <v>214</v>
      </c>
      <c r="K51" s="35"/>
      <c r="L51" s="44" t="str">
        <f t="shared" si="8"/>
        <v/>
      </c>
      <c r="M51" s="44" t="str">
        <f t="shared" si="9"/>
        <v/>
      </c>
    </row>
    <row r="52" spans="1:13" x14ac:dyDescent="0.25">
      <c r="A52" s="63">
        <v>14</v>
      </c>
      <c r="B52" s="90" t="s">
        <v>157</v>
      </c>
      <c r="C52" s="63" t="s">
        <v>47</v>
      </c>
      <c r="D52" s="35"/>
      <c r="E52" s="44" t="str">
        <f t="shared" si="6"/>
        <v/>
      </c>
      <c r="F52" s="44" t="str">
        <f t="shared" si="7"/>
        <v/>
      </c>
      <c r="H52" s="63">
        <v>14</v>
      </c>
      <c r="I52" s="90" t="s">
        <v>157</v>
      </c>
      <c r="J52" s="90" t="s">
        <v>214</v>
      </c>
      <c r="K52" s="35"/>
      <c r="L52" s="44" t="str">
        <f t="shared" si="8"/>
        <v/>
      </c>
      <c r="M52" s="44" t="str">
        <f t="shared" si="9"/>
        <v/>
      </c>
    </row>
    <row r="53" spans="1:13" x14ac:dyDescent="0.25">
      <c r="A53" s="63">
        <v>15</v>
      </c>
      <c r="B53" s="90" t="s">
        <v>157</v>
      </c>
      <c r="C53" s="63" t="s">
        <v>47</v>
      </c>
      <c r="D53" s="35"/>
      <c r="E53" s="44" t="str">
        <f t="shared" si="6"/>
        <v/>
      </c>
      <c r="F53" s="44" t="str">
        <f t="shared" si="7"/>
        <v/>
      </c>
      <c r="H53" s="63">
        <v>15</v>
      </c>
      <c r="I53" s="90" t="s">
        <v>157</v>
      </c>
      <c r="J53" s="90" t="s">
        <v>214</v>
      </c>
      <c r="K53" s="35"/>
      <c r="L53" s="44" t="str">
        <f t="shared" si="8"/>
        <v/>
      </c>
      <c r="M53" s="44" t="str">
        <f t="shared" si="9"/>
        <v/>
      </c>
    </row>
    <row r="54" spans="1:13" x14ac:dyDescent="0.25">
      <c r="A54" s="63">
        <v>16</v>
      </c>
      <c r="B54" s="90" t="s">
        <v>157</v>
      </c>
      <c r="C54" s="63" t="s">
        <v>47</v>
      </c>
      <c r="D54" s="35"/>
      <c r="E54" s="44" t="str">
        <f t="shared" si="6"/>
        <v/>
      </c>
      <c r="F54" s="44" t="str">
        <f t="shared" si="7"/>
        <v/>
      </c>
      <c r="H54" s="63">
        <v>16</v>
      </c>
      <c r="I54" s="90" t="s">
        <v>157</v>
      </c>
      <c r="J54" s="90" t="s">
        <v>214</v>
      </c>
      <c r="K54" s="35"/>
      <c r="L54" s="44" t="str">
        <f t="shared" si="8"/>
        <v/>
      </c>
      <c r="M54" s="44" t="str">
        <f t="shared" si="9"/>
        <v/>
      </c>
    </row>
    <row r="55" spans="1:13" x14ac:dyDescent="0.25">
      <c r="A55" s="63">
        <v>17</v>
      </c>
      <c r="B55" s="90" t="s">
        <v>157</v>
      </c>
      <c r="C55" s="63" t="s">
        <v>47</v>
      </c>
      <c r="D55" s="35"/>
      <c r="E55" s="44" t="str">
        <f t="shared" si="6"/>
        <v/>
      </c>
      <c r="F55" s="44" t="str">
        <f t="shared" si="7"/>
        <v/>
      </c>
      <c r="H55" s="63">
        <v>17</v>
      </c>
      <c r="I55" s="90" t="s">
        <v>157</v>
      </c>
      <c r="J55" s="90" t="s">
        <v>214</v>
      </c>
      <c r="K55" s="35"/>
      <c r="L55" s="44" t="str">
        <f t="shared" si="8"/>
        <v/>
      </c>
      <c r="M55" s="44" t="str">
        <f t="shared" si="9"/>
        <v/>
      </c>
    </row>
    <row r="56" spans="1:13" x14ac:dyDescent="0.25">
      <c r="A56" s="63">
        <v>18</v>
      </c>
      <c r="B56" s="90" t="s">
        <v>157</v>
      </c>
      <c r="C56" s="63" t="s">
        <v>47</v>
      </c>
      <c r="D56" s="35"/>
      <c r="E56" s="44" t="str">
        <f t="shared" si="6"/>
        <v/>
      </c>
      <c r="F56" s="44" t="str">
        <f t="shared" si="7"/>
        <v/>
      </c>
      <c r="H56" s="63">
        <v>18</v>
      </c>
      <c r="I56" s="90" t="s">
        <v>157</v>
      </c>
      <c r="J56" s="90" t="s">
        <v>214</v>
      </c>
      <c r="K56" s="35"/>
      <c r="L56" s="44" t="str">
        <f t="shared" si="8"/>
        <v/>
      </c>
      <c r="M56" s="44" t="str">
        <f t="shared" si="9"/>
        <v/>
      </c>
    </row>
    <row r="57" spans="1:13" x14ac:dyDescent="0.25">
      <c r="A57" s="63">
        <v>19</v>
      </c>
      <c r="B57" s="90" t="s">
        <v>157</v>
      </c>
      <c r="C57" s="63" t="s">
        <v>47</v>
      </c>
      <c r="D57" s="35"/>
      <c r="E57" s="44" t="str">
        <f t="shared" si="6"/>
        <v/>
      </c>
      <c r="F57" s="44" t="str">
        <f t="shared" si="7"/>
        <v/>
      </c>
      <c r="H57" s="63">
        <v>19</v>
      </c>
      <c r="I57" s="90" t="s">
        <v>157</v>
      </c>
      <c r="J57" s="90" t="s">
        <v>214</v>
      </c>
      <c r="K57" s="35"/>
      <c r="L57" s="44" t="str">
        <f>IF(K57&gt;0,VLOOKUP(K57,Jumpers,3),"")</f>
        <v/>
      </c>
      <c r="M57" s="44" t="str">
        <f>IF(K57&gt;0,VLOOKUP(K57,Jumpers,2),"")</f>
        <v/>
      </c>
    </row>
    <row r="58" spans="1:13" x14ac:dyDescent="0.25">
      <c r="A58" s="63">
        <v>20</v>
      </c>
      <c r="B58" s="90" t="s">
        <v>157</v>
      </c>
      <c r="C58" s="63" t="s">
        <v>47</v>
      </c>
      <c r="D58" s="35"/>
      <c r="E58" s="44" t="str">
        <f t="shared" si="6"/>
        <v/>
      </c>
      <c r="F58" s="44" t="str">
        <f t="shared" si="7"/>
        <v/>
      </c>
      <c r="H58" s="63">
        <v>20</v>
      </c>
      <c r="I58" s="90" t="s">
        <v>157</v>
      </c>
      <c r="J58" s="90" t="s">
        <v>214</v>
      </c>
      <c r="K58" s="35"/>
      <c r="L58" s="44" t="str">
        <f t="shared" si="8"/>
        <v/>
      </c>
      <c r="M58" s="44" t="str">
        <f t="shared" si="9"/>
        <v/>
      </c>
    </row>
    <row r="59" spans="1:13" x14ac:dyDescent="0.25">
      <c r="A59" s="38" t="s">
        <v>219</v>
      </c>
      <c r="B59" s="54"/>
      <c r="C59" s="54"/>
      <c r="D59" s="38"/>
      <c r="E59" s="38"/>
      <c r="F59" s="38"/>
      <c r="H59" s="38" t="s">
        <v>218</v>
      </c>
      <c r="I59" s="54"/>
      <c r="J59" s="54"/>
      <c r="K59" s="38"/>
      <c r="L59" s="38"/>
      <c r="M59" s="38"/>
    </row>
    <row r="60" spans="1:13" ht="23.25" x14ac:dyDescent="0.25">
      <c r="A60" s="39" t="s">
        <v>0</v>
      </c>
      <c r="B60" s="39" t="s">
        <v>55</v>
      </c>
      <c r="C60" s="39" t="s">
        <v>56</v>
      </c>
      <c r="D60" s="55" t="s">
        <v>8</v>
      </c>
      <c r="E60" s="39" t="s">
        <v>2</v>
      </c>
      <c r="F60" s="39" t="s">
        <v>1</v>
      </c>
      <c r="H60" s="39" t="s">
        <v>0</v>
      </c>
      <c r="I60" s="39" t="s">
        <v>55</v>
      </c>
      <c r="J60" s="39" t="s">
        <v>56</v>
      </c>
      <c r="K60" s="55" t="s">
        <v>8</v>
      </c>
      <c r="L60" s="39" t="s">
        <v>2</v>
      </c>
      <c r="M60" s="39" t="s">
        <v>1</v>
      </c>
    </row>
    <row r="61" spans="1:13" x14ac:dyDescent="0.25">
      <c r="A61" s="52">
        <v>1</v>
      </c>
      <c r="B61" s="90" t="s">
        <v>157</v>
      </c>
      <c r="C61" s="90" t="s">
        <v>215</v>
      </c>
      <c r="D61" s="35"/>
      <c r="E61" s="44" t="str">
        <f>IF(D61&gt;0,VLOOKUP(D61,Jumpers,3),"")</f>
        <v/>
      </c>
      <c r="F61" s="44" t="str">
        <f>IF(D61&gt;0,VLOOKUP(D61,Jumpers,2),"")</f>
        <v/>
      </c>
      <c r="H61" s="52">
        <v>1</v>
      </c>
      <c r="I61" s="90" t="s">
        <v>157</v>
      </c>
      <c r="J61" s="90" t="s">
        <v>216</v>
      </c>
      <c r="K61" s="35"/>
      <c r="L61" s="44" t="str">
        <f t="shared" ref="L61:L70" si="10">IF(K61&gt;0,VLOOKUP(K61,Jumpers,3),"")</f>
        <v/>
      </c>
      <c r="M61" s="44" t="str">
        <f t="shared" ref="M61:M70" si="11">IF(K61&gt;0,VLOOKUP(K61,Jumpers,2),"")</f>
        <v/>
      </c>
    </row>
    <row r="62" spans="1:13" x14ac:dyDescent="0.25">
      <c r="A62" s="52">
        <v>2</v>
      </c>
      <c r="B62" s="90" t="s">
        <v>157</v>
      </c>
      <c r="C62" s="90" t="s">
        <v>215</v>
      </c>
      <c r="D62" s="35"/>
      <c r="E62" s="44" t="str">
        <f t="shared" ref="E62:E70" si="12">IF(D62&gt;0,VLOOKUP(D62,Jumpers,3),"")</f>
        <v/>
      </c>
      <c r="F62" s="44" t="str">
        <f t="shared" ref="F62:F70" si="13">IF(D62&gt;0,VLOOKUP(D62,Jumpers,2),"")</f>
        <v/>
      </c>
      <c r="H62" s="52">
        <v>2</v>
      </c>
      <c r="I62" s="90" t="s">
        <v>157</v>
      </c>
      <c r="J62" s="90" t="s">
        <v>216</v>
      </c>
      <c r="K62" s="35"/>
      <c r="L62" s="44" t="str">
        <f t="shared" si="10"/>
        <v/>
      </c>
      <c r="M62" s="44" t="str">
        <f t="shared" si="11"/>
        <v/>
      </c>
    </row>
    <row r="63" spans="1:13" x14ac:dyDescent="0.25">
      <c r="A63" s="52">
        <v>3</v>
      </c>
      <c r="B63" s="90" t="s">
        <v>157</v>
      </c>
      <c r="C63" s="90" t="s">
        <v>215</v>
      </c>
      <c r="D63" s="35"/>
      <c r="E63" s="44" t="str">
        <f t="shared" si="12"/>
        <v/>
      </c>
      <c r="F63" s="44" t="str">
        <f t="shared" si="13"/>
        <v/>
      </c>
      <c r="H63" s="52">
        <v>3</v>
      </c>
      <c r="I63" s="90" t="s">
        <v>157</v>
      </c>
      <c r="J63" s="90" t="s">
        <v>216</v>
      </c>
      <c r="K63" s="35"/>
      <c r="L63" s="44" t="str">
        <f t="shared" si="10"/>
        <v/>
      </c>
      <c r="M63" s="44" t="str">
        <f t="shared" si="11"/>
        <v/>
      </c>
    </row>
    <row r="64" spans="1:13" x14ac:dyDescent="0.25">
      <c r="A64" s="52">
        <v>4</v>
      </c>
      <c r="B64" s="90" t="s">
        <v>157</v>
      </c>
      <c r="C64" s="90" t="s">
        <v>215</v>
      </c>
      <c r="D64" s="35"/>
      <c r="E64" s="44" t="str">
        <f t="shared" si="12"/>
        <v/>
      </c>
      <c r="F64" s="44" t="str">
        <f t="shared" si="13"/>
        <v/>
      </c>
      <c r="H64" s="52">
        <v>4</v>
      </c>
      <c r="I64" s="90" t="s">
        <v>157</v>
      </c>
      <c r="J64" s="90" t="s">
        <v>216</v>
      </c>
      <c r="K64" s="35"/>
      <c r="L64" s="44" t="str">
        <f t="shared" si="10"/>
        <v/>
      </c>
      <c r="M64" s="44" t="str">
        <f t="shared" si="11"/>
        <v/>
      </c>
    </row>
    <row r="65" spans="1:13" x14ac:dyDescent="0.25">
      <c r="A65" s="52">
        <v>5</v>
      </c>
      <c r="B65" s="90" t="s">
        <v>157</v>
      </c>
      <c r="C65" s="90" t="s">
        <v>215</v>
      </c>
      <c r="D65" s="35"/>
      <c r="E65" s="44" t="str">
        <f t="shared" si="12"/>
        <v/>
      </c>
      <c r="F65" s="44" t="str">
        <f t="shared" si="13"/>
        <v/>
      </c>
      <c r="H65" s="52">
        <v>5</v>
      </c>
      <c r="I65" s="90" t="s">
        <v>157</v>
      </c>
      <c r="J65" s="90" t="s">
        <v>216</v>
      </c>
      <c r="K65" s="35"/>
      <c r="L65" s="44" t="str">
        <f t="shared" si="10"/>
        <v/>
      </c>
      <c r="M65" s="44" t="str">
        <f t="shared" si="11"/>
        <v/>
      </c>
    </row>
    <row r="66" spans="1:13" x14ac:dyDescent="0.25">
      <c r="A66" s="52">
        <v>6</v>
      </c>
      <c r="B66" s="90" t="s">
        <v>157</v>
      </c>
      <c r="C66" s="90" t="s">
        <v>215</v>
      </c>
      <c r="D66" s="35"/>
      <c r="E66" s="44" t="str">
        <f t="shared" si="12"/>
        <v/>
      </c>
      <c r="F66" s="44" t="str">
        <f t="shared" si="13"/>
        <v/>
      </c>
      <c r="H66" s="52">
        <v>6</v>
      </c>
      <c r="I66" s="90" t="s">
        <v>157</v>
      </c>
      <c r="J66" s="90" t="s">
        <v>216</v>
      </c>
      <c r="K66" s="35"/>
      <c r="L66" s="44" t="str">
        <f t="shared" si="10"/>
        <v/>
      </c>
      <c r="M66" s="44" t="str">
        <f t="shared" si="11"/>
        <v/>
      </c>
    </row>
    <row r="67" spans="1:13" x14ac:dyDescent="0.25">
      <c r="A67" s="52">
        <v>7</v>
      </c>
      <c r="B67" s="90" t="s">
        <v>157</v>
      </c>
      <c r="C67" s="90" t="s">
        <v>215</v>
      </c>
      <c r="D67" s="35"/>
      <c r="E67" s="44" t="str">
        <f t="shared" si="12"/>
        <v/>
      </c>
      <c r="F67" s="44" t="str">
        <f t="shared" si="13"/>
        <v/>
      </c>
      <c r="H67" s="52">
        <v>7</v>
      </c>
      <c r="I67" s="90" t="s">
        <v>157</v>
      </c>
      <c r="J67" s="90" t="s">
        <v>216</v>
      </c>
      <c r="K67" s="35"/>
      <c r="L67" s="44" t="str">
        <f t="shared" si="10"/>
        <v/>
      </c>
      <c r="M67" s="44" t="str">
        <f t="shared" si="11"/>
        <v/>
      </c>
    </row>
    <row r="68" spans="1:13" x14ac:dyDescent="0.25">
      <c r="A68" s="52">
        <v>8</v>
      </c>
      <c r="B68" s="90" t="s">
        <v>157</v>
      </c>
      <c r="C68" s="90" t="s">
        <v>215</v>
      </c>
      <c r="D68" s="141"/>
      <c r="E68" s="152"/>
      <c r="F68" s="152"/>
      <c r="H68" s="52">
        <v>8</v>
      </c>
      <c r="I68" s="90" t="s">
        <v>157</v>
      </c>
      <c r="J68" s="90" t="s">
        <v>216</v>
      </c>
      <c r="K68" s="141"/>
      <c r="L68" s="152"/>
      <c r="M68" s="152"/>
    </row>
    <row r="69" spans="1:13" x14ac:dyDescent="0.25">
      <c r="A69" s="52">
        <v>9</v>
      </c>
      <c r="B69" s="90" t="s">
        <v>157</v>
      </c>
      <c r="C69" s="90" t="s">
        <v>215</v>
      </c>
      <c r="D69" s="141"/>
      <c r="E69" s="152"/>
      <c r="F69" s="152"/>
      <c r="H69" s="52">
        <v>9</v>
      </c>
      <c r="I69" s="90" t="s">
        <v>157</v>
      </c>
      <c r="J69" s="90" t="s">
        <v>216</v>
      </c>
      <c r="K69" s="141"/>
      <c r="L69" s="152"/>
      <c r="M69" s="152"/>
    </row>
    <row r="70" spans="1:13" x14ac:dyDescent="0.25">
      <c r="A70" s="52">
        <v>10</v>
      </c>
      <c r="B70" s="90" t="s">
        <v>157</v>
      </c>
      <c r="C70" s="90" t="s">
        <v>215</v>
      </c>
      <c r="D70" s="35"/>
      <c r="E70" s="44" t="str">
        <f t="shared" si="12"/>
        <v/>
      </c>
      <c r="F70" s="44" t="str">
        <f t="shared" si="13"/>
        <v/>
      </c>
      <c r="H70" s="52">
        <v>10</v>
      </c>
      <c r="I70" s="90" t="s">
        <v>157</v>
      </c>
      <c r="J70" s="90" t="s">
        <v>216</v>
      </c>
      <c r="K70" s="35"/>
      <c r="L70" s="44" t="str">
        <f t="shared" si="10"/>
        <v/>
      </c>
      <c r="M70" s="44" t="str">
        <f t="shared" si="11"/>
        <v/>
      </c>
    </row>
    <row r="71" spans="1:13" x14ac:dyDescent="0.25">
      <c r="A71" s="38" t="s">
        <v>12</v>
      </c>
      <c r="B71" s="54"/>
      <c r="C71" s="54"/>
      <c r="D71" s="38"/>
      <c r="E71" s="38"/>
      <c r="F71" s="38"/>
      <c r="H71" s="38" t="s">
        <v>58</v>
      </c>
      <c r="I71" s="54"/>
      <c r="J71" s="54"/>
      <c r="K71" s="38"/>
      <c r="L71" s="38"/>
      <c r="M71" s="38"/>
    </row>
    <row r="72" spans="1:13" ht="23.25" x14ac:dyDescent="0.25">
      <c r="A72" s="39" t="s">
        <v>0</v>
      </c>
      <c r="B72" s="39" t="s">
        <v>55</v>
      </c>
      <c r="C72" s="39" t="s">
        <v>56</v>
      </c>
      <c r="D72" s="55" t="s">
        <v>8</v>
      </c>
      <c r="E72" s="39" t="s">
        <v>2</v>
      </c>
      <c r="F72" s="39" t="s">
        <v>1</v>
      </c>
      <c r="H72" s="39" t="s">
        <v>0</v>
      </c>
      <c r="I72" s="39" t="s">
        <v>55</v>
      </c>
      <c r="J72" s="39" t="s">
        <v>56</v>
      </c>
      <c r="K72" s="55" t="s">
        <v>8</v>
      </c>
      <c r="L72" s="39" t="s">
        <v>2</v>
      </c>
      <c r="M72" s="39" t="s">
        <v>1</v>
      </c>
    </row>
    <row r="73" spans="1:13" x14ac:dyDescent="0.25">
      <c r="A73" s="52">
        <v>1</v>
      </c>
      <c r="B73" s="90" t="s">
        <v>157</v>
      </c>
      <c r="C73" s="90" t="s">
        <v>50</v>
      </c>
      <c r="D73" s="35"/>
      <c r="E73" s="44" t="str">
        <f>IF(D73&gt;0,VLOOKUP(D73,Jumpers,3),"")</f>
        <v/>
      </c>
      <c r="F73" s="44" t="str">
        <f>IF(D73&gt;0,VLOOKUP(D73,Jumpers,2),"")</f>
        <v/>
      </c>
      <c r="H73" s="52">
        <v>1</v>
      </c>
      <c r="I73" s="90" t="s">
        <v>157</v>
      </c>
      <c r="J73" s="63" t="s">
        <v>51</v>
      </c>
      <c r="K73" s="35"/>
      <c r="L73" s="44" t="str">
        <f>IF(K73&gt;0,VLOOKUP(K73,Jumpers,3),"")</f>
        <v/>
      </c>
      <c r="M73" s="44" t="str">
        <f>IF(K73&gt;0,VLOOKUP(K73,Jumpers,2),"")</f>
        <v/>
      </c>
    </row>
    <row r="74" spans="1:13" x14ac:dyDescent="0.25">
      <c r="A74" s="52">
        <v>2</v>
      </c>
      <c r="B74" s="90" t="s">
        <v>157</v>
      </c>
      <c r="C74" s="90" t="s">
        <v>50</v>
      </c>
      <c r="D74" s="35"/>
      <c r="E74" s="44" t="str">
        <f>IF(D74&gt;0,VLOOKUP(D74,Jumpers,3),"")</f>
        <v/>
      </c>
      <c r="F74" s="44" t="str">
        <f>IF(D74&gt;0,VLOOKUP(D74,Jumpers,2),"")</f>
        <v/>
      </c>
      <c r="H74" s="52">
        <v>2</v>
      </c>
      <c r="I74" s="90" t="s">
        <v>157</v>
      </c>
      <c r="J74" s="63" t="s">
        <v>51</v>
      </c>
      <c r="K74" s="35"/>
      <c r="L74" s="44" t="str">
        <f>IF(K74&gt;0,VLOOKUP(K74,Jumpers,3),"")</f>
        <v/>
      </c>
      <c r="M74" s="44" t="str">
        <f>IF(K74&gt;0,VLOOKUP(K74,Jumpers,2),"")</f>
        <v/>
      </c>
    </row>
    <row r="75" spans="1:13" x14ac:dyDescent="0.25">
      <c r="A75" s="52">
        <v>3</v>
      </c>
      <c r="B75" s="90" t="s">
        <v>157</v>
      </c>
      <c r="C75" s="90" t="s">
        <v>50</v>
      </c>
      <c r="D75" s="35"/>
      <c r="E75" s="44" t="str">
        <f>IF(D75&gt;0,VLOOKUP(D75,Jumpers,3),"")</f>
        <v/>
      </c>
      <c r="F75" s="44" t="str">
        <f>IF(D75&gt;0,VLOOKUP(D75,Jumpers,2),"")</f>
        <v/>
      </c>
      <c r="H75" s="52">
        <v>3</v>
      </c>
      <c r="I75" s="90" t="s">
        <v>157</v>
      </c>
      <c r="J75" s="63" t="s">
        <v>51</v>
      </c>
      <c r="K75" s="35"/>
      <c r="L75" s="44" t="str">
        <f>IF(K75&gt;0,VLOOKUP(K75,Jumpers,3),"")</f>
        <v/>
      </c>
      <c r="M75" s="44" t="str">
        <f>IF(K75&gt;0,VLOOKUP(K75,Jumpers,2),"")</f>
        <v/>
      </c>
    </row>
    <row r="76" spans="1:13" x14ac:dyDescent="0.25">
      <c r="A76" s="52">
        <v>4</v>
      </c>
      <c r="B76" s="90" t="s">
        <v>157</v>
      </c>
      <c r="C76" s="90" t="s">
        <v>50</v>
      </c>
      <c r="D76" s="35"/>
      <c r="E76" s="44" t="str">
        <f>IF(D76&gt;0,VLOOKUP(D76,Jumpers,3),"")</f>
        <v/>
      </c>
      <c r="F76" s="44" t="str">
        <f>IF(D76&gt;0,VLOOKUP(D76,Jumpers,2),"")</f>
        <v/>
      </c>
      <c r="H76" s="52">
        <v>4</v>
      </c>
      <c r="I76" s="90" t="s">
        <v>157</v>
      </c>
      <c r="J76" s="63" t="s">
        <v>51</v>
      </c>
      <c r="K76" s="35"/>
      <c r="L76" s="44" t="str">
        <f>IF(K76&gt;0,VLOOKUP(K76,Jumpers,3),"")</f>
        <v/>
      </c>
      <c r="M76" s="44" t="str">
        <f>IF(K76&gt;0,VLOOKUP(K76,Jumpers,2),"")</f>
        <v/>
      </c>
    </row>
    <row r="77" spans="1:13" x14ac:dyDescent="0.25">
      <c r="A77" s="52">
        <v>5</v>
      </c>
      <c r="B77" s="90" t="s">
        <v>157</v>
      </c>
      <c r="C77" s="90" t="s">
        <v>50</v>
      </c>
      <c r="D77" s="35"/>
      <c r="E77" s="44" t="str">
        <f>IF(D77&gt;0,VLOOKUP(D77,Jumpers,3),"")</f>
        <v/>
      </c>
      <c r="F77" s="44" t="str">
        <f>IF(D77&gt;0,VLOOKUP(D77,Jumpers,2),"")</f>
        <v/>
      </c>
      <c r="H77" s="52">
        <v>5</v>
      </c>
      <c r="I77" s="90" t="s">
        <v>157</v>
      </c>
      <c r="J77" s="63" t="s">
        <v>51</v>
      </c>
      <c r="K77" s="35"/>
      <c r="L77" s="44" t="str">
        <f>IF(K77&gt;0,VLOOKUP(K77,Jumpers,3),"")</f>
        <v/>
      </c>
      <c r="M77" s="44" t="str">
        <f>IF(K77&gt;0,VLOOKUP(K77,Jumpers,2),"")</f>
        <v/>
      </c>
    </row>
    <row r="78" spans="1:13" x14ac:dyDescent="0.25">
      <c r="A78" s="38" t="s">
        <v>13</v>
      </c>
      <c r="B78" s="54"/>
      <c r="C78" s="54"/>
      <c r="D78" s="38"/>
      <c r="E78" s="38"/>
      <c r="F78" s="38"/>
    </row>
    <row r="79" spans="1:13" ht="23.25" x14ac:dyDescent="0.25">
      <c r="A79" s="39" t="s">
        <v>0</v>
      </c>
      <c r="B79" s="39" t="s">
        <v>55</v>
      </c>
      <c r="C79" s="39" t="s">
        <v>56</v>
      </c>
      <c r="D79" s="55" t="s">
        <v>8</v>
      </c>
      <c r="E79" s="39" t="s">
        <v>2</v>
      </c>
      <c r="F79" s="39" t="s">
        <v>1</v>
      </c>
    </row>
    <row r="80" spans="1:13" x14ac:dyDescent="0.25">
      <c r="A80" s="52">
        <v>1</v>
      </c>
      <c r="B80" s="90" t="s">
        <v>157</v>
      </c>
      <c r="C80" s="63" t="s">
        <v>52</v>
      </c>
      <c r="D80" s="35"/>
      <c r="E80" s="44" t="str">
        <f>IF(D80&gt;0,VLOOKUP(D80,Jumpers,3),"")</f>
        <v/>
      </c>
      <c r="F80" s="44" t="str">
        <f>IF(D80&gt;0,VLOOKUP(D80,Jumpers,2),"")</f>
        <v/>
      </c>
    </row>
    <row r="81" spans="1:6" x14ac:dyDescent="0.25">
      <c r="A81" s="52">
        <v>2</v>
      </c>
      <c r="B81" s="90" t="s">
        <v>157</v>
      </c>
      <c r="C81" s="63" t="s">
        <v>52</v>
      </c>
      <c r="D81" s="35"/>
      <c r="E81" s="44" t="str">
        <f>IF(D81&gt;0,VLOOKUP(D81,Jumpers,3),"")</f>
        <v/>
      </c>
      <c r="F81" s="44" t="str">
        <f>IF(D81&gt;0,VLOOKUP(D81,Jumpers,2),"")</f>
        <v/>
      </c>
    </row>
    <row r="82" spans="1:6" x14ac:dyDescent="0.25">
      <c r="A82" s="52">
        <v>3</v>
      </c>
      <c r="B82" s="90" t="s">
        <v>157</v>
      </c>
      <c r="C82" s="63" t="s">
        <v>52</v>
      </c>
      <c r="D82" s="35"/>
      <c r="E82" s="44" t="str">
        <f>IF(D82&gt;0,VLOOKUP(D82,Jumpers,3),"")</f>
        <v/>
      </c>
      <c r="F82" s="44" t="str">
        <f>IF(D82&gt;0,VLOOKUP(D82,Jumpers,2),"")</f>
        <v/>
      </c>
    </row>
    <row r="83" spans="1:6" x14ac:dyDescent="0.25">
      <c r="A83" s="52">
        <v>4</v>
      </c>
      <c r="B83" s="90" t="s">
        <v>157</v>
      </c>
      <c r="C83" s="63" t="s">
        <v>52</v>
      </c>
      <c r="D83" s="35"/>
      <c r="E83" s="44" t="str">
        <f>IF(D83&gt;0,VLOOKUP(D83,Jumpers,3),"")</f>
        <v/>
      </c>
      <c r="F83" s="44" t="str">
        <f>IF(D83&gt;0,VLOOKUP(D83,Jumpers,2),"")</f>
        <v/>
      </c>
    </row>
    <row r="84" spans="1:6" x14ac:dyDescent="0.25">
      <c r="A84" s="52">
        <v>5</v>
      </c>
      <c r="B84" s="90" t="s">
        <v>157</v>
      </c>
      <c r="C84" s="63" t="s">
        <v>52</v>
      </c>
      <c r="D84" s="35"/>
      <c r="E84" s="44" t="str">
        <f>IF(D84&gt;0,VLOOKUP(D84,Jumpers,3),"")</f>
        <v/>
      </c>
      <c r="F84" s="44" t="str">
        <f>IF(D84&gt;0,VLOOKUP(D84,Jumpers,2),"")</f>
        <v/>
      </c>
    </row>
  </sheetData>
  <sheetProtection password="CE88" sheet="1" objects="1" scenarios="1" selectLockedCells="1"/>
  <mergeCells count="1">
    <mergeCell ref="I4:N7"/>
  </mergeCells>
  <phoneticPr fontId="26" type="noConversion"/>
  <conditionalFormatting sqref="K17:K36">
    <cfRule type="expression" dxfId="507" priority="9" stopIfTrue="1">
      <formula>OR(CODE(K17)&lt;48,CODE(K17)&gt;57)</formula>
    </cfRule>
    <cfRule type="expression" dxfId="506" priority="26" stopIfTrue="1">
      <formula>VLOOKUP(K17,Jumpers,5)&lt;&gt;LEFT($A$1,1)</formula>
    </cfRule>
    <cfRule type="expression" dxfId="505" priority="27" stopIfTrue="1">
      <formula>OR(VLOOKUP(K17,Jumpers,7)&lt;11,VLOOKUP(K17,Jumpers,7)&gt;12)</formula>
    </cfRule>
  </conditionalFormatting>
  <conditionalFormatting sqref="D39:D58">
    <cfRule type="expression" dxfId="504" priority="8" stopIfTrue="1">
      <formula>OR(CODE(D39)&lt;48,CODE(D39)&gt;57)</formula>
    </cfRule>
    <cfRule type="expression" dxfId="503" priority="24" stopIfTrue="1">
      <formula>VLOOKUP(D39,Jumpers,5)&lt;&gt;LEFT($A$1,1)</formula>
    </cfRule>
    <cfRule type="expression" dxfId="502" priority="25" stopIfTrue="1">
      <formula>OR(VLOOKUP(D39,Jumpers,7)&lt;13,VLOOKUP(D39,Jumpers,7)&gt;14)</formula>
    </cfRule>
  </conditionalFormatting>
  <conditionalFormatting sqref="K39:K58">
    <cfRule type="expression" dxfId="501" priority="7" stopIfTrue="1">
      <formula>OR(CODE(K39)&lt;48,CODE(K39)&gt;57)</formula>
    </cfRule>
    <cfRule type="expression" dxfId="500" priority="22" stopIfTrue="1">
      <formula>VLOOKUP(K39,Jumpers,5)&lt;&gt;LEFT($A$1,1)</formula>
    </cfRule>
    <cfRule type="expression" dxfId="499" priority="23" stopIfTrue="1">
      <formula>OR(VLOOKUP(K39,Jumpers,7)&lt;15,VLOOKUP(K39,Jumpers,7)&gt;17)</formula>
    </cfRule>
  </conditionalFormatting>
  <conditionalFormatting sqref="D61:D70">
    <cfRule type="expression" dxfId="498" priority="6" stopIfTrue="1">
      <formula>OR(CODE(D61)&lt;48,CODE(D61)&gt;57)</formula>
    </cfRule>
    <cfRule type="expression" dxfId="497" priority="20" stopIfTrue="1">
      <formula>VLOOKUP(D61,Jumpers,5)&lt;&gt;LEFT($A$1,1)</formula>
    </cfRule>
    <cfRule type="expression" dxfId="496" priority="21" stopIfTrue="1">
      <formula>VLOOKUP(D61,Jumpers,8)&lt;&gt;C61</formula>
    </cfRule>
  </conditionalFormatting>
  <conditionalFormatting sqref="K61:K70">
    <cfRule type="expression" dxfId="495" priority="18" stopIfTrue="1">
      <formula>VLOOKUP(K61,Jumpers,5)&lt;&gt;LEFT($A$1,1)</formula>
    </cfRule>
    <cfRule type="expression" dxfId="494" priority="19" stopIfTrue="1">
      <formula>VLOOKUP(K61,Jumpers,8)&lt;&gt;J61</formula>
    </cfRule>
  </conditionalFormatting>
  <conditionalFormatting sqref="K73:K77">
    <cfRule type="expression" dxfId="493" priority="5" stopIfTrue="1">
      <formula>OR(CODE(K73)&lt;48,CODE(K73)&gt;57)</formula>
    </cfRule>
    <cfRule type="expression" dxfId="492" priority="16" stopIfTrue="1">
      <formula>VLOOKUP(K73,Jumpers,5)&lt;&gt;LEFT($A$1,1)</formula>
    </cfRule>
    <cfRule type="expression" dxfId="491" priority="17" stopIfTrue="1">
      <formula>VLOOKUP(K73,Jumpers,8)&lt;&gt;J73</formula>
    </cfRule>
  </conditionalFormatting>
  <conditionalFormatting sqref="D80:D84">
    <cfRule type="expression" dxfId="490" priority="4">
      <formula>OR(CODE(D80)&lt;48,CODE(D80)&gt;57)</formula>
    </cfRule>
    <cfRule type="expression" dxfId="489" priority="14" stopIfTrue="1">
      <formula>VLOOKUP(D80,Jumpers,5)&lt;&gt;LEFT($A$1,1)</formula>
    </cfRule>
    <cfRule type="expression" dxfId="488" priority="15" stopIfTrue="1">
      <formula>VLOOKUP(D80,Jumpers,8)&lt;&gt;C80</formula>
    </cfRule>
  </conditionalFormatting>
  <conditionalFormatting sqref="D5:D14">
    <cfRule type="expression" dxfId="487" priority="10" stopIfTrue="1">
      <formula>OR(CODE(D5)&lt;48,CODE(D5)&gt;57)</formula>
    </cfRule>
    <cfRule type="expression" dxfId="486" priority="28" stopIfTrue="1">
      <formula>VLOOKUP(D5,Jumpers,5)&lt;&gt;LEFT($A$1,1)</formula>
    </cfRule>
    <cfRule type="expression" dxfId="485" priority="29" stopIfTrue="1">
      <formula>VLOOKUP(D5,Jumpers,8)&lt;&gt;"8-Under"</formula>
    </cfRule>
  </conditionalFormatting>
  <conditionalFormatting sqref="D17:D36">
    <cfRule type="expression" dxfId="484" priority="11" stopIfTrue="1">
      <formula>OR(CODE(D17)&lt;48,CODE(D17)&gt;57)</formula>
    </cfRule>
    <cfRule type="expression" dxfId="483" priority="12" stopIfTrue="1">
      <formula>VLOOKUP(D17,Jumpers,5)&lt;&gt;LEFT($A$1,1)</formula>
    </cfRule>
    <cfRule type="expression" dxfId="482" priority="13" stopIfTrue="1">
      <formula>VLOOKUP(D17,Jumpers,7)&gt;10</formula>
    </cfRule>
  </conditionalFormatting>
  <conditionalFormatting sqref="D73:D77">
    <cfRule type="expression" dxfId="481" priority="1" stopIfTrue="1">
      <formula>OR(CODE(D73)&lt;48,CODE(D73)&gt;57)</formula>
    </cfRule>
    <cfRule type="expression" dxfId="480" priority="2" stopIfTrue="1">
      <formula>VLOOKUP(D73,Jumpers,5)&lt;&gt;LEFT($A$1,1)</formula>
    </cfRule>
    <cfRule type="expression" dxfId="479" priority="3" stopIfTrue="1">
      <formula>VLOOKUP(D73,Jumpers,8)&lt;&gt;C73</formula>
    </cfRule>
  </conditionalFormatting>
  <pageMargins left="0.25" right="0.25" top="0.75" bottom="0.75" header="0.3" footer="0.3"/>
  <pageSetup scale="87" fitToHeight="2" orientation="portrait"/>
  <headerFooter>
    <oddHeader>&amp;LUSAJR Regional Tournament&amp;R&amp;A</oddHeader>
    <oddFooter>&amp;RPage &amp;P of &amp;N</oddFooter>
  </headerFooter>
  <extLst>
    <ext xmlns:mx="http://schemas.microsoft.com/office/mac/excel/2008/main" uri="{64002731-A6B0-56B0-2670-7721B7C09600}">
      <mx:PLV Mode="0" OnePage="0" WScale="83"/>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84"/>
  <sheetViews>
    <sheetView workbookViewId="0">
      <selection activeCell="D5" sqref="D5"/>
    </sheetView>
  </sheetViews>
  <sheetFormatPr defaultColWidth="8.85546875" defaultRowHeight="15" x14ac:dyDescent="0.25"/>
  <cols>
    <col min="1" max="1" width="3" style="37" customWidth="1"/>
    <col min="2" max="2" width="4.7109375" style="60" bestFit="1" customWidth="1"/>
    <col min="3" max="3" width="7.140625" style="60" bestFit="1" customWidth="1"/>
    <col min="4" max="4" width="8.28515625" style="37" bestFit="1" customWidth="1"/>
    <col min="5" max="6" width="15.7109375" style="37" customWidth="1"/>
    <col min="7" max="7" width="1.7109375" style="37" customWidth="1"/>
    <col min="8" max="8" width="3.28515625" style="37" customWidth="1"/>
    <col min="9" max="9" width="4.7109375" style="60" bestFit="1" customWidth="1"/>
    <col min="10" max="10" width="6.28515625" style="60" bestFit="1" customWidth="1"/>
    <col min="11" max="11" width="8.28515625" style="37" bestFit="1" customWidth="1"/>
    <col min="12" max="13" width="15.7109375" style="37" customWidth="1"/>
    <col min="14" max="16384" width="8.85546875" style="37"/>
  </cols>
  <sheetData>
    <row r="1" spans="1:14" ht="18.75" x14ac:dyDescent="0.25">
      <c r="A1" s="58" t="s">
        <v>68</v>
      </c>
      <c r="B1" s="59"/>
      <c r="C1" s="59"/>
      <c r="M1" s="43" t="str">
        <f>CONCATENATE("Team: ",'Team Info'!$B$3)</f>
        <v xml:space="preserve">Team: </v>
      </c>
    </row>
    <row r="2" spans="1:14" x14ac:dyDescent="0.25">
      <c r="A2" s="77" t="s">
        <v>134</v>
      </c>
      <c r="B2" s="61"/>
      <c r="C2" s="61"/>
    </row>
    <row r="3" spans="1:14" ht="15" customHeight="1" x14ac:dyDescent="0.25">
      <c r="A3" s="104" t="s">
        <v>170</v>
      </c>
      <c r="B3" s="54"/>
      <c r="C3" s="54"/>
      <c r="D3" s="38"/>
      <c r="E3" s="38"/>
      <c r="F3" s="38"/>
    </row>
    <row r="4" spans="1:14" ht="23.25" customHeight="1" x14ac:dyDescent="0.25">
      <c r="A4" s="39" t="s">
        <v>0</v>
      </c>
      <c r="B4" s="39" t="s">
        <v>55</v>
      </c>
      <c r="C4" s="39" t="s">
        <v>56</v>
      </c>
      <c r="D4" s="55" t="s">
        <v>8</v>
      </c>
      <c r="E4" s="39" t="s">
        <v>2</v>
      </c>
      <c r="F4" s="39" t="s">
        <v>1</v>
      </c>
      <c r="I4" s="169" t="s">
        <v>178</v>
      </c>
      <c r="J4" s="169"/>
      <c r="K4" s="169"/>
      <c r="L4" s="169"/>
      <c r="M4" s="169"/>
      <c r="N4" s="169"/>
    </row>
    <row r="5" spans="1:14" x14ac:dyDescent="0.25">
      <c r="A5" s="63">
        <v>1</v>
      </c>
      <c r="B5" s="90" t="s">
        <v>75</v>
      </c>
      <c r="C5" s="90" t="s">
        <v>177</v>
      </c>
      <c r="D5" s="108"/>
      <c r="E5" s="44" t="str">
        <f t="shared" ref="E5:E14" si="0">IF(D5&gt;0,VLOOKUP(D5,Jumpers,3),"")</f>
        <v/>
      </c>
      <c r="F5" s="44" t="str">
        <f t="shared" ref="F5:F14" si="1">IF(D5&gt;0,VLOOKUP(D5,Jumpers,2),"")</f>
        <v/>
      </c>
      <c r="I5" s="169"/>
      <c r="J5" s="169"/>
      <c r="K5" s="169"/>
      <c r="L5" s="169"/>
      <c r="M5" s="169"/>
      <c r="N5" s="169"/>
    </row>
    <row r="6" spans="1:14" x14ac:dyDescent="0.25">
      <c r="A6" s="63">
        <v>2</v>
      </c>
      <c r="B6" s="90" t="s">
        <v>75</v>
      </c>
      <c r="C6" s="90" t="s">
        <v>177</v>
      </c>
      <c r="D6" s="35"/>
      <c r="E6" s="44" t="str">
        <f t="shared" si="0"/>
        <v/>
      </c>
      <c r="F6" s="44" t="str">
        <f t="shared" si="1"/>
        <v/>
      </c>
      <c r="I6" s="169"/>
      <c r="J6" s="169"/>
      <c r="K6" s="169"/>
      <c r="L6" s="169"/>
      <c r="M6" s="169"/>
      <c r="N6" s="169"/>
    </row>
    <row r="7" spans="1:14" x14ac:dyDescent="0.25">
      <c r="A7" s="63">
        <v>3</v>
      </c>
      <c r="B7" s="90" t="s">
        <v>75</v>
      </c>
      <c r="C7" s="90" t="s">
        <v>177</v>
      </c>
      <c r="D7" s="35"/>
      <c r="E7" s="44" t="str">
        <f t="shared" si="0"/>
        <v/>
      </c>
      <c r="F7" s="44" t="str">
        <f t="shared" si="1"/>
        <v/>
      </c>
      <c r="I7" s="169"/>
      <c r="J7" s="169"/>
      <c r="K7" s="169"/>
      <c r="L7" s="169"/>
      <c r="M7" s="169"/>
      <c r="N7" s="169"/>
    </row>
    <row r="8" spans="1:14" x14ac:dyDescent="0.25">
      <c r="A8" s="63">
        <v>4</v>
      </c>
      <c r="B8" s="90" t="s">
        <v>75</v>
      </c>
      <c r="C8" s="90" t="s">
        <v>177</v>
      </c>
      <c r="D8" s="35"/>
      <c r="E8" s="44" t="str">
        <f t="shared" si="0"/>
        <v/>
      </c>
      <c r="F8" s="44" t="str">
        <f t="shared" si="1"/>
        <v/>
      </c>
    </row>
    <row r="9" spans="1:14" x14ac:dyDescent="0.25">
      <c r="A9" s="63">
        <v>5</v>
      </c>
      <c r="B9" s="90" t="s">
        <v>75</v>
      </c>
      <c r="C9" s="90" t="s">
        <v>177</v>
      </c>
      <c r="D9" s="35"/>
      <c r="E9" s="44" t="str">
        <f t="shared" si="0"/>
        <v/>
      </c>
      <c r="F9" s="44" t="str">
        <f t="shared" si="1"/>
        <v/>
      </c>
    </row>
    <row r="10" spans="1:14" x14ac:dyDescent="0.25">
      <c r="A10" s="63">
        <v>6</v>
      </c>
      <c r="B10" s="90" t="s">
        <v>75</v>
      </c>
      <c r="C10" s="90" t="s">
        <v>177</v>
      </c>
      <c r="D10" s="35"/>
      <c r="E10" s="44" t="str">
        <f t="shared" si="0"/>
        <v/>
      </c>
      <c r="F10" s="44" t="str">
        <f t="shared" si="1"/>
        <v/>
      </c>
    </row>
    <row r="11" spans="1:14" x14ac:dyDescent="0.25">
      <c r="A11" s="63">
        <v>7</v>
      </c>
      <c r="B11" s="90" t="s">
        <v>75</v>
      </c>
      <c r="C11" s="90" t="s">
        <v>177</v>
      </c>
      <c r="D11" s="35"/>
      <c r="E11" s="44" t="str">
        <f t="shared" si="0"/>
        <v/>
      </c>
      <c r="F11" s="44" t="str">
        <f t="shared" si="1"/>
        <v/>
      </c>
    </row>
    <row r="12" spans="1:14" x14ac:dyDescent="0.25">
      <c r="A12" s="63">
        <v>8</v>
      </c>
      <c r="B12" s="90" t="s">
        <v>75</v>
      </c>
      <c r="C12" s="90" t="s">
        <v>177</v>
      </c>
      <c r="D12" s="35"/>
      <c r="E12" s="44" t="str">
        <f t="shared" si="0"/>
        <v/>
      </c>
      <c r="F12" s="44" t="str">
        <f t="shared" si="1"/>
        <v/>
      </c>
    </row>
    <row r="13" spans="1:14" x14ac:dyDescent="0.25">
      <c r="A13" s="63">
        <v>9</v>
      </c>
      <c r="B13" s="90" t="s">
        <v>75</v>
      </c>
      <c r="C13" s="90" t="s">
        <v>177</v>
      </c>
      <c r="D13" s="35"/>
      <c r="E13" s="44" t="str">
        <f t="shared" si="0"/>
        <v/>
      </c>
      <c r="F13" s="44" t="str">
        <f t="shared" si="1"/>
        <v/>
      </c>
    </row>
    <row r="14" spans="1:14" x14ac:dyDescent="0.25">
      <c r="A14" s="63">
        <v>10</v>
      </c>
      <c r="B14" s="90" t="s">
        <v>75</v>
      </c>
      <c r="C14" s="90" t="s">
        <v>177</v>
      </c>
      <c r="D14" s="35"/>
      <c r="E14" s="44" t="str">
        <f t="shared" si="0"/>
        <v/>
      </c>
      <c r="F14" s="44" t="str">
        <f t="shared" si="1"/>
        <v/>
      </c>
    </row>
    <row r="15" spans="1:14" x14ac:dyDescent="0.25">
      <c r="A15" s="38" t="s">
        <v>9</v>
      </c>
      <c r="B15" s="54"/>
      <c r="C15" s="54"/>
      <c r="D15" s="38"/>
      <c r="E15" s="38"/>
      <c r="F15" s="38"/>
      <c r="H15" s="38" t="s">
        <v>10</v>
      </c>
      <c r="I15" s="54"/>
      <c r="J15" s="54"/>
      <c r="K15" s="38"/>
      <c r="L15" s="38"/>
      <c r="M15" s="38"/>
    </row>
    <row r="16" spans="1:14" ht="23.25" x14ac:dyDescent="0.25">
      <c r="A16" s="39" t="s">
        <v>0</v>
      </c>
      <c r="B16" s="39" t="s">
        <v>55</v>
      </c>
      <c r="C16" s="39" t="s">
        <v>56</v>
      </c>
      <c r="D16" s="55" t="s">
        <v>8</v>
      </c>
      <c r="E16" s="39" t="s">
        <v>2</v>
      </c>
      <c r="F16" s="39" t="s">
        <v>1</v>
      </c>
      <c r="H16" s="39" t="s">
        <v>0</v>
      </c>
      <c r="I16" s="39" t="s">
        <v>55</v>
      </c>
      <c r="J16" s="39" t="s">
        <v>56</v>
      </c>
      <c r="K16" s="55" t="s">
        <v>8</v>
      </c>
      <c r="L16" s="39" t="s">
        <v>2</v>
      </c>
      <c r="M16" s="39" t="s">
        <v>1</v>
      </c>
    </row>
    <row r="17" spans="1:13" x14ac:dyDescent="0.25">
      <c r="A17" s="63">
        <v>1</v>
      </c>
      <c r="B17" s="90" t="s">
        <v>75</v>
      </c>
      <c r="C17" s="63" t="s">
        <v>44</v>
      </c>
      <c r="D17" s="108"/>
      <c r="E17" s="44" t="str">
        <f t="shared" ref="E17:E24" si="2">IF(D17&gt;0,VLOOKUP(D17,Jumpers,3),"")</f>
        <v/>
      </c>
      <c r="F17" s="44" t="str">
        <f t="shared" ref="F17:F24" si="3">IF(D17&gt;0,VLOOKUP(D17,Jumpers,2),"")</f>
        <v/>
      </c>
      <c r="H17" s="63">
        <v>1</v>
      </c>
      <c r="I17" s="90" t="s">
        <v>75</v>
      </c>
      <c r="J17" s="63" t="s">
        <v>45</v>
      </c>
      <c r="K17" s="35"/>
      <c r="L17" s="44" t="str">
        <f t="shared" ref="L17:L24" si="4">IF(K17&gt;0,VLOOKUP(K17,Jumpers,3),"")</f>
        <v/>
      </c>
      <c r="M17" s="44" t="str">
        <f t="shared" ref="M17:M24" si="5">IF(K17&gt;0,VLOOKUP(K17,Jumpers,2),"")</f>
        <v/>
      </c>
    </row>
    <row r="18" spans="1:13" x14ac:dyDescent="0.25">
      <c r="A18" s="63">
        <v>2</v>
      </c>
      <c r="B18" s="90" t="s">
        <v>75</v>
      </c>
      <c r="C18" s="63" t="s">
        <v>44</v>
      </c>
      <c r="D18" s="35"/>
      <c r="E18" s="44" t="str">
        <f t="shared" si="2"/>
        <v/>
      </c>
      <c r="F18" s="44" t="str">
        <f t="shared" si="3"/>
        <v/>
      </c>
      <c r="H18" s="63">
        <v>2</v>
      </c>
      <c r="I18" s="90" t="s">
        <v>75</v>
      </c>
      <c r="J18" s="63" t="s">
        <v>45</v>
      </c>
      <c r="K18" s="35"/>
      <c r="L18" s="44" t="str">
        <f t="shared" si="4"/>
        <v/>
      </c>
      <c r="M18" s="44" t="str">
        <f t="shared" si="5"/>
        <v/>
      </c>
    </row>
    <row r="19" spans="1:13" x14ac:dyDescent="0.25">
      <c r="A19" s="63">
        <v>3</v>
      </c>
      <c r="B19" s="90" t="s">
        <v>75</v>
      </c>
      <c r="C19" s="63" t="s">
        <v>44</v>
      </c>
      <c r="D19" s="35"/>
      <c r="E19" s="44" t="str">
        <f t="shared" si="2"/>
        <v/>
      </c>
      <c r="F19" s="44" t="str">
        <f t="shared" si="3"/>
        <v/>
      </c>
      <c r="H19" s="63">
        <v>3</v>
      </c>
      <c r="I19" s="90" t="s">
        <v>75</v>
      </c>
      <c r="J19" s="63" t="s">
        <v>45</v>
      </c>
      <c r="K19" s="35"/>
      <c r="L19" s="44" t="str">
        <f t="shared" si="4"/>
        <v/>
      </c>
      <c r="M19" s="44" t="str">
        <f t="shared" si="5"/>
        <v/>
      </c>
    </row>
    <row r="20" spans="1:13" x14ac:dyDescent="0.25">
      <c r="A20" s="63">
        <v>4</v>
      </c>
      <c r="B20" s="90" t="s">
        <v>75</v>
      </c>
      <c r="C20" s="63" t="s">
        <v>44</v>
      </c>
      <c r="D20" s="35"/>
      <c r="E20" s="44" t="str">
        <f t="shared" si="2"/>
        <v/>
      </c>
      <c r="F20" s="44" t="str">
        <f t="shared" si="3"/>
        <v/>
      </c>
      <c r="H20" s="63">
        <v>4</v>
      </c>
      <c r="I20" s="90" t="s">
        <v>75</v>
      </c>
      <c r="J20" s="63" t="s">
        <v>45</v>
      </c>
      <c r="K20" s="35"/>
      <c r="L20" s="44" t="str">
        <f t="shared" si="4"/>
        <v/>
      </c>
      <c r="M20" s="44" t="str">
        <f t="shared" si="5"/>
        <v/>
      </c>
    </row>
    <row r="21" spans="1:13" x14ac:dyDescent="0.25">
      <c r="A21" s="63">
        <v>5</v>
      </c>
      <c r="B21" s="90" t="s">
        <v>75</v>
      </c>
      <c r="C21" s="63" t="s">
        <v>44</v>
      </c>
      <c r="D21" s="35"/>
      <c r="E21" s="44" t="str">
        <f t="shared" si="2"/>
        <v/>
      </c>
      <c r="F21" s="44" t="str">
        <f t="shared" si="3"/>
        <v/>
      </c>
      <c r="H21" s="63">
        <v>5</v>
      </c>
      <c r="I21" s="90" t="s">
        <v>75</v>
      </c>
      <c r="J21" s="63" t="s">
        <v>45</v>
      </c>
      <c r="K21" s="35"/>
      <c r="L21" s="44" t="str">
        <f t="shared" si="4"/>
        <v/>
      </c>
      <c r="M21" s="44" t="str">
        <f t="shared" si="5"/>
        <v/>
      </c>
    </row>
    <row r="22" spans="1:13" x14ac:dyDescent="0.25">
      <c r="A22" s="63">
        <v>6</v>
      </c>
      <c r="B22" s="90" t="s">
        <v>75</v>
      </c>
      <c r="C22" s="63" t="s">
        <v>44</v>
      </c>
      <c r="D22" s="35"/>
      <c r="E22" s="44" t="str">
        <f t="shared" si="2"/>
        <v/>
      </c>
      <c r="F22" s="44" t="str">
        <f t="shared" si="3"/>
        <v/>
      </c>
      <c r="H22" s="63">
        <v>6</v>
      </c>
      <c r="I22" s="90" t="s">
        <v>75</v>
      </c>
      <c r="J22" s="63" t="s">
        <v>45</v>
      </c>
      <c r="K22" s="35"/>
      <c r="L22" s="44" t="str">
        <f t="shared" si="4"/>
        <v/>
      </c>
      <c r="M22" s="44" t="str">
        <f t="shared" si="5"/>
        <v/>
      </c>
    </row>
    <row r="23" spans="1:13" x14ac:dyDescent="0.25">
      <c r="A23" s="63">
        <v>7</v>
      </c>
      <c r="B23" s="90" t="s">
        <v>75</v>
      </c>
      <c r="C23" s="63" t="s">
        <v>44</v>
      </c>
      <c r="D23" s="35"/>
      <c r="E23" s="44" t="str">
        <f t="shared" si="2"/>
        <v/>
      </c>
      <c r="F23" s="44" t="str">
        <f t="shared" si="3"/>
        <v/>
      </c>
      <c r="H23" s="63">
        <v>7</v>
      </c>
      <c r="I23" s="90" t="s">
        <v>75</v>
      </c>
      <c r="J23" s="63" t="s">
        <v>45</v>
      </c>
      <c r="K23" s="35"/>
      <c r="L23" s="44" t="str">
        <f t="shared" si="4"/>
        <v/>
      </c>
      <c r="M23" s="44" t="str">
        <f t="shared" si="5"/>
        <v/>
      </c>
    </row>
    <row r="24" spans="1:13" x14ac:dyDescent="0.25">
      <c r="A24" s="63">
        <v>8</v>
      </c>
      <c r="B24" s="90" t="s">
        <v>75</v>
      </c>
      <c r="C24" s="63" t="s">
        <v>44</v>
      </c>
      <c r="D24" s="35"/>
      <c r="E24" s="44" t="str">
        <f t="shared" si="2"/>
        <v/>
      </c>
      <c r="F24" s="44" t="str">
        <f t="shared" si="3"/>
        <v/>
      </c>
      <c r="H24" s="63">
        <v>8</v>
      </c>
      <c r="I24" s="90" t="s">
        <v>75</v>
      </c>
      <c r="J24" s="63" t="s">
        <v>45</v>
      </c>
      <c r="K24" s="35"/>
      <c r="L24" s="44" t="str">
        <f t="shared" si="4"/>
        <v/>
      </c>
      <c r="M24" s="44" t="str">
        <f t="shared" si="5"/>
        <v/>
      </c>
    </row>
    <row r="25" spans="1:13" x14ac:dyDescent="0.25">
      <c r="A25" s="63">
        <v>9</v>
      </c>
      <c r="B25" s="90" t="s">
        <v>75</v>
      </c>
      <c r="C25" s="63" t="s">
        <v>44</v>
      </c>
      <c r="D25" s="35"/>
      <c r="E25" s="44" t="str">
        <f t="shared" ref="E25:E36" si="6">IF(D25&gt;0,VLOOKUP(D25,Jumpers,3),"")</f>
        <v/>
      </c>
      <c r="F25" s="44" t="str">
        <f t="shared" ref="F25:F36" si="7">IF(D25&gt;0,VLOOKUP(D25,Jumpers,2),"")</f>
        <v/>
      </c>
      <c r="H25" s="63">
        <v>9</v>
      </c>
      <c r="I25" s="90" t="s">
        <v>75</v>
      </c>
      <c r="J25" s="63" t="s">
        <v>45</v>
      </c>
      <c r="K25" s="35"/>
      <c r="L25" s="44" t="str">
        <f t="shared" ref="L25:L36" si="8">IF(K25&gt;0,VLOOKUP(K25,Jumpers,3),"")</f>
        <v/>
      </c>
      <c r="M25" s="44" t="str">
        <f t="shared" ref="M25:M36" si="9">IF(K25&gt;0,VLOOKUP(K25,Jumpers,2),"")</f>
        <v/>
      </c>
    </row>
    <row r="26" spans="1:13" x14ac:dyDescent="0.25">
      <c r="A26" s="63">
        <v>10</v>
      </c>
      <c r="B26" s="90" t="s">
        <v>75</v>
      </c>
      <c r="C26" s="63" t="s">
        <v>44</v>
      </c>
      <c r="D26" s="35"/>
      <c r="E26" s="44" t="str">
        <f t="shared" si="6"/>
        <v/>
      </c>
      <c r="F26" s="44" t="str">
        <f t="shared" si="7"/>
        <v/>
      </c>
      <c r="H26" s="63">
        <v>10</v>
      </c>
      <c r="I26" s="90" t="s">
        <v>75</v>
      </c>
      <c r="J26" s="63" t="s">
        <v>45</v>
      </c>
      <c r="K26" s="35"/>
      <c r="L26" s="44" t="str">
        <f t="shared" si="8"/>
        <v/>
      </c>
      <c r="M26" s="44" t="str">
        <f t="shared" si="9"/>
        <v/>
      </c>
    </row>
    <row r="27" spans="1:13" x14ac:dyDescent="0.25">
      <c r="A27" s="63">
        <v>11</v>
      </c>
      <c r="B27" s="90" t="s">
        <v>75</v>
      </c>
      <c r="C27" s="63" t="s">
        <v>44</v>
      </c>
      <c r="D27" s="35"/>
      <c r="E27" s="44" t="str">
        <f t="shared" si="6"/>
        <v/>
      </c>
      <c r="F27" s="44" t="str">
        <f t="shared" si="7"/>
        <v/>
      </c>
      <c r="H27" s="63">
        <v>11</v>
      </c>
      <c r="I27" s="90" t="s">
        <v>75</v>
      </c>
      <c r="J27" s="63" t="s">
        <v>45</v>
      </c>
      <c r="K27" s="35"/>
      <c r="L27" s="44" t="str">
        <f t="shared" si="8"/>
        <v/>
      </c>
      <c r="M27" s="44" t="str">
        <f t="shared" si="9"/>
        <v/>
      </c>
    </row>
    <row r="28" spans="1:13" x14ac:dyDescent="0.25">
      <c r="A28" s="63">
        <v>12</v>
      </c>
      <c r="B28" s="90" t="s">
        <v>75</v>
      </c>
      <c r="C28" s="63" t="s">
        <v>44</v>
      </c>
      <c r="D28" s="35"/>
      <c r="E28" s="44" t="str">
        <f t="shared" si="6"/>
        <v/>
      </c>
      <c r="F28" s="44" t="str">
        <f t="shared" si="7"/>
        <v/>
      </c>
      <c r="H28" s="63">
        <v>12</v>
      </c>
      <c r="I28" s="90" t="s">
        <v>75</v>
      </c>
      <c r="J28" s="63" t="s">
        <v>45</v>
      </c>
      <c r="K28" s="35"/>
      <c r="L28" s="44" t="str">
        <f t="shared" si="8"/>
        <v/>
      </c>
      <c r="M28" s="44" t="str">
        <f t="shared" si="9"/>
        <v/>
      </c>
    </row>
    <row r="29" spans="1:13" x14ac:dyDescent="0.25">
      <c r="A29" s="63">
        <v>13</v>
      </c>
      <c r="B29" s="90" t="s">
        <v>75</v>
      </c>
      <c r="C29" s="63" t="s">
        <v>44</v>
      </c>
      <c r="D29" s="35"/>
      <c r="E29" s="44" t="str">
        <f t="shared" si="6"/>
        <v/>
      </c>
      <c r="F29" s="44" t="str">
        <f t="shared" si="7"/>
        <v/>
      </c>
      <c r="H29" s="63">
        <v>13</v>
      </c>
      <c r="I29" s="90" t="s">
        <v>75</v>
      </c>
      <c r="J29" s="63" t="s">
        <v>45</v>
      </c>
      <c r="K29" s="35"/>
      <c r="L29" s="44" t="str">
        <f t="shared" si="8"/>
        <v/>
      </c>
      <c r="M29" s="44" t="str">
        <f t="shared" si="9"/>
        <v/>
      </c>
    </row>
    <row r="30" spans="1:13" x14ac:dyDescent="0.25">
      <c r="A30" s="63">
        <v>14</v>
      </c>
      <c r="B30" s="90" t="s">
        <v>75</v>
      </c>
      <c r="C30" s="63" t="s">
        <v>44</v>
      </c>
      <c r="D30" s="35"/>
      <c r="E30" s="44" t="str">
        <f t="shared" si="6"/>
        <v/>
      </c>
      <c r="F30" s="44" t="str">
        <f t="shared" si="7"/>
        <v/>
      </c>
      <c r="H30" s="63">
        <v>14</v>
      </c>
      <c r="I30" s="90" t="s">
        <v>75</v>
      </c>
      <c r="J30" s="63" t="s">
        <v>45</v>
      </c>
      <c r="K30" s="35"/>
      <c r="L30" s="44" t="str">
        <f t="shared" si="8"/>
        <v/>
      </c>
      <c r="M30" s="44" t="str">
        <f t="shared" si="9"/>
        <v/>
      </c>
    </row>
    <row r="31" spans="1:13" x14ac:dyDescent="0.25">
      <c r="A31" s="63">
        <v>15</v>
      </c>
      <c r="B31" s="90" t="s">
        <v>75</v>
      </c>
      <c r="C31" s="63" t="s">
        <v>44</v>
      </c>
      <c r="D31" s="35"/>
      <c r="E31" s="44" t="str">
        <f t="shared" si="6"/>
        <v/>
      </c>
      <c r="F31" s="44" t="str">
        <f t="shared" si="7"/>
        <v/>
      </c>
      <c r="H31" s="63">
        <v>15</v>
      </c>
      <c r="I31" s="90" t="s">
        <v>75</v>
      </c>
      <c r="J31" s="63" t="s">
        <v>45</v>
      </c>
      <c r="K31" s="35"/>
      <c r="L31" s="44" t="str">
        <f t="shared" si="8"/>
        <v/>
      </c>
      <c r="M31" s="44" t="str">
        <f t="shared" si="9"/>
        <v/>
      </c>
    </row>
    <row r="32" spans="1:13" x14ac:dyDescent="0.25">
      <c r="A32" s="63">
        <v>16</v>
      </c>
      <c r="B32" s="90" t="s">
        <v>75</v>
      </c>
      <c r="C32" s="63" t="s">
        <v>44</v>
      </c>
      <c r="D32" s="35"/>
      <c r="E32" s="44" t="str">
        <f t="shared" si="6"/>
        <v/>
      </c>
      <c r="F32" s="44" t="str">
        <f t="shared" si="7"/>
        <v/>
      </c>
      <c r="H32" s="63">
        <v>16</v>
      </c>
      <c r="I32" s="90" t="s">
        <v>75</v>
      </c>
      <c r="J32" s="63" t="s">
        <v>45</v>
      </c>
      <c r="K32" s="35"/>
      <c r="L32" s="44" t="str">
        <f t="shared" si="8"/>
        <v/>
      </c>
      <c r="M32" s="44" t="str">
        <f t="shared" si="9"/>
        <v/>
      </c>
    </row>
    <row r="33" spans="1:13" x14ac:dyDescent="0.25">
      <c r="A33" s="63">
        <v>17</v>
      </c>
      <c r="B33" s="90" t="s">
        <v>75</v>
      </c>
      <c r="C33" s="63" t="s">
        <v>44</v>
      </c>
      <c r="D33" s="35"/>
      <c r="E33" s="44" t="str">
        <f t="shared" si="6"/>
        <v/>
      </c>
      <c r="F33" s="44" t="str">
        <f t="shared" si="7"/>
        <v/>
      </c>
      <c r="H33" s="63">
        <v>17</v>
      </c>
      <c r="I33" s="90" t="s">
        <v>75</v>
      </c>
      <c r="J33" s="63" t="s">
        <v>45</v>
      </c>
      <c r="K33" s="35"/>
      <c r="L33" s="44" t="str">
        <f t="shared" si="8"/>
        <v/>
      </c>
      <c r="M33" s="44" t="str">
        <f t="shared" si="9"/>
        <v/>
      </c>
    </row>
    <row r="34" spans="1:13" x14ac:dyDescent="0.25">
      <c r="A34" s="63">
        <v>18</v>
      </c>
      <c r="B34" s="90" t="s">
        <v>75</v>
      </c>
      <c r="C34" s="63" t="s">
        <v>44</v>
      </c>
      <c r="D34" s="35"/>
      <c r="E34" s="44" t="str">
        <f t="shared" si="6"/>
        <v/>
      </c>
      <c r="F34" s="44" t="str">
        <f t="shared" si="7"/>
        <v/>
      </c>
      <c r="H34" s="63">
        <v>18</v>
      </c>
      <c r="I34" s="90" t="s">
        <v>75</v>
      </c>
      <c r="J34" s="63" t="s">
        <v>45</v>
      </c>
      <c r="K34" s="35"/>
      <c r="L34" s="44" t="str">
        <f t="shared" si="8"/>
        <v/>
      </c>
      <c r="M34" s="44" t="str">
        <f t="shared" si="9"/>
        <v/>
      </c>
    </row>
    <row r="35" spans="1:13" x14ac:dyDescent="0.25">
      <c r="A35" s="63">
        <v>19</v>
      </c>
      <c r="B35" s="90" t="s">
        <v>75</v>
      </c>
      <c r="C35" s="63" t="s">
        <v>44</v>
      </c>
      <c r="D35" s="35"/>
      <c r="E35" s="44" t="str">
        <f t="shared" si="6"/>
        <v/>
      </c>
      <c r="F35" s="44" t="str">
        <f t="shared" si="7"/>
        <v/>
      </c>
      <c r="H35" s="63">
        <v>19</v>
      </c>
      <c r="I35" s="90" t="s">
        <v>75</v>
      </c>
      <c r="J35" s="63" t="s">
        <v>45</v>
      </c>
      <c r="K35" s="35"/>
      <c r="L35" s="44" t="str">
        <f t="shared" si="8"/>
        <v/>
      </c>
      <c r="M35" s="44" t="str">
        <f t="shared" si="9"/>
        <v/>
      </c>
    </row>
    <row r="36" spans="1:13" x14ac:dyDescent="0.25">
      <c r="A36" s="63">
        <v>20</v>
      </c>
      <c r="B36" s="90" t="s">
        <v>75</v>
      </c>
      <c r="C36" s="63" t="s">
        <v>44</v>
      </c>
      <c r="D36" s="35"/>
      <c r="E36" s="44" t="str">
        <f t="shared" si="6"/>
        <v/>
      </c>
      <c r="F36" s="44" t="str">
        <f t="shared" si="7"/>
        <v/>
      </c>
      <c r="H36" s="63">
        <v>20</v>
      </c>
      <c r="I36" s="90" t="s">
        <v>75</v>
      </c>
      <c r="J36" s="63" t="s">
        <v>45</v>
      </c>
      <c r="K36" s="35"/>
      <c r="L36" s="44" t="str">
        <f t="shared" si="8"/>
        <v/>
      </c>
      <c r="M36" s="44" t="str">
        <f t="shared" si="9"/>
        <v/>
      </c>
    </row>
    <row r="37" spans="1:13" x14ac:dyDescent="0.25">
      <c r="A37" s="38" t="s">
        <v>11</v>
      </c>
      <c r="B37" s="54"/>
      <c r="C37" s="54"/>
      <c r="D37" s="38"/>
      <c r="E37" s="38"/>
      <c r="F37" s="38"/>
      <c r="H37" s="38" t="s">
        <v>217</v>
      </c>
      <c r="I37" s="54"/>
      <c r="J37" s="54"/>
      <c r="K37" s="38"/>
      <c r="L37" s="38"/>
      <c r="M37" s="38"/>
    </row>
    <row r="38" spans="1:13" ht="23.25" x14ac:dyDescent="0.25">
      <c r="A38" s="39" t="s">
        <v>0</v>
      </c>
      <c r="B38" s="39" t="s">
        <v>55</v>
      </c>
      <c r="C38" s="39" t="s">
        <v>56</v>
      </c>
      <c r="D38" s="55" t="s">
        <v>8</v>
      </c>
      <c r="E38" s="39" t="s">
        <v>2</v>
      </c>
      <c r="F38" s="39" t="s">
        <v>1</v>
      </c>
      <c r="H38" s="39" t="s">
        <v>0</v>
      </c>
      <c r="I38" s="39" t="s">
        <v>55</v>
      </c>
      <c r="J38" s="39" t="s">
        <v>56</v>
      </c>
      <c r="K38" s="55" t="s">
        <v>8</v>
      </c>
      <c r="L38" s="39" t="s">
        <v>2</v>
      </c>
      <c r="M38" s="39" t="s">
        <v>1</v>
      </c>
    </row>
    <row r="39" spans="1:13" x14ac:dyDescent="0.25">
      <c r="A39" s="63">
        <v>1</v>
      </c>
      <c r="B39" s="90" t="s">
        <v>75</v>
      </c>
      <c r="C39" s="63" t="s">
        <v>47</v>
      </c>
      <c r="D39" s="35"/>
      <c r="E39" s="44" t="str">
        <f t="shared" ref="E39:E46" si="10">IF(D39&gt;0,VLOOKUP(D39,Jumpers,3),"")</f>
        <v/>
      </c>
      <c r="F39" s="44" t="str">
        <f t="shared" ref="F39:F46" si="11">IF(D39&gt;0,VLOOKUP(D39,Jumpers,2),"")</f>
        <v/>
      </c>
      <c r="H39" s="63">
        <v>1</v>
      </c>
      <c r="I39" s="90" t="s">
        <v>75</v>
      </c>
      <c r="J39" s="90" t="s">
        <v>214</v>
      </c>
      <c r="K39" s="35"/>
      <c r="L39" s="44" t="str">
        <f t="shared" ref="L39:L46" si="12">IF(K39&gt;0,VLOOKUP(K39,Jumpers,3),"")</f>
        <v/>
      </c>
      <c r="M39" s="44" t="str">
        <f t="shared" ref="M39:M46" si="13">IF(K39&gt;0,VLOOKUP(K39,Jumpers,2),"")</f>
        <v/>
      </c>
    </row>
    <row r="40" spans="1:13" x14ac:dyDescent="0.25">
      <c r="A40" s="63">
        <v>2</v>
      </c>
      <c r="B40" s="90" t="s">
        <v>75</v>
      </c>
      <c r="C40" s="63" t="s">
        <v>47</v>
      </c>
      <c r="D40" s="35"/>
      <c r="E40" s="44" t="str">
        <f t="shared" si="10"/>
        <v/>
      </c>
      <c r="F40" s="44" t="str">
        <f t="shared" si="11"/>
        <v/>
      </c>
      <c r="H40" s="63">
        <v>2</v>
      </c>
      <c r="I40" s="90" t="s">
        <v>75</v>
      </c>
      <c r="J40" s="90" t="s">
        <v>214</v>
      </c>
      <c r="K40" s="35"/>
      <c r="L40" s="44" t="str">
        <f t="shared" si="12"/>
        <v/>
      </c>
      <c r="M40" s="44" t="str">
        <f t="shared" si="13"/>
        <v/>
      </c>
    </row>
    <row r="41" spans="1:13" x14ac:dyDescent="0.25">
      <c r="A41" s="63">
        <v>3</v>
      </c>
      <c r="B41" s="90" t="s">
        <v>75</v>
      </c>
      <c r="C41" s="63" t="s">
        <v>47</v>
      </c>
      <c r="D41" s="35"/>
      <c r="E41" s="44" t="str">
        <f t="shared" si="10"/>
        <v/>
      </c>
      <c r="F41" s="44" t="str">
        <f t="shared" si="11"/>
        <v/>
      </c>
      <c r="H41" s="63">
        <v>3</v>
      </c>
      <c r="I41" s="90" t="s">
        <v>75</v>
      </c>
      <c r="J41" s="90" t="s">
        <v>214</v>
      </c>
      <c r="K41" s="35"/>
      <c r="L41" s="44" t="str">
        <f t="shared" si="12"/>
        <v/>
      </c>
      <c r="M41" s="44" t="str">
        <f t="shared" si="13"/>
        <v/>
      </c>
    </row>
    <row r="42" spans="1:13" x14ac:dyDescent="0.25">
      <c r="A42" s="63">
        <v>4</v>
      </c>
      <c r="B42" s="90" t="s">
        <v>75</v>
      </c>
      <c r="C42" s="63" t="s">
        <v>47</v>
      </c>
      <c r="D42" s="35"/>
      <c r="E42" s="44" t="str">
        <f t="shared" si="10"/>
        <v/>
      </c>
      <c r="F42" s="44" t="str">
        <f t="shared" si="11"/>
        <v/>
      </c>
      <c r="H42" s="63">
        <v>4</v>
      </c>
      <c r="I42" s="90" t="s">
        <v>75</v>
      </c>
      <c r="J42" s="90" t="s">
        <v>214</v>
      </c>
      <c r="K42" s="35"/>
      <c r="L42" s="44" t="str">
        <f t="shared" si="12"/>
        <v/>
      </c>
      <c r="M42" s="44" t="str">
        <f t="shared" si="13"/>
        <v/>
      </c>
    </row>
    <row r="43" spans="1:13" x14ac:dyDescent="0.25">
      <c r="A43" s="63">
        <v>5</v>
      </c>
      <c r="B43" s="90" t="s">
        <v>75</v>
      </c>
      <c r="C43" s="63" t="s">
        <v>47</v>
      </c>
      <c r="D43" s="35"/>
      <c r="E43" s="44" t="str">
        <f t="shared" si="10"/>
        <v/>
      </c>
      <c r="F43" s="44" t="str">
        <f t="shared" si="11"/>
        <v/>
      </c>
      <c r="H43" s="63">
        <v>5</v>
      </c>
      <c r="I43" s="90" t="s">
        <v>75</v>
      </c>
      <c r="J43" s="90" t="s">
        <v>214</v>
      </c>
      <c r="K43" s="35"/>
      <c r="L43" s="44" t="str">
        <f t="shared" si="12"/>
        <v/>
      </c>
      <c r="M43" s="44" t="str">
        <f t="shared" si="13"/>
        <v/>
      </c>
    </row>
    <row r="44" spans="1:13" x14ac:dyDescent="0.25">
      <c r="A44" s="63">
        <v>6</v>
      </c>
      <c r="B44" s="90" t="s">
        <v>75</v>
      </c>
      <c r="C44" s="63" t="s">
        <v>47</v>
      </c>
      <c r="D44" s="35"/>
      <c r="E44" s="44" t="str">
        <f t="shared" si="10"/>
        <v/>
      </c>
      <c r="F44" s="44" t="str">
        <f t="shared" si="11"/>
        <v/>
      </c>
      <c r="H44" s="63">
        <v>6</v>
      </c>
      <c r="I44" s="90" t="s">
        <v>75</v>
      </c>
      <c r="J44" s="90" t="s">
        <v>214</v>
      </c>
      <c r="K44" s="35"/>
      <c r="L44" s="44" t="str">
        <f t="shared" si="12"/>
        <v/>
      </c>
      <c r="M44" s="44" t="str">
        <f t="shared" si="13"/>
        <v/>
      </c>
    </row>
    <row r="45" spans="1:13" x14ac:dyDescent="0.25">
      <c r="A45" s="63">
        <v>7</v>
      </c>
      <c r="B45" s="90" t="s">
        <v>75</v>
      </c>
      <c r="C45" s="63" t="s">
        <v>47</v>
      </c>
      <c r="D45" s="35"/>
      <c r="E45" s="44" t="str">
        <f t="shared" si="10"/>
        <v/>
      </c>
      <c r="F45" s="44" t="str">
        <f t="shared" si="11"/>
        <v/>
      </c>
      <c r="H45" s="63">
        <v>7</v>
      </c>
      <c r="I45" s="90" t="s">
        <v>75</v>
      </c>
      <c r="J45" s="90" t="s">
        <v>214</v>
      </c>
      <c r="K45" s="35"/>
      <c r="L45" s="44" t="str">
        <f t="shared" si="12"/>
        <v/>
      </c>
      <c r="M45" s="44" t="str">
        <f t="shared" si="13"/>
        <v/>
      </c>
    </row>
    <row r="46" spans="1:13" x14ac:dyDescent="0.25">
      <c r="A46" s="63">
        <v>8</v>
      </c>
      <c r="B46" s="90" t="s">
        <v>75</v>
      </c>
      <c r="C46" s="63" t="s">
        <v>47</v>
      </c>
      <c r="D46" s="35"/>
      <c r="E46" s="44" t="str">
        <f t="shared" si="10"/>
        <v/>
      </c>
      <c r="F46" s="44" t="str">
        <f t="shared" si="11"/>
        <v/>
      </c>
      <c r="H46" s="63">
        <v>8</v>
      </c>
      <c r="I46" s="90" t="s">
        <v>75</v>
      </c>
      <c r="J46" s="90" t="s">
        <v>214</v>
      </c>
      <c r="K46" s="35"/>
      <c r="L46" s="44" t="str">
        <f t="shared" si="12"/>
        <v/>
      </c>
      <c r="M46" s="44" t="str">
        <f t="shared" si="13"/>
        <v/>
      </c>
    </row>
    <row r="47" spans="1:13" x14ac:dyDescent="0.25">
      <c r="A47" s="63">
        <v>9</v>
      </c>
      <c r="B47" s="90" t="s">
        <v>75</v>
      </c>
      <c r="C47" s="63" t="s">
        <v>47</v>
      </c>
      <c r="D47" s="35"/>
      <c r="E47" s="44" t="str">
        <f t="shared" ref="E47:E58" si="14">IF(D47&gt;0,VLOOKUP(D47,Jumpers,3),"")</f>
        <v/>
      </c>
      <c r="F47" s="44" t="str">
        <f t="shared" ref="F47:F58" si="15">IF(D47&gt;0,VLOOKUP(D47,Jumpers,2),"")</f>
        <v/>
      </c>
      <c r="H47" s="63">
        <v>9</v>
      </c>
      <c r="I47" s="90" t="s">
        <v>75</v>
      </c>
      <c r="J47" s="90" t="s">
        <v>214</v>
      </c>
      <c r="K47" s="35"/>
      <c r="L47" s="44" t="str">
        <f t="shared" ref="L47:L58" si="16">IF(K47&gt;0,VLOOKUP(K47,Jumpers,3),"")</f>
        <v/>
      </c>
      <c r="M47" s="44" t="str">
        <f t="shared" ref="M47:M58" si="17">IF(K47&gt;0,VLOOKUP(K47,Jumpers,2),"")</f>
        <v/>
      </c>
    </row>
    <row r="48" spans="1:13" x14ac:dyDescent="0.25">
      <c r="A48" s="63">
        <v>10</v>
      </c>
      <c r="B48" s="90" t="s">
        <v>75</v>
      </c>
      <c r="C48" s="63" t="s">
        <v>47</v>
      </c>
      <c r="D48" s="35"/>
      <c r="E48" s="44" t="str">
        <f t="shared" si="14"/>
        <v/>
      </c>
      <c r="F48" s="44" t="str">
        <f t="shared" si="15"/>
        <v/>
      </c>
      <c r="H48" s="63">
        <v>10</v>
      </c>
      <c r="I48" s="90" t="s">
        <v>75</v>
      </c>
      <c r="J48" s="90" t="s">
        <v>214</v>
      </c>
      <c r="K48" s="35"/>
      <c r="L48" s="44" t="str">
        <f t="shared" si="16"/>
        <v/>
      </c>
      <c r="M48" s="44" t="str">
        <f t="shared" si="17"/>
        <v/>
      </c>
    </row>
    <row r="49" spans="1:13" x14ac:dyDescent="0.25">
      <c r="A49" s="63">
        <v>11</v>
      </c>
      <c r="B49" s="90" t="s">
        <v>75</v>
      </c>
      <c r="C49" s="63" t="s">
        <v>47</v>
      </c>
      <c r="D49" s="35"/>
      <c r="E49" s="44" t="str">
        <f t="shared" si="14"/>
        <v/>
      </c>
      <c r="F49" s="44" t="str">
        <f t="shared" si="15"/>
        <v/>
      </c>
      <c r="H49" s="63">
        <v>11</v>
      </c>
      <c r="I49" s="90" t="s">
        <v>75</v>
      </c>
      <c r="J49" s="90" t="s">
        <v>214</v>
      </c>
      <c r="K49" s="35"/>
      <c r="L49" s="44" t="str">
        <f t="shared" si="16"/>
        <v/>
      </c>
      <c r="M49" s="44" t="str">
        <f t="shared" si="17"/>
        <v/>
      </c>
    </row>
    <row r="50" spans="1:13" x14ac:dyDescent="0.25">
      <c r="A50" s="63">
        <v>12</v>
      </c>
      <c r="B50" s="90" t="s">
        <v>75</v>
      </c>
      <c r="C50" s="63" t="s">
        <v>47</v>
      </c>
      <c r="D50" s="35"/>
      <c r="E50" s="44" t="str">
        <f t="shared" si="14"/>
        <v/>
      </c>
      <c r="F50" s="44" t="str">
        <f t="shared" si="15"/>
        <v/>
      </c>
      <c r="H50" s="63">
        <v>12</v>
      </c>
      <c r="I50" s="90" t="s">
        <v>75</v>
      </c>
      <c r="J50" s="90" t="s">
        <v>214</v>
      </c>
      <c r="K50" s="35"/>
      <c r="L50" s="44" t="str">
        <f t="shared" si="16"/>
        <v/>
      </c>
      <c r="M50" s="44" t="str">
        <f t="shared" si="17"/>
        <v/>
      </c>
    </row>
    <row r="51" spans="1:13" x14ac:dyDescent="0.25">
      <c r="A51" s="63">
        <v>13</v>
      </c>
      <c r="B51" s="90" t="s">
        <v>75</v>
      </c>
      <c r="C51" s="63" t="s">
        <v>47</v>
      </c>
      <c r="D51" s="35"/>
      <c r="E51" s="44" t="str">
        <f t="shared" si="14"/>
        <v/>
      </c>
      <c r="F51" s="44" t="str">
        <f t="shared" si="15"/>
        <v/>
      </c>
      <c r="H51" s="63">
        <v>13</v>
      </c>
      <c r="I51" s="90" t="s">
        <v>75</v>
      </c>
      <c r="J51" s="90" t="s">
        <v>214</v>
      </c>
      <c r="K51" s="35"/>
      <c r="L51" s="44" t="str">
        <f t="shared" si="16"/>
        <v/>
      </c>
      <c r="M51" s="44" t="str">
        <f t="shared" si="17"/>
        <v/>
      </c>
    </row>
    <row r="52" spans="1:13" x14ac:dyDescent="0.25">
      <c r="A52" s="63">
        <v>14</v>
      </c>
      <c r="B52" s="90" t="s">
        <v>75</v>
      </c>
      <c r="C52" s="63" t="s">
        <v>47</v>
      </c>
      <c r="D52" s="35"/>
      <c r="E52" s="44" t="str">
        <f t="shared" si="14"/>
        <v/>
      </c>
      <c r="F52" s="44" t="str">
        <f t="shared" si="15"/>
        <v/>
      </c>
      <c r="H52" s="63">
        <v>14</v>
      </c>
      <c r="I52" s="90" t="s">
        <v>75</v>
      </c>
      <c r="J52" s="90" t="s">
        <v>214</v>
      </c>
      <c r="K52" s="35"/>
      <c r="L52" s="44" t="str">
        <f t="shared" si="16"/>
        <v/>
      </c>
      <c r="M52" s="44" t="str">
        <f t="shared" si="17"/>
        <v/>
      </c>
    </row>
    <row r="53" spans="1:13" x14ac:dyDescent="0.25">
      <c r="A53" s="63">
        <v>15</v>
      </c>
      <c r="B53" s="90" t="s">
        <v>75</v>
      </c>
      <c r="C53" s="63" t="s">
        <v>47</v>
      </c>
      <c r="D53" s="35"/>
      <c r="E53" s="44" t="str">
        <f t="shared" si="14"/>
        <v/>
      </c>
      <c r="F53" s="44" t="str">
        <f t="shared" si="15"/>
        <v/>
      </c>
      <c r="H53" s="63">
        <v>15</v>
      </c>
      <c r="I53" s="90" t="s">
        <v>75</v>
      </c>
      <c r="J53" s="90" t="s">
        <v>214</v>
      </c>
      <c r="K53" s="35"/>
      <c r="L53" s="44" t="str">
        <f t="shared" si="16"/>
        <v/>
      </c>
      <c r="M53" s="44" t="str">
        <f t="shared" si="17"/>
        <v/>
      </c>
    </row>
    <row r="54" spans="1:13" x14ac:dyDescent="0.25">
      <c r="A54" s="63">
        <v>16</v>
      </c>
      <c r="B54" s="90" t="s">
        <v>75</v>
      </c>
      <c r="C54" s="63" t="s">
        <v>47</v>
      </c>
      <c r="D54" s="35"/>
      <c r="E54" s="44" t="str">
        <f t="shared" si="14"/>
        <v/>
      </c>
      <c r="F54" s="44" t="str">
        <f t="shared" si="15"/>
        <v/>
      </c>
      <c r="H54" s="63">
        <v>16</v>
      </c>
      <c r="I54" s="90" t="s">
        <v>75</v>
      </c>
      <c r="J54" s="90" t="s">
        <v>214</v>
      </c>
      <c r="K54" s="35"/>
      <c r="L54" s="44" t="str">
        <f t="shared" si="16"/>
        <v/>
      </c>
      <c r="M54" s="44" t="str">
        <f t="shared" si="17"/>
        <v/>
      </c>
    </row>
    <row r="55" spans="1:13" x14ac:dyDescent="0.25">
      <c r="A55" s="63">
        <v>17</v>
      </c>
      <c r="B55" s="90" t="s">
        <v>75</v>
      </c>
      <c r="C55" s="63" t="s">
        <v>47</v>
      </c>
      <c r="D55" s="35"/>
      <c r="E55" s="44" t="str">
        <f t="shared" si="14"/>
        <v/>
      </c>
      <c r="F55" s="44" t="str">
        <f t="shared" si="15"/>
        <v/>
      </c>
      <c r="H55" s="63">
        <v>17</v>
      </c>
      <c r="I55" s="90" t="s">
        <v>75</v>
      </c>
      <c r="J55" s="90" t="s">
        <v>214</v>
      </c>
      <c r="K55" s="35"/>
      <c r="L55" s="44" t="str">
        <f t="shared" si="16"/>
        <v/>
      </c>
      <c r="M55" s="44" t="str">
        <f t="shared" si="17"/>
        <v/>
      </c>
    </row>
    <row r="56" spans="1:13" x14ac:dyDescent="0.25">
      <c r="A56" s="63">
        <v>18</v>
      </c>
      <c r="B56" s="90" t="s">
        <v>75</v>
      </c>
      <c r="C56" s="63" t="s">
        <v>47</v>
      </c>
      <c r="D56" s="35"/>
      <c r="E56" s="44" t="str">
        <f t="shared" si="14"/>
        <v/>
      </c>
      <c r="F56" s="44" t="str">
        <f t="shared" si="15"/>
        <v/>
      </c>
      <c r="H56" s="63">
        <v>18</v>
      </c>
      <c r="I56" s="90" t="s">
        <v>75</v>
      </c>
      <c r="J56" s="90" t="s">
        <v>214</v>
      </c>
      <c r="K56" s="35"/>
      <c r="L56" s="44" t="str">
        <f t="shared" si="16"/>
        <v/>
      </c>
      <c r="M56" s="44" t="str">
        <f t="shared" si="17"/>
        <v/>
      </c>
    </row>
    <row r="57" spans="1:13" x14ac:dyDescent="0.25">
      <c r="A57" s="63">
        <v>19</v>
      </c>
      <c r="B57" s="90" t="s">
        <v>75</v>
      </c>
      <c r="C57" s="63" t="s">
        <v>47</v>
      </c>
      <c r="D57" s="35"/>
      <c r="E57" s="44" t="str">
        <f t="shared" si="14"/>
        <v/>
      </c>
      <c r="F57" s="44" t="str">
        <f t="shared" si="15"/>
        <v/>
      </c>
      <c r="H57" s="63">
        <v>19</v>
      </c>
      <c r="I57" s="90" t="s">
        <v>75</v>
      </c>
      <c r="J57" s="90" t="s">
        <v>214</v>
      </c>
      <c r="K57" s="35"/>
      <c r="L57" s="44" t="str">
        <f t="shared" si="16"/>
        <v/>
      </c>
      <c r="M57" s="44" t="str">
        <f t="shared" si="17"/>
        <v/>
      </c>
    </row>
    <row r="58" spans="1:13" x14ac:dyDescent="0.25">
      <c r="A58" s="63">
        <v>20</v>
      </c>
      <c r="B58" s="90" t="s">
        <v>75</v>
      </c>
      <c r="C58" s="63" t="s">
        <v>47</v>
      </c>
      <c r="D58" s="35"/>
      <c r="E58" s="44" t="str">
        <f t="shared" si="14"/>
        <v/>
      </c>
      <c r="F58" s="44" t="str">
        <f t="shared" si="15"/>
        <v/>
      </c>
      <c r="H58" s="63">
        <v>20</v>
      </c>
      <c r="I58" s="90" t="s">
        <v>75</v>
      </c>
      <c r="J58" s="90" t="s">
        <v>214</v>
      </c>
      <c r="K58" s="35"/>
      <c r="L58" s="44" t="str">
        <f t="shared" si="16"/>
        <v/>
      </c>
      <c r="M58" s="44" t="str">
        <f t="shared" si="17"/>
        <v/>
      </c>
    </row>
    <row r="59" spans="1:13" x14ac:dyDescent="0.25">
      <c r="A59" s="38" t="s">
        <v>220</v>
      </c>
      <c r="B59" s="54"/>
      <c r="C59" s="54"/>
      <c r="D59" s="38"/>
      <c r="E59" s="38"/>
      <c r="F59" s="38"/>
      <c r="H59" s="38" t="s">
        <v>218</v>
      </c>
      <c r="I59" s="54"/>
      <c r="J59" s="54"/>
      <c r="K59" s="38"/>
      <c r="L59" s="38"/>
      <c r="M59" s="38"/>
    </row>
    <row r="60" spans="1:13" ht="23.25" x14ac:dyDescent="0.25">
      <c r="A60" s="39" t="s">
        <v>0</v>
      </c>
      <c r="B60" s="39" t="s">
        <v>55</v>
      </c>
      <c r="C60" s="39" t="s">
        <v>56</v>
      </c>
      <c r="D60" s="55" t="s">
        <v>8</v>
      </c>
      <c r="E60" s="39" t="s">
        <v>2</v>
      </c>
      <c r="F60" s="39" t="s">
        <v>1</v>
      </c>
      <c r="H60" s="39" t="s">
        <v>0</v>
      </c>
      <c r="I60" s="39" t="s">
        <v>55</v>
      </c>
      <c r="J60" s="39" t="s">
        <v>56</v>
      </c>
      <c r="K60" s="55" t="s">
        <v>8</v>
      </c>
      <c r="L60" s="39" t="s">
        <v>2</v>
      </c>
      <c r="M60" s="39" t="s">
        <v>1</v>
      </c>
    </row>
    <row r="61" spans="1:13" x14ac:dyDescent="0.25">
      <c r="A61" s="52">
        <v>1</v>
      </c>
      <c r="B61" s="90" t="s">
        <v>75</v>
      </c>
      <c r="C61" s="90" t="s">
        <v>215</v>
      </c>
      <c r="D61" s="35"/>
      <c r="E61" s="44" t="str">
        <f t="shared" ref="E61:E70" si="18">IF(D61&gt;0,VLOOKUP(D61,Jumpers,3),"")</f>
        <v/>
      </c>
      <c r="F61" s="44" t="str">
        <f t="shared" ref="F61:F70" si="19">IF(D61&gt;0,VLOOKUP(D61,Jumpers,2),"")</f>
        <v/>
      </c>
      <c r="H61" s="52">
        <v>1</v>
      </c>
      <c r="I61" s="90" t="s">
        <v>75</v>
      </c>
      <c r="J61" s="90" t="s">
        <v>216</v>
      </c>
      <c r="K61" s="35"/>
      <c r="L61" s="44" t="str">
        <f t="shared" ref="L61:L70" si="20">IF(K61&gt;0,VLOOKUP(K61,Jumpers,3),"")</f>
        <v/>
      </c>
      <c r="M61" s="44" t="str">
        <f t="shared" ref="M61:M70" si="21">IF(K61&gt;0,VLOOKUP(K61,Jumpers,2),"")</f>
        <v/>
      </c>
    </row>
    <row r="62" spans="1:13" x14ac:dyDescent="0.25">
      <c r="A62" s="52">
        <v>2</v>
      </c>
      <c r="B62" s="90" t="s">
        <v>75</v>
      </c>
      <c r="C62" s="90" t="s">
        <v>215</v>
      </c>
      <c r="D62" s="35"/>
      <c r="E62" s="44" t="str">
        <f t="shared" si="18"/>
        <v/>
      </c>
      <c r="F62" s="44" t="str">
        <f t="shared" si="19"/>
        <v/>
      </c>
      <c r="H62" s="52">
        <v>2</v>
      </c>
      <c r="I62" s="90" t="s">
        <v>75</v>
      </c>
      <c r="J62" s="90" t="s">
        <v>216</v>
      </c>
      <c r="K62" s="35"/>
      <c r="L62" s="44" t="str">
        <f t="shared" si="20"/>
        <v/>
      </c>
      <c r="M62" s="44" t="str">
        <f t="shared" si="21"/>
        <v/>
      </c>
    </row>
    <row r="63" spans="1:13" x14ac:dyDescent="0.25">
      <c r="A63" s="52">
        <v>3</v>
      </c>
      <c r="B63" s="90" t="s">
        <v>75</v>
      </c>
      <c r="C63" s="90" t="s">
        <v>215</v>
      </c>
      <c r="D63" s="35"/>
      <c r="E63" s="44" t="str">
        <f t="shared" si="18"/>
        <v/>
      </c>
      <c r="F63" s="44" t="str">
        <f t="shared" si="19"/>
        <v/>
      </c>
      <c r="H63" s="52">
        <v>3</v>
      </c>
      <c r="I63" s="90" t="s">
        <v>75</v>
      </c>
      <c r="J63" s="90" t="s">
        <v>216</v>
      </c>
      <c r="K63" s="35"/>
      <c r="L63" s="44" t="str">
        <f t="shared" si="20"/>
        <v/>
      </c>
      <c r="M63" s="44" t="str">
        <f t="shared" si="21"/>
        <v/>
      </c>
    </row>
    <row r="64" spans="1:13" x14ac:dyDescent="0.25">
      <c r="A64" s="52">
        <v>4</v>
      </c>
      <c r="B64" s="90" t="s">
        <v>75</v>
      </c>
      <c r="C64" s="90" t="s">
        <v>215</v>
      </c>
      <c r="D64" s="35"/>
      <c r="E64" s="44" t="str">
        <f t="shared" si="18"/>
        <v/>
      </c>
      <c r="F64" s="44" t="str">
        <f t="shared" si="19"/>
        <v/>
      </c>
      <c r="H64" s="52">
        <v>4</v>
      </c>
      <c r="I64" s="90" t="s">
        <v>75</v>
      </c>
      <c r="J64" s="90" t="s">
        <v>216</v>
      </c>
      <c r="K64" s="35"/>
      <c r="L64" s="44" t="str">
        <f t="shared" si="20"/>
        <v/>
      </c>
      <c r="M64" s="44" t="str">
        <f t="shared" si="21"/>
        <v/>
      </c>
    </row>
    <row r="65" spans="1:13" x14ac:dyDescent="0.25">
      <c r="A65" s="52">
        <v>5</v>
      </c>
      <c r="B65" s="90" t="s">
        <v>75</v>
      </c>
      <c r="C65" s="90" t="s">
        <v>215</v>
      </c>
      <c r="D65" s="35"/>
      <c r="E65" s="44" t="str">
        <f t="shared" si="18"/>
        <v/>
      </c>
      <c r="F65" s="44" t="str">
        <f t="shared" si="19"/>
        <v/>
      </c>
      <c r="H65" s="52">
        <v>5</v>
      </c>
      <c r="I65" s="90" t="s">
        <v>75</v>
      </c>
      <c r="J65" s="90" t="s">
        <v>216</v>
      </c>
      <c r="K65" s="35"/>
      <c r="L65" s="44" t="str">
        <f t="shared" si="20"/>
        <v/>
      </c>
      <c r="M65" s="44" t="str">
        <f t="shared" si="21"/>
        <v/>
      </c>
    </row>
    <row r="66" spans="1:13" x14ac:dyDescent="0.25">
      <c r="A66" s="52">
        <v>6</v>
      </c>
      <c r="B66" s="90" t="s">
        <v>75</v>
      </c>
      <c r="C66" s="90" t="s">
        <v>215</v>
      </c>
      <c r="D66" s="35"/>
      <c r="E66" s="44" t="str">
        <f t="shared" si="18"/>
        <v/>
      </c>
      <c r="F66" s="44" t="str">
        <f t="shared" si="19"/>
        <v/>
      </c>
      <c r="H66" s="52">
        <v>6</v>
      </c>
      <c r="I66" s="90" t="s">
        <v>75</v>
      </c>
      <c r="J66" s="90" t="s">
        <v>216</v>
      </c>
      <c r="K66" s="35"/>
      <c r="L66" s="44" t="str">
        <f t="shared" si="20"/>
        <v/>
      </c>
      <c r="M66" s="44" t="str">
        <f t="shared" si="21"/>
        <v/>
      </c>
    </row>
    <row r="67" spans="1:13" x14ac:dyDescent="0.25">
      <c r="A67" s="52">
        <v>7</v>
      </c>
      <c r="B67" s="90" t="s">
        <v>75</v>
      </c>
      <c r="C67" s="90" t="s">
        <v>215</v>
      </c>
      <c r="D67" s="35"/>
      <c r="E67" s="44" t="str">
        <f t="shared" si="18"/>
        <v/>
      </c>
      <c r="F67" s="44" t="str">
        <f t="shared" si="19"/>
        <v/>
      </c>
      <c r="H67" s="52">
        <v>7</v>
      </c>
      <c r="I67" s="90" t="s">
        <v>75</v>
      </c>
      <c r="J67" s="90" t="s">
        <v>216</v>
      </c>
      <c r="K67" s="35"/>
      <c r="L67" s="44" t="str">
        <f t="shared" si="20"/>
        <v/>
      </c>
      <c r="M67" s="44" t="str">
        <f t="shared" si="21"/>
        <v/>
      </c>
    </row>
    <row r="68" spans="1:13" x14ac:dyDescent="0.25">
      <c r="A68" s="52">
        <v>8</v>
      </c>
      <c r="B68" s="90" t="s">
        <v>75</v>
      </c>
      <c r="C68" s="90" t="s">
        <v>215</v>
      </c>
      <c r="D68" s="141"/>
      <c r="E68" s="152"/>
      <c r="F68" s="152"/>
      <c r="H68" s="52">
        <v>8</v>
      </c>
      <c r="I68" s="90" t="s">
        <v>75</v>
      </c>
      <c r="J68" s="90" t="s">
        <v>216</v>
      </c>
      <c r="K68" s="141"/>
      <c r="L68" s="152"/>
      <c r="M68" s="152"/>
    </row>
    <row r="69" spans="1:13" x14ac:dyDescent="0.25">
      <c r="A69" s="52">
        <v>9</v>
      </c>
      <c r="B69" s="90" t="s">
        <v>75</v>
      </c>
      <c r="C69" s="90" t="s">
        <v>215</v>
      </c>
      <c r="D69" s="141"/>
      <c r="E69" s="152"/>
      <c r="F69" s="152"/>
      <c r="H69" s="52">
        <v>9</v>
      </c>
      <c r="I69" s="90" t="s">
        <v>75</v>
      </c>
      <c r="J69" s="90" t="s">
        <v>216</v>
      </c>
      <c r="K69" s="141"/>
      <c r="L69" s="152"/>
      <c r="M69" s="152"/>
    </row>
    <row r="70" spans="1:13" x14ac:dyDescent="0.25">
      <c r="A70" s="52">
        <v>10</v>
      </c>
      <c r="B70" s="90" t="s">
        <v>75</v>
      </c>
      <c r="C70" s="90" t="s">
        <v>215</v>
      </c>
      <c r="D70" s="35"/>
      <c r="E70" s="44" t="str">
        <f t="shared" si="18"/>
        <v/>
      </c>
      <c r="F70" s="44" t="str">
        <f t="shared" si="19"/>
        <v/>
      </c>
      <c r="H70" s="52">
        <v>10</v>
      </c>
      <c r="I70" s="90" t="s">
        <v>75</v>
      </c>
      <c r="J70" s="90" t="s">
        <v>216</v>
      </c>
      <c r="K70" s="35"/>
      <c r="L70" s="44" t="str">
        <f t="shared" si="20"/>
        <v/>
      </c>
      <c r="M70" s="44" t="str">
        <f t="shared" si="21"/>
        <v/>
      </c>
    </row>
    <row r="71" spans="1:13" x14ac:dyDescent="0.25">
      <c r="A71" s="38" t="s">
        <v>12</v>
      </c>
      <c r="B71" s="54"/>
      <c r="C71" s="54"/>
      <c r="D71" s="38"/>
      <c r="E71" s="38"/>
      <c r="F71" s="38"/>
      <c r="H71" s="38" t="s">
        <v>58</v>
      </c>
      <c r="I71" s="54"/>
      <c r="J71" s="54"/>
      <c r="K71" s="38"/>
      <c r="L71" s="38"/>
      <c r="M71" s="38"/>
    </row>
    <row r="72" spans="1:13" ht="23.25" x14ac:dyDescent="0.25">
      <c r="A72" s="39" t="s">
        <v>0</v>
      </c>
      <c r="B72" s="39" t="s">
        <v>55</v>
      </c>
      <c r="C72" s="39" t="s">
        <v>56</v>
      </c>
      <c r="D72" s="55" t="s">
        <v>8</v>
      </c>
      <c r="E72" s="39" t="s">
        <v>2</v>
      </c>
      <c r="F72" s="39" t="s">
        <v>1</v>
      </c>
      <c r="H72" s="39" t="s">
        <v>0</v>
      </c>
      <c r="I72" s="39" t="s">
        <v>55</v>
      </c>
      <c r="J72" s="39" t="s">
        <v>56</v>
      </c>
      <c r="K72" s="55" t="s">
        <v>8</v>
      </c>
      <c r="L72" s="39" t="s">
        <v>2</v>
      </c>
      <c r="M72" s="39" t="s">
        <v>1</v>
      </c>
    </row>
    <row r="73" spans="1:13" x14ac:dyDescent="0.25">
      <c r="A73" s="52">
        <v>1</v>
      </c>
      <c r="B73" s="90" t="s">
        <v>75</v>
      </c>
      <c r="C73" s="90" t="s">
        <v>50</v>
      </c>
      <c r="D73" s="35"/>
      <c r="E73" s="44" t="str">
        <f t="shared" ref="E73:E77" si="22">IF(D73&gt;0,VLOOKUP(D73,Jumpers,3),"")</f>
        <v/>
      </c>
      <c r="F73" s="44" t="str">
        <f t="shared" ref="F73:F77" si="23">IF(D73&gt;0,VLOOKUP(D73,Jumpers,2),"")</f>
        <v/>
      </c>
      <c r="H73" s="52">
        <v>1</v>
      </c>
      <c r="I73" s="90" t="s">
        <v>75</v>
      </c>
      <c r="J73" s="63" t="s">
        <v>51</v>
      </c>
      <c r="K73" s="35"/>
      <c r="L73" s="44" t="str">
        <f t="shared" ref="L73:L77" si="24">IF(K73&gt;0,VLOOKUP(K73,Jumpers,3),"")</f>
        <v/>
      </c>
      <c r="M73" s="44" t="str">
        <f t="shared" ref="M73:M77" si="25">IF(K73&gt;0,VLOOKUP(K73,Jumpers,2),"")</f>
        <v/>
      </c>
    </row>
    <row r="74" spans="1:13" x14ac:dyDescent="0.25">
      <c r="A74" s="52">
        <v>2</v>
      </c>
      <c r="B74" s="90" t="s">
        <v>75</v>
      </c>
      <c r="C74" s="90" t="s">
        <v>50</v>
      </c>
      <c r="D74" s="35"/>
      <c r="E74" s="44" t="str">
        <f t="shared" si="22"/>
        <v/>
      </c>
      <c r="F74" s="44" t="str">
        <f t="shared" si="23"/>
        <v/>
      </c>
      <c r="H74" s="52">
        <v>2</v>
      </c>
      <c r="I74" s="90" t="s">
        <v>75</v>
      </c>
      <c r="J74" s="63" t="s">
        <v>51</v>
      </c>
      <c r="K74" s="35"/>
      <c r="L74" s="44" t="str">
        <f t="shared" si="24"/>
        <v/>
      </c>
      <c r="M74" s="44" t="str">
        <f t="shared" si="25"/>
        <v/>
      </c>
    </row>
    <row r="75" spans="1:13" x14ac:dyDescent="0.25">
      <c r="A75" s="52">
        <v>3</v>
      </c>
      <c r="B75" s="90" t="s">
        <v>75</v>
      </c>
      <c r="C75" s="90" t="s">
        <v>50</v>
      </c>
      <c r="D75" s="35"/>
      <c r="E75" s="44" t="str">
        <f t="shared" si="22"/>
        <v/>
      </c>
      <c r="F75" s="44" t="str">
        <f t="shared" si="23"/>
        <v/>
      </c>
      <c r="H75" s="52">
        <v>3</v>
      </c>
      <c r="I75" s="90" t="s">
        <v>75</v>
      </c>
      <c r="J75" s="63" t="s">
        <v>51</v>
      </c>
      <c r="K75" s="35"/>
      <c r="L75" s="44" t="str">
        <f t="shared" si="24"/>
        <v/>
      </c>
      <c r="M75" s="44" t="str">
        <f t="shared" si="25"/>
        <v/>
      </c>
    </row>
    <row r="76" spans="1:13" x14ac:dyDescent="0.25">
      <c r="A76" s="52">
        <v>4</v>
      </c>
      <c r="B76" s="90" t="s">
        <v>75</v>
      </c>
      <c r="C76" s="90" t="s">
        <v>50</v>
      </c>
      <c r="D76" s="35"/>
      <c r="E76" s="44" t="str">
        <f t="shared" si="22"/>
        <v/>
      </c>
      <c r="F76" s="44" t="str">
        <f t="shared" si="23"/>
        <v/>
      </c>
      <c r="H76" s="52">
        <v>4</v>
      </c>
      <c r="I76" s="90" t="s">
        <v>75</v>
      </c>
      <c r="J76" s="63" t="s">
        <v>51</v>
      </c>
      <c r="K76" s="35"/>
      <c r="L76" s="44" t="str">
        <f t="shared" si="24"/>
        <v/>
      </c>
      <c r="M76" s="44" t="str">
        <f t="shared" si="25"/>
        <v/>
      </c>
    </row>
    <row r="77" spans="1:13" x14ac:dyDescent="0.25">
      <c r="A77" s="52">
        <v>5</v>
      </c>
      <c r="B77" s="90" t="s">
        <v>75</v>
      </c>
      <c r="C77" s="90" t="s">
        <v>50</v>
      </c>
      <c r="D77" s="35"/>
      <c r="E77" s="44" t="str">
        <f t="shared" si="22"/>
        <v/>
      </c>
      <c r="F77" s="44" t="str">
        <f t="shared" si="23"/>
        <v/>
      </c>
      <c r="H77" s="52">
        <v>5</v>
      </c>
      <c r="I77" s="90" t="s">
        <v>75</v>
      </c>
      <c r="J77" s="63" t="s">
        <v>51</v>
      </c>
      <c r="K77" s="35"/>
      <c r="L77" s="44" t="str">
        <f t="shared" si="24"/>
        <v/>
      </c>
      <c r="M77" s="44" t="str">
        <f t="shared" si="25"/>
        <v/>
      </c>
    </row>
    <row r="78" spans="1:13" x14ac:dyDescent="0.25">
      <c r="A78" s="38" t="s">
        <v>13</v>
      </c>
      <c r="B78" s="54"/>
      <c r="C78" s="54"/>
      <c r="D78" s="38"/>
      <c r="E78" s="38"/>
      <c r="F78" s="38"/>
    </row>
    <row r="79" spans="1:13" ht="23.25" x14ac:dyDescent="0.25">
      <c r="A79" s="39" t="s">
        <v>0</v>
      </c>
      <c r="B79" s="39" t="s">
        <v>55</v>
      </c>
      <c r="C79" s="39" t="s">
        <v>56</v>
      </c>
      <c r="D79" s="55" t="s">
        <v>8</v>
      </c>
      <c r="E79" s="39" t="s">
        <v>2</v>
      </c>
      <c r="F79" s="39" t="s">
        <v>1</v>
      </c>
    </row>
    <row r="80" spans="1:13" x14ac:dyDescent="0.25">
      <c r="A80" s="52">
        <v>1</v>
      </c>
      <c r="B80" s="90" t="s">
        <v>75</v>
      </c>
      <c r="C80" s="63" t="s">
        <v>52</v>
      </c>
      <c r="D80" s="35"/>
      <c r="E80" s="44" t="str">
        <f t="shared" ref="E80:E84" si="26">IF(D80&gt;0,VLOOKUP(D80,Jumpers,3),"")</f>
        <v/>
      </c>
      <c r="F80" s="44" t="str">
        <f t="shared" ref="F80:F84" si="27">IF(D80&gt;0,VLOOKUP(D80,Jumpers,2),"")</f>
        <v/>
      </c>
    </row>
    <row r="81" spans="1:6" x14ac:dyDescent="0.25">
      <c r="A81" s="52">
        <v>2</v>
      </c>
      <c r="B81" s="90" t="s">
        <v>75</v>
      </c>
      <c r="C81" s="63" t="s">
        <v>52</v>
      </c>
      <c r="D81" s="35"/>
      <c r="E81" s="44" t="str">
        <f t="shared" si="26"/>
        <v/>
      </c>
      <c r="F81" s="44" t="str">
        <f t="shared" si="27"/>
        <v/>
      </c>
    </row>
    <row r="82" spans="1:6" x14ac:dyDescent="0.25">
      <c r="A82" s="52">
        <v>3</v>
      </c>
      <c r="B82" s="90" t="s">
        <v>75</v>
      </c>
      <c r="C82" s="63" t="s">
        <v>52</v>
      </c>
      <c r="D82" s="35"/>
      <c r="E82" s="44" t="str">
        <f t="shared" si="26"/>
        <v/>
      </c>
      <c r="F82" s="44" t="str">
        <f t="shared" si="27"/>
        <v/>
      </c>
    </row>
    <row r="83" spans="1:6" x14ac:dyDescent="0.25">
      <c r="A83" s="52">
        <v>4</v>
      </c>
      <c r="B83" s="90" t="s">
        <v>75</v>
      </c>
      <c r="C83" s="63" t="s">
        <v>52</v>
      </c>
      <c r="D83" s="35"/>
      <c r="E83" s="44" t="str">
        <f t="shared" si="26"/>
        <v/>
      </c>
      <c r="F83" s="44" t="str">
        <f t="shared" si="27"/>
        <v/>
      </c>
    </row>
    <row r="84" spans="1:6" x14ac:dyDescent="0.25">
      <c r="A84" s="52">
        <v>5</v>
      </c>
      <c r="B84" s="90" t="s">
        <v>75</v>
      </c>
      <c r="C84" s="63" t="s">
        <v>52</v>
      </c>
      <c r="D84" s="35"/>
      <c r="E84" s="44" t="str">
        <f t="shared" si="26"/>
        <v/>
      </c>
      <c r="F84" s="44" t="str">
        <f t="shared" si="27"/>
        <v/>
      </c>
    </row>
  </sheetData>
  <sheetProtection password="CE88" sheet="1" objects="1" scenarios="1" selectLockedCells="1"/>
  <mergeCells count="1">
    <mergeCell ref="I4:N7"/>
  </mergeCells>
  <phoneticPr fontId="23" type="noConversion"/>
  <conditionalFormatting sqref="K17:K36">
    <cfRule type="expression" dxfId="478" priority="9" stopIfTrue="1">
      <formula>OR(CODE(K17)&lt;48,CODE(K17)&gt;57)</formula>
    </cfRule>
    <cfRule type="expression" dxfId="477" priority="26" stopIfTrue="1">
      <formula>VLOOKUP(K17,Jumpers,5)&lt;&gt;LEFT($A$1,1)</formula>
    </cfRule>
    <cfRule type="expression" dxfId="476" priority="27" stopIfTrue="1">
      <formula>OR(VLOOKUP(K17,Jumpers,7)&lt;11,VLOOKUP(K17,Jumpers,7)&gt;12)</formula>
    </cfRule>
  </conditionalFormatting>
  <conditionalFormatting sqref="D39:D58">
    <cfRule type="expression" dxfId="475" priority="8" stopIfTrue="1">
      <formula>OR(CODE(D39)&lt;48,CODE(D39)&gt;57)</formula>
    </cfRule>
    <cfRule type="expression" dxfId="474" priority="24" stopIfTrue="1">
      <formula>VLOOKUP(D39,Jumpers,5)&lt;&gt;LEFT($A$1,1)</formula>
    </cfRule>
    <cfRule type="expression" dxfId="473" priority="25" stopIfTrue="1">
      <formula>OR(VLOOKUP(D39,Jumpers,7)&lt;13,VLOOKUP(D39,Jumpers,7)&gt;14)</formula>
    </cfRule>
  </conditionalFormatting>
  <conditionalFormatting sqref="K39:K58">
    <cfRule type="expression" dxfId="472" priority="7" stopIfTrue="1">
      <formula>OR(CODE(K39)&lt;48,CODE(K39)&gt;57)</formula>
    </cfRule>
    <cfRule type="expression" dxfId="471" priority="22" stopIfTrue="1">
      <formula>VLOOKUP(K39,Jumpers,5)&lt;&gt;LEFT($A$1,1)</formula>
    </cfRule>
    <cfRule type="expression" dxfId="470" priority="23" stopIfTrue="1">
      <formula>OR(VLOOKUP(K39,Jumpers,7)&lt;15,VLOOKUP(K39,Jumpers,7)&gt;17)</formula>
    </cfRule>
  </conditionalFormatting>
  <conditionalFormatting sqref="D61:D70">
    <cfRule type="expression" dxfId="469" priority="6" stopIfTrue="1">
      <formula>OR(CODE(D61)&lt;48,CODE(D61)&gt;57)</formula>
    </cfRule>
    <cfRule type="expression" dxfId="468" priority="20" stopIfTrue="1">
      <formula>VLOOKUP(D61,Jumpers,5)&lt;&gt;LEFT($A$1,1)</formula>
    </cfRule>
    <cfRule type="expression" dxfId="467" priority="21" stopIfTrue="1">
      <formula>VLOOKUP(D61,Jumpers,8)&lt;&gt;C61</formula>
    </cfRule>
  </conditionalFormatting>
  <conditionalFormatting sqref="K61:K70">
    <cfRule type="expression" dxfId="466" priority="18" stopIfTrue="1">
      <formula>VLOOKUP(K61,Jumpers,5)&lt;&gt;LEFT($A$1,1)</formula>
    </cfRule>
    <cfRule type="expression" dxfId="465" priority="19" stopIfTrue="1">
      <formula>VLOOKUP(K61,Jumpers,8)&lt;&gt;J61</formula>
    </cfRule>
  </conditionalFormatting>
  <conditionalFormatting sqref="K73:K77">
    <cfRule type="expression" dxfId="464" priority="5" stopIfTrue="1">
      <formula>OR(CODE(K73)&lt;48,CODE(K73)&gt;57)</formula>
    </cfRule>
    <cfRule type="expression" dxfId="463" priority="16" stopIfTrue="1">
      <formula>VLOOKUP(K73,Jumpers,5)&lt;&gt;LEFT($A$1,1)</formula>
    </cfRule>
    <cfRule type="expression" dxfId="462" priority="17" stopIfTrue="1">
      <formula>VLOOKUP(K73,Jumpers,8)&lt;&gt;J73</formula>
    </cfRule>
  </conditionalFormatting>
  <conditionalFormatting sqref="D80:D84">
    <cfRule type="expression" dxfId="461" priority="4">
      <formula>OR(CODE(D80)&lt;48,CODE(D80)&gt;57)</formula>
    </cfRule>
    <cfRule type="expression" dxfId="460" priority="14" stopIfTrue="1">
      <formula>VLOOKUP(D80,Jumpers,5)&lt;&gt;LEFT($A$1,1)</formula>
    </cfRule>
    <cfRule type="expression" dxfId="459" priority="15" stopIfTrue="1">
      <formula>VLOOKUP(D80,Jumpers,8)&lt;&gt;C80</formula>
    </cfRule>
  </conditionalFormatting>
  <conditionalFormatting sqref="D5:D14">
    <cfRule type="expression" dxfId="458" priority="10" stopIfTrue="1">
      <formula>OR(CODE(D5)&lt;48,CODE(D5)&gt;57)</formula>
    </cfRule>
    <cfRule type="expression" dxfId="457" priority="28" stopIfTrue="1">
      <formula>VLOOKUP(D5,Jumpers,5)&lt;&gt;LEFT($A$1,1)</formula>
    </cfRule>
    <cfRule type="expression" dxfId="456" priority="29" stopIfTrue="1">
      <formula>VLOOKUP(D5,Jumpers,8)&lt;&gt;"8-Under"</formula>
    </cfRule>
  </conditionalFormatting>
  <conditionalFormatting sqref="D17:D36">
    <cfRule type="expression" dxfId="455" priority="11" stopIfTrue="1">
      <formula>OR(CODE(D17)&lt;48,CODE(D17)&gt;57)</formula>
    </cfRule>
    <cfRule type="expression" dxfId="454" priority="12" stopIfTrue="1">
      <formula>VLOOKUP(D17,Jumpers,5)&lt;&gt;LEFT($A$1,1)</formula>
    </cfRule>
    <cfRule type="expression" dxfId="453" priority="13" stopIfTrue="1">
      <formula>VLOOKUP(D17,Jumpers,7)&gt;10</formula>
    </cfRule>
  </conditionalFormatting>
  <conditionalFormatting sqref="D73:D77">
    <cfRule type="expression" dxfId="452" priority="1" stopIfTrue="1">
      <formula>OR(CODE(D73)&lt;48,CODE(D73)&gt;57)</formula>
    </cfRule>
    <cfRule type="expression" dxfId="451" priority="2" stopIfTrue="1">
      <formula>VLOOKUP(D73,Jumpers,5)&lt;&gt;LEFT($A$1,1)</formula>
    </cfRule>
    <cfRule type="expression" dxfId="450" priority="3" stopIfTrue="1">
      <formula>VLOOKUP(D73,Jumpers,8)&lt;&gt;C73</formula>
    </cfRule>
  </conditionalFormatting>
  <pageMargins left="0.25" right="0.25" top="0.75" bottom="0.75" header="0.3" footer="0.3"/>
  <pageSetup scale="86" fitToHeight="2" orientation="portrait"/>
  <headerFooter>
    <oddHeader>&amp;LUSAJR Regional Tournament&amp;R&amp;A</oddHeader>
    <oddFooter>&amp;RPage &amp;P of &amp;N</oddFooter>
  </headerFooter>
  <customProperties>
    <customPr name="DVSECTIONID" r:id="rId1"/>
  </customProperties>
  <extLst>
    <ext xmlns:mx="http://schemas.microsoft.com/office/mac/excel/2008/main" uri="{64002731-A6B0-56B0-2670-7721B7C09600}">
      <mx:PLV Mode="0" OnePage="0" WScale="83"/>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35</vt:i4>
      </vt:variant>
    </vt:vector>
  </HeadingPairs>
  <TitlesOfParts>
    <vt:vector size="60" baseType="lpstr">
      <vt:lpstr>Team Info</vt:lpstr>
      <vt:lpstr>Judges</vt:lpstr>
      <vt:lpstr>Wildcards</vt:lpstr>
      <vt:lpstr>Competitor</vt:lpstr>
      <vt:lpstr>Group Team Show</vt:lpstr>
      <vt:lpstr>Male SR 30 Second Speed</vt:lpstr>
      <vt:lpstr>Male SR Individual Speed</vt:lpstr>
      <vt:lpstr>Male 30-second Double Under</vt:lpstr>
      <vt:lpstr>Male SR Endurance Speed</vt:lpstr>
      <vt:lpstr>Male SR Individual Freestyle</vt:lpstr>
      <vt:lpstr>Female SR 30 Second Speed</vt:lpstr>
      <vt:lpstr>Female SR Individual Speed</vt:lpstr>
      <vt:lpstr>Female 30-second Double Under</vt:lpstr>
      <vt:lpstr>Female SR Endurance Speed</vt:lpstr>
      <vt:lpstr>Female SR Individual Freestyle</vt:lpstr>
      <vt:lpstr>Triple Unders</vt:lpstr>
      <vt:lpstr>Single Rope Pairs Freestyle</vt:lpstr>
      <vt:lpstr>DD Speed Relay</vt:lpstr>
      <vt:lpstr>Double Dutch Single Freestyle</vt:lpstr>
      <vt:lpstr>SR Speed Relay</vt:lpstr>
      <vt:lpstr>DD Pairs Speed</vt:lpstr>
      <vt:lpstr>Double Dutch Pairs Freestyle</vt:lpstr>
      <vt:lpstr>Lists</vt:lpstr>
      <vt:lpstr>analysis</vt:lpstr>
      <vt:lpstr>ConsolidatedEventList</vt:lpstr>
      <vt:lpstr>AgeGroup</vt:lpstr>
      <vt:lpstr>AgeInfo</vt:lpstr>
      <vt:lpstr>EVENTS</vt:lpstr>
      <vt:lpstr>Jumpers</vt:lpstr>
      <vt:lpstr>analysis!Print_Area</vt:lpstr>
      <vt:lpstr>Competitor!Print_Area</vt:lpstr>
      <vt:lpstr>'DD Pairs Speed'!Print_Area</vt:lpstr>
      <vt:lpstr>'DD Speed Relay'!Print_Area</vt:lpstr>
      <vt:lpstr>'Double Dutch Pairs Freestyle'!Print_Area</vt:lpstr>
      <vt:lpstr>'Double Dutch Single Freestyle'!Print_Area</vt:lpstr>
      <vt:lpstr>'Female 30-second Double Under'!Print_Area</vt:lpstr>
      <vt:lpstr>'Female SR 30 Second Speed'!Print_Area</vt:lpstr>
      <vt:lpstr>'Female SR Endurance Speed'!Print_Area</vt:lpstr>
      <vt:lpstr>'Female SR Individual Freestyle'!Print_Area</vt:lpstr>
      <vt:lpstr>'Female SR Individual Speed'!Print_Area</vt:lpstr>
      <vt:lpstr>'Group Team Show'!Print_Area</vt:lpstr>
      <vt:lpstr>'Male 30-second Double Under'!Print_Area</vt:lpstr>
      <vt:lpstr>'Male SR 30 Second Speed'!Print_Area</vt:lpstr>
      <vt:lpstr>'Male SR Endurance Speed'!Print_Area</vt:lpstr>
      <vt:lpstr>'Male SR Individual Freestyle'!Print_Area</vt:lpstr>
      <vt:lpstr>'Male SR Individual Speed'!Print_Area</vt:lpstr>
      <vt:lpstr>'Single Rope Pairs Freestyle'!Print_Area</vt:lpstr>
      <vt:lpstr>'SR Speed Relay'!Print_Area</vt:lpstr>
      <vt:lpstr>'Team Info'!Print_Area</vt:lpstr>
      <vt:lpstr>'Triple Unders'!Print_Area</vt:lpstr>
      <vt:lpstr>Wildcards!Print_Area</vt:lpstr>
      <vt:lpstr>Competitor!Print_Titles</vt:lpstr>
      <vt:lpstr>'Female 30-second Double Under'!Print_Titles</vt:lpstr>
      <vt:lpstr>'Female SR 30 Second Speed'!Print_Titles</vt:lpstr>
      <vt:lpstr>'Female SR Individual Freestyle'!Print_Titles</vt:lpstr>
      <vt:lpstr>'Female SR Individual Speed'!Print_Titles</vt:lpstr>
      <vt:lpstr>'Male 30-second Double Under'!Print_Titles</vt:lpstr>
      <vt:lpstr>'Male SR 30 Second Speed'!Print_Titles</vt:lpstr>
      <vt:lpstr>'Male SR Individual Freestyle'!Print_Titles</vt:lpstr>
      <vt:lpstr>'Male SR Individual Speed'!Print_Titles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dc:creator>
  <cp:lastModifiedBy>Lee Purser</cp:lastModifiedBy>
  <cp:lastPrinted>2016-01-07T10:46:04Z</cp:lastPrinted>
  <dcterms:created xsi:type="dcterms:W3CDTF">2011-01-19T19:31:18Z</dcterms:created>
  <dcterms:modified xsi:type="dcterms:W3CDTF">2019-02-18T16:41:15Z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DocumentId">
    <vt:lpwstr>1CgH3b8i1mQjYx9DFuTaAOpSAls2cB1sNHTzT2RCCCjY</vt:lpwstr>
  </property>
  <property fmtid="{D5CDD505-2E9C-101B-9397-08002B2CF9AE}" pid="3" name="Google.Documents.RevisionId">
    <vt:lpwstr>00625731873611306212</vt:lpwstr>
  </property>
  <property fmtid="{D5CDD505-2E9C-101B-9397-08002B2CF9AE}" pid="4" name="Google.Documents.PluginVersion">
    <vt:lpwstr>2.0.1974.7364</vt:lpwstr>
  </property>
  <property fmtid="{D5CDD505-2E9C-101B-9397-08002B2CF9AE}" pid="5" name="Google.Documents.MergeIncapabilityFlags">
    <vt:i4>0</vt:i4>
  </property>
  <property fmtid="{D5CDD505-2E9C-101B-9397-08002B2CF9AE}" pid="6" name="Google.Documents.Tracking">
    <vt:lpwstr>true</vt:lpwstr>
  </property>
</Properties>
</file>